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7" sheetId="1" r:id="rId4"/>
    <sheet state="visible" name="data" sheetId="2" r:id="rId5"/>
    <sheet state="visible" name="Hợp tác" sheetId="3" r:id="rId6"/>
    <sheet state="visible" name="View" sheetId="4" r:id="rId7"/>
    <sheet state="visible" name="Python" sheetId="5" r:id="rId8"/>
    <sheet state="hidden" name="Trang tính9" sheetId="6" r:id="rId9"/>
    <sheet state="visible" name="Tổng hợp tiền" sheetId="7" r:id="rId10"/>
    <sheet state="visible" name="Hoa Hồng" sheetId="8" r:id="rId11"/>
    <sheet state="visible" name="BÁO CÁO" sheetId="9" r:id="rId12"/>
    <sheet state="visible" name="Trang tính13" sheetId="10" r:id="rId13"/>
  </sheets>
  <definedNames>
    <definedName hidden="1" localSheetId="2" name="_xlnm._FilterDatabase">'Hợp tác'!$A$2:$Y$208</definedName>
    <definedName hidden="1" localSheetId="6" name="_xlnm._FilterDatabase">'Tổng hợp tiền'!$A$1</definedName>
    <definedName hidden="1" localSheetId="8" name="Z_7ED87C48_F366_4015_84C8_694382268282_.wvu.FilterData">'BÁO CÁO'!$A$3:$AF$1088</definedName>
    <definedName hidden="1" localSheetId="2" name="Z_1E6C9B4D_32F5_4B07_AAB1_AB231243A69C_.wvu.FilterData">'Hợp tác'!$G$1:$G$927</definedName>
    <definedName hidden="1" localSheetId="6" name="Z_1E6C9B4D_32F5_4B07_AAB1_AB231243A69C_.wvu.FilterData">'Tổng hợp tiền'!$A$2:$AD$1002</definedName>
    <definedName hidden="1" localSheetId="8" name="Z_1E6C9B4D_32F5_4B07_AAB1_AB231243A69C_.wvu.FilterData">'BÁO CÁO'!$F$177:$F$186</definedName>
    <definedName hidden="1" localSheetId="2" name="Z_B2896BB9_4CEA_44B1_8782_A869BCF75F45_.wvu.FilterData">'Hợp tác'!$A$1:$I$927</definedName>
    <definedName hidden="1" localSheetId="8" name="Z_B2896BB9_4CEA_44B1_8782_A869BCF75F45_.wvu.FilterData">'BÁO CÁO'!$A$1:$AF$1088</definedName>
    <definedName hidden="1" localSheetId="8" name="Z_6AB4E2F7_2310_4E9B_B6AE_7864FA244528_.wvu.FilterData">'BÁO CÁO'!$A$1:$AF$1088</definedName>
    <definedName hidden="1" localSheetId="8" name="Z_5FD1B3C4_6882_4F23_9868_B9068D332376_.wvu.FilterData">'BÁO CÁO'!$A$3:$AF$1088</definedName>
  </definedNames>
  <calcPr/>
  <customWorkbookViews>
    <customWorkbookView activeSheetId="0" maximized="1" windowHeight="0" windowWidth="0" guid="{7ED87C48-F366-4015-84C8-694382268282}" name="Bộ lọc 5"/>
    <customWorkbookView activeSheetId="0" maximized="1" windowHeight="0" windowWidth="0" guid="{5FD1B3C4-6882-4F23-9868-B9068D332376}" name="Bộ lọc 3"/>
    <customWorkbookView activeSheetId="0" maximized="1" windowHeight="0" windowWidth="0" guid="{6AB4E2F7-2310-4E9B-B6AE-7864FA244528}" name="Bộ lọc 4"/>
    <customWorkbookView activeSheetId="0" maximized="1" windowHeight="0" windowWidth="0" guid="{1E6C9B4D-32F5-4B07-AAB1-AB231243A69C}" name="Bộ lọc 1"/>
    <customWorkbookView activeSheetId="0" maximized="1" windowHeight="0" windowWidth="0" guid="{B2896BB9-4CEA-44B1-8782-A869BCF75F45}" name="Bộ lọc 2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">
      <text>
        <t xml:space="preserve">Sửa công thức khi đổi tháng
	-Tạ Thị Mận YD0003</t>
      </text>
    </comment>
  </commentList>
</comments>
</file>

<file path=xl/sharedStrings.xml><?xml version="1.0" encoding="utf-8"?>
<sst xmlns="http://schemas.openxmlformats.org/spreadsheetml/2006/main" count="25654" uniqueCount="1907">
  <si>
    <t xml:space="preserve">Mã </t>
  </si>
  <si>
    <t>Mã video</t>
  </si>
  <si>
    <t>HỌ-TÊN</t>
  </si>
  <si>
    <t>Số Follow</t>
  </si>
  <si>
    <t>Link video</t>
  </si>
  <si>
    <t>Link ảnh</t>
  </si>
  <si>
    <t>Số views</t>
  </si>
  <si>
    <t>Số tiền Thưởng theo views</t>
  </si>
  <si>
    <t xml:space="preserve"> Số Tiền catse theo follow</t>
  </si>
  <si>
    <t>Tổng số tiền nhận được</t>
  </si>
  <si>
    <t>Số tài khoản</t>
  </si>
  <si>
    <t>Tên ngân hàng</t>
  </si>
  <si>
    <t>Tên chủ tk</t>
  </si>
  <si>
    <t>Người phụ trách</t>
  </si>
  <si>
    <t>TỔNG</t>
  </si>
  <si>
    <t>INFTHUY282</t>
  </si>
  <si>
    <t xml:space="preserve"> Nguyễn Bích Thuỳ</t>
  </si>
  <si>
    <t xml:space="preserve">fb155k </t>
  </si>
  <si>
    <t>125k</t>
  </si>
  <si>
    <t>Vietcombank</t>
  </si>
  <si>
    <t>NGUYEN THI BICH THUY</t>
  </si>
  <si>
    <t>Mến</t>
  </si>
  <si>
    <t>Nhâm Thuỳ Linh</t>
  </si>
  <si>
    <t>tt 279.1K</t>
  </si>
  <si>
    <t xml:space="preserve"> </t>
  </si>
  <si>
    <t>279.1K</t>
  </si>
  <si>
    <t>techcombank</t>
  </si>
  <si>
    <t>Thái Thị Cẩm Ly</t>
  </si>
  <si>
    <t>tt85,9k-fb 35k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</si>
  <si>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</si>
  <si>
    <t>0 đạt -52k</t>
  </si>
  <si>
    <t>0291000338484</t>
  </si>
  <si>
    <t>Thái Thị CẩmLy</t>
  </si>
  <si>
    <t>Nguyễn Thùy Linh</t>
  </si>
  <si>
    <t>fb 12,8k</t>
  </si>
  <si>
    <t xml:space="preserve"> BIDV SG</t>
  </si>
  <si>
    <t>Nguyễn Thị Thuỳ Linh</t>
  </si>
  <si>
    <t>Phạm Nguyễn Tường Vi</t>
  </si>
  <si>
    <t>fb 69.9k</t>
  </si>
  <si>
    <t>vietcombank</t>
  </si>
  <si>
    <t>Phạm Nguyễn Tường Vy</t>
  </si>
  <si>
    <t>Hoàng Thị Phương Thảo</t>
  </si>
  <si>
    <t>fb 215,6k
-tt75,3k</t>
  </si>
  <si>
    <t>0 đạt</t>
  </si>
  <si>
    <t>VP Bank</t>
  </si>
  <si>
    <t>Ngô Đức Hải</t>
  </si>
  <si>
    <t>fb 28,7k/ insta12,1k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</si>
  <si>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</si>
  <si>
    <t>Techcombank</t>
  </si>
  <si>
    <t>Đặng Hải Phong</t>
  </si>
  <si>
    <t>tt 309.9K</t>
  </si>
  <si>
    <t>1,5M</t>
  </si>
  <si>
    <t>0840143456666</t>
  </si>
  <si>
    <t xml:space="preserve">MB Bank </t>
  </si>
  <si>
    <t>Dang Hai Phong</t>
  </si>
  <si>
    <t>Trần Thị Vân</t>
  </si>
  <si>
    <t>tt 1M</t>
  </si>
  <si>
    <t>TRAN THI VAN</t>
  </si>
  <si>
    <t>Lê Trung Hoàng</t>
  </si>
  <si>
    <t>tt 3,9M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</si>
  <si>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</si>
  <si>
    <t>915,1k-1,6M</t>
  </si>
  <si>
    <t>Lê Thị Mến</t>
  </si>
  <si>
    <t>tt 2,3M</t>
  </si>
  <si>
    <t>3,7M</t>
  </si>
  <si>
    <t>Hoàng Tiến Đông</t>
  </si>
  <si>
    <t>tt 1,1M</t>
  </si>
  <si>
    <t>Phạm Đức Hiển</t>
  </si>
  <si>
    <t>tt 941k</t>
  </si>
  <si>
    <r>
      <rPr>
        <color rgb="FF1155CC"/>
        <u/>
      </rPr>
      <t>1</t>
    </r>
    <r>
      <rPr/>
      <t xml:space="preserve"> / </t>
    </r>
    <r>
      <rPr>
        <color rgb="FF1155CC"/>
        <u/>
      </rPr>
      <t>2</t>
    </r>
  </si>
  <si>
    <t>0 đạt-902,6k</t>
  </si>
  <si>
    <t>Đinh Xuân Dương</t>
  </si>
  <si>
    <t>tt 1,4M</t>
  </si>
  <si>
    <t>Trịnh Tú Huyền</t>
  </si>
  <si>
    <t>fb 214k</t>
  </si>
  <si>
    <t xml:space="preserve">
Techcombank</t>
  </si>
  <si>
    <t xml:space="preserve">Trinh Tu Huyen </t>
  </si>
  <si>
    <t>Ngô Lê Tuấn Kiệt</t>
  </si>
  <si>
    <t>tt 1,1 M</t>
  </si>
  <si>
    <t xml:space="preserve"> Á Châu Bank</t>
  </si>
  <si>
    <t xml:space="preserve">Ngo Le Tuan Kiet
</t>
  </si>
  <si>
    <t>Vũ Thị Hà</t>
  </si>
  <si>
    <t>fb 229k</t>
  </si>
  <si>
    <t>Vu Thi Ha</t>
  </si>
  <si>
    <t>Lê Thị Phượng</t>
  </si>
  <si>
    <t>fb 264k</t>
  </si>
  <si>
    <t>Le Thi Phuong</t>
  </si>
  <si>
    <t>Nguyễn Thu Huyền</t>
  </si>
  <si>
    <t>98k</t>
  </si>
  <si>
    <t>10,8k</t>
  </si>
  <si>
    <t>BIDV</t>
  </si>
  <si>
    <t>NGUYEN THU HUYEN</t>
  </si>
  <si>
    <t>Trâm</t>
  </si>
  <si>
    <t>Lý Nhi Nguyễn</t>
  </si>
  <si>
    <t>512k</t>
  </si>
  <si>
    <t>30,1k</t>
  </si>
  <si>
    <t>pvcombank</t>
  </si>
  <si>
    <t>Lý Nguyễn Nhi</t>
  </si>
  <si>
    <t>Dương Văn Giang</t>
  </si>
  <si>
    <t>69,2k</t>
  </si>
  <si>
    <t>Không đạt mốc</t>
  </si>
  <si>
    <t>Vietinbank</t>
  </si>
  <si>
    <t xml:space="preserve">DUONG THI HA </t>
  </si>
  <si>
    <t>Phan Thị Thúy</t>
  </si>
  <si>
    <t>108,3k</t>
  </si>
  <si>
    <t>45,7k</t>
  </si>
  <si>
    <t>Agribank</t>
  </si>
  <si>
    <t>PHAN THI THUY</t>
  </si>
  <si>
    <t>Thiện Nhân</t>
  </si>
  <si>
    <t>87,4k / 75k fb</t>
  </si>
  <si>
    <t>ảnh</t>
  </si>
  <si>
    <t>123,4k</t>
  </si>
  <si>
    <t>ACB</t>
  </si>
  <si>
    <t>LUU HUYNH PHUONG LINH</t>
  </si>
  <si>
    <t>Thía Nguyễn</t>
  </si>
  <si>
    <t xml:space="preserve">76k </t>
  </si>
  <si>
    <t>3k</t>
  </si>
  <si>
    <t xml:space="preserve">VietcomBank </t>
  </si>
  <si>
    <t>Nguyễn Thị Thía</t>
  </si>
  <si>
    <t>Quỳnh Hương</t>
  </si>
  <si>
    <t xml:space="preserve">100k </t>
  </si>
  <si>
    <t>504k</t>
  </si>
  <si>
    <t xml:space="preserve">Techcombank </t>
  </si>
  <si>
    <t>Trịnh Thị Quỳnh Hươn</t>
  </si>
  <si>
    <t>Mai Xuân Sơn</t>
  </si>
  <si>
    <t xml:space="preserve">110k </t>
  </si>
  <si>
    <r>
      <rPr>
        <color rgb="FF1155CC"/>
        <u/>
      </rPr>
      <t>1</t>
    </r>
    <r>
      <rPr>
        <color rgb="FF000000"/>
        <u/>
      </rPr>
      <t xml:space="preserve">/ </t>
    </r>
    <r>
      <rPr>
        <color rgb="FF1155CC"/>
        <u/>
      </rPr>
      <t>2</t>
    </r>
  </si>
  <si>
    <t>305k / 117k</t>
  </si>
  <si>
    <t xml:space="preserve">0231000688377 
</t>
  </si>
  <si>
    <t>MAI XUAN SON</t>
  </si>
  <si>
    <t>Bảo Ngọc</t>
  </si>
  <si>
    <t xml:space="preserve">141k </t>
  </si>
  <si>
    <r>
      <rPr/>
      <t xml:space="preserve">1 / </t>
    </r>
    <r>
      <rPr>
        <color rgb="FF1155CC"/>
        <u/>
      </rPr>
      <t>2</t>
    </r>
  </si>
  <si>
    <t>216k/ 104k</t>
  </si>
  <si>
    <t>Ngô huỳnh phú an</t>
  </si>
  <si>
    <t>Soo Jin</t>
  </si>
  <si>
    <t>81,1K</t>
  </si>
  <si>
    <t>51,3k</t>
  </si>
  <si>
    <t>Huỳnh Thị Ngọc Tú</t>
  </si>
  <si>
    <t>Bùi Hiền (bé bo)</t>
  </si>
  <si>
    <t>137k</t>
  </si>
  <si>
    <r>
      <rPr>
        <color rgb="FF1155CC"/>
        <u/>
      </rPr>
      <t>1</t>
    </r>
    <r>
      <rPr/>
      <t xml:space="preserve">/ </t>
    </r>
    <r>
      <rPr>
        <color rgb="FF1155CC"/>
        <u/>
      </rPr>
      <t>2</t>
    </r>
    <r>
      <rPr/>
      <t xml:space="preserve"> / </t>
    </r>
    <r>
      <rPr>
        <color rgb="FF1155CC"/>
        <u/>
      </rPr>
      <t>3</t>
    </r>
  </si>
  <si>
    <t>132k / 372k / 400k</t>
  </si>
  <si>
    <t>teckcombank</t>
  </si>
  <si>
    <t>bùi văn minh</t>
  </si>
  <si>
    <t>Đặng Anh Thuyết</t>
  </si>
  <si>
    <t>888k</t>
  </si>
  <si>
    <r>
      <rPr>
        <color rgb="FF1155CC"/>
        <u/>
      </rPr>
      <t>1</t>
    </r>
    <r>
      <rPr/>
      <t xml:space="preserve"> / </t>
    </r>
    <r>
      <rPr>
        <color rgb="FF1155CC"/>
        <u/>
      </rPr>
      <t>2</t>
    </r>
    <r>
      <rPr/>
      <t xml:space="preserve"> / </t>
    </r>
    <r>
      <rPr>
        <color rgb="FF1155CC"/>
        <u/>
      </rPr>
      <t>3</t>
    </r>
    <r>
      <rPr/>
      <t xml:space="preserve"> / </t>
    </r>
    <r>
      <rPr>
        <color rgb="FF1155CC"/>
        <u/>
      </rPr>
      <t>4</t>
    </r>
    <r>
      <rPr/>
      <t xml:space="preserve"> / </t>
    </r>
    <r>
      <rPr>
        <color rgb="FF1155CC"/>
        <u/>
      </rPr>
      <t>5</t>
    </r>
  </si>
  <si>
    <t>542k /  2M / 848k / 105k / 172k</t>
  </si>
  <si>
    <t>Teckcombank</t>
  </si>
  <si>
    <t>ĐẶNG ANH THUYẾT</t>
  </si>
  <si>
    <t>Trần Ly</t>
  </si>
  <si>
    <t>85k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</si>
  <si>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  <r>
      <rPr>
        <color rgb="FF1155CC"/>
        <u/>
      </rPr>
      <t xml:space="preserve"> / </t>
    </r>
    <r>
      <rPr>
        <color rgb="FF1155CC"/>
        <u/>
      </rPr>
      <t>3</t>
    </r>
  </si>
  <si>
    <t>392k/ 106k / 121k</t>
  </si>
  <si>
    <t>Trần thị ly</t>
  </si>
  <si>
    <t>An Nguyễn</t>
  </si>
  <si>
    <t>436k</t>
  </si>
  <si>
    <t>114k</t>
  </si>
  <si>
    <t>Nguyễn Hoàng Thiên An</t>
  </si>
  <si>
    <t>Hoàng Thu Hà</t>
  </si>
  <si>
    <t xml:space="preserve">492k          </t>
  </si>
  <si>
    <t>108k</t>
  </si>
  <si>
    <t>HOANG THU HA</t>
  </si>
  <si>
    <t>Phùn Anh</t>
  </si>
  <si>
    <t>546k</t>
  </si>
  <si>
    <r>
      <rPr>
        <color rgb="FF1155CC"/>
        <u/>
      </rPr>
      <t>1</t>
    </r>
    <r>
      <rPr/>
      <t xml:space="preserve"> / </t>
    </r>
    <r>
      <rPr>
        <color rgb="FF1155CC"/>
        <u/>
      </rPr>
      <t>2</t>
    </r>
    <r>
      <rPr/>
      <t xml:space="preserve"> / </t>
    </r>
    <r>
      <rPr>
        <color rgb="FF1155CC"/>
        <u/>
      </rPr>
      <t>3</t>
    </r>
  </si>
  <si>
    <t>685k / 269k / 1,6M</t>
  </si>
  <si>
    <t>1014988114"</t>
  </si>
  <si>
    <t>PHUN THI ANH</t>
  </si>
  <si>
    <t>Nguyễn Thùy Dương</t>
  </si>
  <si>
    <t>119k</t>
  </si>
  <si>
    <t>100k</t>
  </si>
  <si>
    <t>NGUYEN THUY DUONG</t>
  </si>
  <si>
    <t>Xoài</t>
  </si>
  <si>
    <t>538k</t>
  </si>
  <si>
    <t>6k</t>
  </si>
  <si>
    <t xml:space="preserve">Lương Thị Ngọc Hoài </t>
  </si>
  <si>
    <t>Tiểu Hy</t>
  </si>
  <si>
    <t>149k</t>
  </si>
  <si>
    <t>111k</t>
  </si>
  <si>
    <t>010898055789</t>
  </si>
  <si>
    <t>MB Bank</t>
  </si>
  <si>
    <t>Nguyen Ngoc Huyen</t>
  </si>
  <si>
    <t>Hồ Duy Phương</t>
  </si>
  <si>
    <t>234k</t>
  </si>
  <si>
    <t>060079555821</t>
  </si>
  <si>
    <t>Sacombank</t>
  </si>
  <si>
    <t>HO DUY PHUONG</t>
  </si>
  <si>
    <t>My Mũm Mĩm</t>
  </si>
  <si>
    <t>227,8k</t>
  </si>
  <si>
    <t>video</t>
  </si>
  <si>
    <t xml:space="preserve"> MB Bank</t>
  </si>
  <si>
    <t>Duong Huyen My</t>
  </si>
  <si>
    <t>Hoa</t>
  </si>
  <si>
    <t>Hiếu Shyn</t>
  </si>
  <si>
    <t>596k / 13,3k</t>
  </si>
  <si>
    <t>ins</t>
  </si>
  <si>
    <t xml:space="preserve"> Phạm Minh Hiếu</t>
  </si>
  <si>
    <t>Kim Oanh</t>
  </si>
  <si>
    <t>335,3k / 55,2k</t>
  </si>
  <si>
    <t>post</t>
  </si>
  <si>
    <t>310,5k</t>
  </si>
  <si>
    <t>1.000.000
1.000.000</t>
  </si>
  <si>
    <t>Diễm Hồ</t>
  </si>
  <si>
    <t>97,2k</t>
  </si>
  <si>
    <t xml:space="preserve">video
</t>
  </si>
  <si>
    <t>0731000865016 ( Vietcombank- HO THI DIEM)</t>
  </si>
  <si>
    <t>12,3k</t>
  </si>
  <si>
    <t>46,4k</t>
  </si>
  <si>
    <t>15,6k</t>
  </si>
  <si>
    <t>Đức và My</t>
  </si>
  <si>
    <t>50,3k</t>
  </si>
  <si>
    <t>77,4k</t>
  </si>
  <si>
    <t>19032465811889 (Techcombank - Nguyen Duy Duc)</t>
  </si>
  <si>
    <t>Trang Rừng</t>
  </si>
  <si>
    <t>1,2M</t>
  </si>
  <si>
    <t>216,3k</t>
  </si>
  <si>
    <t>229331345 - VP bank- Nguyen Thi Thu Trang</t>
  </si>
  <si>
    <t>507,8k</t>
  </si>
  <si>
    <t>418,2k</t>
  </si>
  <si>
    <t>115,6k</t>
  </si>
  <si>
    <t>740,8k</t>
  </si>
  <si>
    <t>1,6M</t>
  </si>
  <si>
    <t>Thu Pin</t>
  </si>
  <si>
    <t>565,7k</t>
  </si>
  <si>
    <t>122,8k</t>
  </si>
  <si>
    <t>47110001582920 - BIDV - Nguyen Thi Thu</t>
  </si>
  <si>
    <t>Đông Thy</t>
  </si>
  <si>
    <t>122,6k / 49,6k</t>
  </si>
  <si>
    <t xml:space="preserve">500.000 
500.000 </t>
  </si>
  <si>
    <t>0776613042003 NGO THIEN VIEN MB BANK</t>
  </si>
  <si>
    <t>Cẩu Lương Mỗi Ngày</t>
  </si>
  <si>
    <t>355,7k</t>
  </si>
  <si>
    <t>22,4k</t>
  </si>
  <si>
    <t>19035582500011 Tang Yen Vi - Techcombank chi nhánh Hoàng Gia</t>
  </si>
  <si>
    <t>203,9k</t>
  </si>
  <si>
    <t>27,4k</t>
  </si>
  <si>
    <t>365,8k</t>
  </si>
  <si>
    <t>28,5k</t>
  </si>
  <si>
    <t>306,3k</t>
  </si>
  <si>
    <t>Thư Lê</t>
  </si>
  <si>
    <t>119,1k</t>
  </si>
  <si>
    <t>22k</t>
  </si>
  <si>
    <t>102872834131 vietinbank</t>
  </si>
  <si>
    <t>50,9k</t>
  </si>
  <si>
    <t>Thảo Choé</t>
  </si>
  <si>
    <t>618,3k</t>
  </si>
  <si>
    <t>125,7k</t>
  </si>
  <si>
    <t>Nguoidepvaquaivat</t>
  </si>
  <si>
    <t>658,1k</t>
  </si>
  <si>
    <t>617k</t>
  </si>
  <si>
    <t>0984431930-
ngân hàng mb bank - Lê Hà Vi</t>
  </si>
  <si>
    <t>364k</t>
  </si>
  <si>
    <t>7,1M</t>
  </si>
  <si>
    <t>206k</t>
  </si>
  <si>
    <t>699,4k</t>
  </si>
  <si>
    <t>Đinh Trang Thảo</t>
  </si>
  <si>
    <t>5,6M</t>
  </si>
  <si>
    <t>1,8M</t>
  </si>
  <si>
    <t xml:space="preserve">1.000.000
1.000.000 
1.000.000 </t>
  </si>
  <si>
    <t>48310000710707 - BIDV - ĐINH THỊ THẢO</t>
  </si>
  <si>
    <t>fb</t>
  </si>
  <si>
    <t>2,3M</t>
  </si>
  <si>
    <t>5,8M</t>
  </si>
  <si>
    <t>Trung Kê</t>
  </si>
  <si>
    <t>239,3k</t>
  </si>
  <si>
    <t>41k</t>
  </si>
  <si>
    <t>19035561160014 Techcombank Ke Anh Trung</t>
  </si>
  <si>
    <t>Hoàng Việt Anh</t>
  </si>
  <si>
    <t>98,4k</t>
  </si>
  <si>
    <t>Oanh Oanh</t>
  </si>
  <si>
    <t>102,4k</t>
  </si>
  <si>
    <t>2,7k</t>
  </si>
  <si>
    <t>19033300241014- Techcombank- Trịnh Thị Hà</t>
  </si>
  <si>
    <t>Thanh Mùn</t>
  </si>
  <si>
    <t>102,9k</t>
  </si>
  <si>
    <t>story</t>
  </si>
  <si>
    <t>Ngân Thị Thu Hiền</t>
  </si>
  <si>
    <t>50,4k</t>
  </si>
  <si>
    <t>2,6k</t>
  </si>
  <si>
    <t>63310000320206
Ngan Thi Thu Hien
BIDV</t>
  </si>
  <si>
    <t>Hạ Thị Hoa</t>
  </si>
  <si>
    <t>107k</t>
  </si>
  <si>
    <t>2,1k</t>
  </si>
  <si>
    <t>19036259941011
Hạ Thị Hoa
Techcombank</t>
  </si>
  <si>
    <t>Vũ Yến</t>
  </si>
  <si>
    <t>100k/61k</t>
  </si>
  <si>
    <t>20k</t>
  </si>
  <si>
    <t>9598686886
Trần Vũ Thị Kim Yến
MB</t>
  </si>
  <si>
    <t>Bùi Ngọc Phương Trang</t>
  </si>
  <si>
    <t>111k/ 60k</t>
  </si>
  <si>
    <r>
      <rPr>
        <rFont val="Arial"/>
        <color rgb="FF1155CC"/>
        <u/>
      </rPr>
      <t>post/
v</t>
    </r>
    <r>
      <rPr>
        <rFont val="Arial"/>
        <color rgb="FF1155CC"/>
        <u/>
      </rPr>
      <t>ideo</t>
    </r>
  </si>
  <si>
    <t>28k /
106,5k</t>
  </si>
  <si>
    <t>1.000.000 
500.000</t>
  </si>
  <si>
    <t>111000334065
Bùi Ngọc Phương Trang
Vietcombank</t>
  </si>
  <si>
    <t>Nguyễn Đình Lượng</t>
  </si>
  <si>
    <t>310k</t>
  </si>
  <si>
    <t>video
video</t>
  </si>
  <si>
    <t>68,3k /
672,3k</t>
  </si>
  <si>
    <t>3405205260467
Nguyễn Đình Lượng
Agrbank</t>
  </si>
  <si>
    <t>Bình An</t>
  </si>
  <si>
    <t>165k</t>
  </si>
  <si>
    <t>4,6k</t>
  </si>
  <si>
    <t>108868753557
Đỗ Thị Muôn
Vietinbank</t>
  </si>
  <si>
    <t>Nguyễn Anh Dũng</t>
  </si>
  <si>
    <t>223k</t>
  </si>
  <si>
    <t>tiktok</t>
  </si>
  <si>
    <t>19036869603010
Nguyễn Anh Dũng
Techcombank</t>
  </si>
  <si>
    <t>Thành Dương</t>
  </si>
  <si>
    <t>219k</t>
  </si>
  <si>
    <t>6,4k</t>
  </si>
  <si>
    <t>7610111273004
Dương Thị Thành
MB Bank</t>
  </si>
  <si>
    <t>Minh Thùy</t>
  </si>
  <si>
    <t>155k</t>
  </si>
  <si>
    <t>33k</t>
  </si>
  <si>
    <t>42110000408833
Đào Thị Minh Thùy
BIDV</t>
  </si>
  <si>
    <t>Vu Thy Hanh</t>
  </si>
  <si>
    <t>156k</t>
  </si>
  <si>
    <t>5,8k</t>
  </si>
  <si>
    <t>0021000288918
Vũ Thị Hạnh
Vietcombank</t>
  </si>
  <si>
    <t>Nguyễn Thanh Huyền</t>
  </si>
  <si>
    <t>258k</t>
  </si>
  <si>
    <t>5,2k</t>
  </si>
  <si>
    <t>19032361721888
Nguyen Thanh Huyen
Techcombank</t>
  </si>
  <si>
    <t>Nguyễn Thượng Van Anh</t>
  </si>
  <si>
    <t>271k</t>
  </si>
  <si>
    <t>64,7k</t>
  </si>
  <si>
    <t>4502205172782
Nguyen Thuong Van Anh
Agribank</t>
  </si>
  <si>
    <t>Vũ Thanh Huyền</t>
  </si>
  <si>
    <t>224k</t>
  </si>
  <si>
    <t>5,9k</t>
  </si>
  <si>
    <t>19127032774661
Vu Thi Thanh Huyen
Techcombank</t>
  </si>
  <si>
    <t>Anh Đức</t>
  </si>
  <si>
    <t>74,8k</t>
  </si>
  <si>
    <t>Số TK 6868868999 MBBank. Trịnh Anh Dũng</t>
  </si>
  <si>
    <t>Lương Khánh Huyền</t>
  </si>
  <si>
    <t>67,1k</t>
  </si>
  <si>
    <t>3,2k</t>
  </si>
  <si>
    <t>37110000948061
Lương Khánh Huyền
BIDV</t>
  </si>
  <si>
    <t>Nguyễn Nam</t>
  </si>
  <si>
    <t>228,2k</t>
  </si>
  <si>
    <t>12223808609015- Techcombank- Nguyễn Thị Nam</t>
  </si>
  <si>
    <t>Hwang Long (Táo)</t>
  </si>
  <si>
    <t>90k</t>
  </si>
  <si>
    <t>49k</t>
  </si>
  <si>
    <t>53110000923620
Le Hoang Long
BIDV</t>
  </si>
  <si>
    <t>Nguyễn Mộc Lan</t>
  </si>
  <si>
    <r>
      <rPr>
        <color rgb="FF1155CC"/>
        <u/>
      </rPr>
      <t>fb</t>
    </r>
    <r>
      <rPr>
        <color rgb="FF000000"/>
        <u/>
      </rPr>
      <t xml:space="preserve"> / </t>
    </r>
    <r>
      <rPr>
        <color rgb="FF1155CC"/>
        <u/>
      </rPr>
      <t>tiktok</t>
    </r>
  </si>
  <si>
    <t>56k / 105k</t>
  </si>
  <si>
    <t>Nguyễn Thị Hồng Nhung</t>
  </si>
  <si>
    <t>Bích Hằng</t>
  </si>
  <si>
    <t>37k</t>
  </si>
  <si>
    <t>52k</t>
  </si>
  <si>
    <t xml:space="preserve">06001010706814
</t>
  </si>
  <si>
    <t>MSB Ngân Hàng TMCP Hàng Hải Việt Nam</t>
  </si>
  <si>
    <t>Le Thi Bich Hang</t>
  </si>
  <si>
    <t>Lam Thao Nhi</t>
  </si>
  <si>
    <t>65k</t>
  </si>
  <si>
    <t>2,4k</t>
  </si>
  <si>
    <t>nguyễn thị thảo nhi</t>
  </si>
  <si>
    <t>Đặng Đức Đại (MC)</t>
  </si>
  <si>
    <r>
      <rPr>
        <color rgb="FF1155CC"/>
        <u/>
      </rPr>
      <t xml:space="preserve">fb / </t>
    </r>
    <r>
      <rPr>
        <color rgb="FF1155CC"/>
        <u/>
      </rPr>
      <t>ig</t>
    </r>
  </si>
  <si>
    <t>50k / 62k</t>
  </si>
  <si>
    <t xml:space="preserve">0021000412417
</t>
  </si>
  <si>
    <t>VIETCOMBANK</t>
  </si>
  <si>
    <t>DANG DUC DAI</t>
  </si>
  <si>
    <t>Huỳnh Thị Huỳnh Như</t>
  </si>
  <si>
    <t>55k</t>
  </si>
  <si>
    <t xml:space="preserve">0281000656733
</t>
  </si>
  <si>
    <t>Huynh Thi Huynh Nhu</t>
  </si>
  <si>
    <t>Vũ Tiến Anh</t>
  </si>
  <si>
    <t>50k</t>
  </si>
  <si>
    <t>Vu Tien Anh</t>
  </si>
  <si>
    <t>Ngoc Thanh</t>
  </si>
  <si>
    <t>94k</t>
  </si>
  <si>
    <t xml:space="preserve">Phạm Thị Thanh Ngọc </t>
  </si>
  <si>
    <t>Phương Chinh</t>
  </si>
  <si>
    <t>13k</t>
  </si>
  <si>
    <t>VU THI PHUONG CHINH</t>
  </si>
  <si>
    <t>Bé Đăng</t>
  </si>
  <si>
    <t>163k/42k</t>
  </si>
  <si>
    <t>72k</t>
  </si>
  <si>
    <t xml:space="preserve">0331000488376
</t>
  </si>
  <si>
    <t>Trần Hải Đăng</t>
  </si>
  <si>
    <t>Van Toan Tran</t>
  </si>
  <si>
    <t>22k/98,1k</t>
  </si>
  <si>
    <r>
      <rPr>
        <color rgb="FF1155CC"/>
        <u/>
      </rPr>
      <t>tiktok</t>
    </r>
    <r>
      <rPr>
        <color rgb="FF000000"/>
        <u/>
      </rPr>
      <t xml:space="preserve"> / </t>
    </r>
    <r>
      <rPr>
        <color rgb="FF1155CC"/>
        <u/>
      </rPr>
      <t>ig</t>
    </r>
  </si>
  <si>
    <t>105k / 108k</t>
  </si>
  <si>
    <t>Ngân Hàng Quốc Tế VIB</t>
  </si>
  <si>
    <t>TRAN VAN TOAN</t>
  </si>
  <si>
    <t xml:space="preserve">Thịnh Nguyễn </t>
  </si>
  <si>
    <t>323k</t>
  </si>
  <si>
    <r>
      <rPr>
        <color rgb="FF1155CC"/>
        <u/>
      </rPr>
      <t>1</t>
    </r>
    <r>
      <rPr>
        <color rgb="FF000000"/>
        <u/>
      </rPr>
      <t xml:space="preserve"> / </t>
    </r>
    <r>
      <rPr>
        <color rgb="FF1155CC"/>
        <u/>
      </rPr>
      <t>2</t>
    </r>
    <r>
      <rPr>
        <color rgb="FF000000"/>
        <u/>
      </rPr>
      <t xml:space="preserve"> </t>
    </r>
  </si>
  <si>
    <t xml:space="preserve">1,9M / 1,5M </t>
  </si>
  <si>
    <t xml:space="preserve">0061001193800
</t>
  </si>
  <si>
    <t>Nguyễn Đình thịnh</t>
  </si>
  <si>
    <t>Đặng Thị Huyền</t>
  </si>
  <si>
    <t>301k</t>
  </si>
  <si>
    <t>75k</t>
  </si>
  <si>
    <t xml:space="preserve">
'060265729889
</t>
  </si>
  <si>
    <t>Minh Thắng</t>
  </si>
  <si>
    <t>69,5k</t>
  </si>
  <si>
    <t>19k</t>
  </si>
  <si>
    <t>Lê Văn Minh Thắng</t>
  </si>
  <si>
    <t>phan toàn</t>
  </si>
  <si>
    <t>đơn vị 1000</t>
  </si>
  <si>
    <t>Cần kéo công thức</t>
  </si>
  <si>
    <t>Ko cần kéo công thức</t>
  </si>
  <si>
    <t>Mã INF</t>
  </si>
  <si>
    <t>Kênh hợp</t>
  </si>
  <si>
    <t>Số lượng Flow</t>
  </si>
  <si>
    <t>Ngày hợp tác</t>
  </si>
  <si>
    <t>Link ảnh/video</t>
  </si>
  <si>
    <t>Tiền lên video</t>
  </si>
  <si>
    <t>Tháng</t>
  </si>
  <si>
    <t>Năm</t>
  </si>
  <si>
    <t>INFHUYEN641</t>
  </si>
  <si>
    <t>Facebook</t>
  </si>
  <si>
    <t>https://www.facebook.com/nguyen.huyenthu.716/videos/2920449061508309</t>
  </si>
  <si>
    <t>https://www.facebook.com/100008065904636/posts/3515920005353495/?d=n</t>
  </si>
  <si>
    <t>INFNHI376</t>
  </si>
  <si>
    <t>TikTok</t>
  </si>
  <si>
    <t>https://www.tiktok.com/@nhyyng/video/6987713962817228059?</t>
  </si>
  <si>
    <t>INFGIANG354</t>
  </si>
  <si>
    <t>https://www.tiktok.com/@giangdeyy0/video/6986251851104554266?</t>
  </si>
  <si>
    <t>INFTHUY744</t>
  </si>
  <si>
    <t>https://www.tiktok.com/@thuyngann_16/video/6988304363961765146</t>
  </si>
  <si>
    <t>INFNHAN283</t>
  </si>
  <si>
    <t>https://www.tiktok.com/@shoppingfamily_/video/6985609926110432538?</t>
  </si>
  <si>
    <t>https://www.facebook.com/100010053467105/posts/1588303668181400/?d=n</t>
  </si>
  <si>
    <t>INFTHIA247</t>
  </si>
  <si>
    <t>https://www.tiktok.com/@thianguyen2001/video/6984759162777439514?</t>
  </si>
  <si>
    <t>INFHUONG035</t>
  </si>
  <si>
    <t>https://www.tiktok.com/@qh.bland/video/6987723855364115739?</t>
  </si>
  <si>
    <t>INFTU694</t>
  </si>
  <si>
    <t>https://www.tiktok.com/@soojin51296/video/6988474391059369243</t>
  </si>
  <si>
    <t>INFHIEN432</t>
  </si>
  <si>
    <t>https://www.tiktok.com/@cu_bo2018/video/6984019010870463771?lang=vi-VN&amp;is_copy_url=1&amp;is_from_webapp=v1</t>
  </si>
  <si>
    <t>INFSON699</t>
  </si>
  <si>
    <t>https://www.tiktok.com/@mai_xuan_son/video/6984757361055468826?</t>
  </si>
  <si>
    <t>INFAN247</t>
  </si>
  <si>
    <t>https://www.tiktok.com/@baongoc.1906/video/6984347866856770842?</t>
  </si>
  <si>
    <t>INFTHUYET316</t>
  </si>
  <si>
    <t>https://www.tiktok.com/@anhthuyet/video/6983641021737389338?</t>
  </si>
  <si>
    <t xml:space="preserve">Trâm </t>
  </si>
  <si>
    <t>INFTHANG040</t>
  </si>
  <si>
    <t>https://www.tiktok.com/@minhthanglv/video/6988824990095363355?</t>
  </si>
  <si>
    <t>INFLY965</t>
  </si>
  <si>
    <t>https://www.tiktok.com/@thokiwi98/video/6985501855975542042?</t>
  </si>
  <si>
    <t>INFAN937</t>
  </si>
  <si>
    <t>https://www.tiktok.com/@moe1m77/video/6986165765447666971?</t>
  </si>
  <si>
    <t>INFTOAN673</t>
  </si>
  <si>
    <t>https://vt.tiktok.com/ZGJSnEmNk/</t>
  </si>
  <si>
    <t>INFHA929</t>
  </si>
  <si>
    <t>https://www.tiktok.com/@hth.1909/video/6987213734360010011?l</t>
  </si>
  <si>
    <t>INFANH828</t>
  </si>
  <si>
    <t>https://www.tiktok.com/@phun.anh/video/6985747312458976538?</t>
  </si>
  <si>
    <t>INFDUONG116</t>
  </si>
  <si>
    <t>https://www.tiktok.com/@sunflizme/video/6985376475360906522?</t>
  </si>
  <si>
    <t>INFHOAI569</t>
  </si>
  <si>
    <t>https://www.tiktok.com/@mango011101/video/6988452233641872666?</t>
  </si>
  <si>
    <t>INFHUYEN607</t>
  </si>
  <si>
    <t>https://www.tiktok.com/@behyblack/video/6985394076241661210?</t>
  </si>
  <si>
    <t>INFPHUONG497</t>
  </si>
  <si>
    <t>https://www.tiktok.com/@hoduyphuong/video/6986852837477109018?_</t>
  </si>
  <si>
    <t>trâm</t>
  </si>
  <si>
    <t>INFKHANH369</t>
  </si>
  <si>
    <t>https://www.tiktok.com/@khanhkhie/video/6989582358781496602?</t>
  </si>
  <si>
    <t>INFDAI376</t>
  </si>
  <si>
    <t>https://www.facebook.com/100004356046481/posts/1911476309007552/</t>
  </si>
  <si>
    <t>INFNHU209</t>
  </si>
  <si>
    <t>https://www.facebook.com/100006045494111/posts/2934862643391890/?d=n</t>
  </si>
  <si>
    <t>INFANH277</t>
  </si>
  <si>
    <t>https://www.facebook.com/tienanh.vu.334/videos/358632378979133</t>
  </si>
  <si>
    <t>INFLONG121</t>
  </si>
  <si>
    <t>https://www.tiktok.com/@hoanglong86a/video/6987977038158187802?</t>
  </si>
  <si>
    <t>INFNHUNG305</t>
  </si>
  <si>
    <t>https://www.facebook.com/100004547253309/posts/1834003973427827/</t>
  </si>
  <si>
    <t>INFHANG536</t>
  </si>
  <si>
    <t>https://www.facebook.com/100034376687766/videos/1011431982958642</t>
  </si>
  <si>
    <t>INFNHI579</t>
  </si>
  <si>
    <t>https://www.facebook.com/100061193164477/posts/210514170998354/</t>
  </si>
  <si>
    <t>INFNGOC361</t>
  </si>
  <si>
    <t>https://www.facebook.com/100028527371304/videos/557859528559826</t>
  </si>
  <si>
    <t>INFCHINH015</t>
  </si>
  <si>
    <t>https://www.facebook.com/100022227891749/posts/1003653740385546/</t>
  </si>
  <si>
    <t>INFDANG045</t>
  </si>
  <si>
    <t>https://www.tiktok.com/@bedangbae/video/6984029292141350170</t>
  </si>
  <si>
    <t>Hiên</t>
  </si>
  <si>
    <t>INFTOAN565</t>
  </si>
  <si>
    <t>https://www.tiktok.com/@toanprdsofficial/video/6989206587835419931?</t>
  </si>
  <si>
    <t>INFTHINH473</t>
  </si>
  <si>
    <t>https://www.tiktok.com/@thinhnguyenart_official/video/6986805848148364570</t>
  </si>
  <si>
    <t>INFHUYEN144</t>
  </si>
  <si>
    <t>https://www.tiktok.com/@h21052001/video/6986880680403684635</t>
  </si>
  <si>
    <t>INFHIEN779</t>
  </si>
  <si>
    <t>INFHOA600</t>
  </si>
  <si>
    <t>INFYEN550</t>
  </si>
  <si>
    <t>INFTRANG604</t>
  </si>
  <si>
    <t>INFLUONG135</t>
  </si>
  <si>
    <t>INFHUYEN706</t>
  </si>
  <si>
    <t>INFMUON299</t>
  </si>
  <si>
    <t>INFDUNG768</t>
  </si>
  <si>
    <t>INFTHANH287</t>
  </si>
  <si>
    <t>INFTHUY768</t>
  </si>
  <si>
    <t>INFHANH558</t>
  </si>
  <si>
    <t>INFMY731</t>
  </si>
  <si>
    <t>INFOANH237</t>
  </si>
  <si>
    <t>INFHIEU576</t>
  </si>
  <si>
    <t>Instagram</t>
  </si>
  <si>
    <t>INFDIEM269</t>
  </si>
  <si>
    <t>INFHUYEN889</t>
  </si>
  <si>
    <t>INFDUC356</t>
  </si>
  <si>
    <t>INFTRANG994</t>
  </si>
  <si>
    <t>INFTHU885</t>
  </si>
  <si>
    <t>INFTHY605</t>
  </si>
  <si>
    <t>INFVI950</t>
  </si>
  <si>
    <t>INFTHU737</t>
  </si>
  <si>
    <t>INFTHAO312</t>
  </si>
  <si>
    <t>INFVI930</t>
  </si>
  <si>
    <t>INFANH454</t>
  </si>
  <si>
    <t>INFTHAO257</t>
  </si>
  <si>
    <t>INFTRUNG761</t>
  </si>
  <si>
    <t>INFHUYEN055</t>
  </si>
  <si>
    <t>INFANH073</t>
  </si>
  <si>
    <t>INFOANH529</t>
  </si>
  <si>
    <t>INFTHANH316</t>
  </si>
  <si>
    <t>INFNAM799</t>
  </si>
  <si>
    <t>INFDUNG468</t>
  </si>
  <si>
    <t>https://www.tiktok.com/@bthuy124?lang=vi-VN</t>
  </si>
  <si>
    <t>INFLINH722</t>
  </si>
  <si>
    <t>https://vt.tiktok.com/ZGJB2LgvP/</t>
  </si>
  <si>
    <t>bạn này cat600</t>
  </si>
  <si>
    <t>INFLY457</t>
  </si>
  <si>
    <t>https://www.facebook.com/100007838504341/posts/3003094156628505/?d=n</t>
  </si>
  <si>
    <t>https://vt.tiktok.com/ZGJB49SD8/</t>
  </si>
  <si>
    <t>INFLINH548</t>
  </si>
  <si>
    <t>https://m.facebook.com/story.php?story_fbid=4160803267368409&amp;id=100003163299957</t>
  </si>
  <si>
    <t>INFVI868</t>
  </si>
  <si>
    <t>https://www.facebook.com/100010592763690/posts/2391267727902963/?d=n</t>
  </si>
  <si>
    <t>INFHAN224</t>
  </si>
  <si>
    <t>https://www.facebook.com/100067564274854/posts/143402697921872/?d=n</t>
  </si>
  <si>
    <t>INFTHAO439</t>
  </si>
  <si>
    <t>https://www.facebook.com/100004080040114/posts/2515857858560191/?d=n</t>
  </si>
  <si>
    <t>https://vt.tiktok.com/ZGJB68ytY/</t>
  </si>
  <si>
    <t>INFHAI912</t>
  </si>
  <si>
    <t>https://www.facebook.com/100013229984459/posts/1252675021850152/?d=n</t>
  </si>
  <si>
    <t>https://www.instagram.com/p/CRrBP9HFtOj/</t>
  </si>
  <si>
    <t>INFPHONG828</t>
  </si>
  <si>
    <t>https://vt.tiktok.com/ZGJSFcnfc/</t>
  </si>
  <si>
    <t>INFHUYEN136</t>
  </si>
  <si>
    <t>https://www.facebook.com/100011773579602/posts/1295250114210762/?d=n</t>
  </si>
  <si>
    <t>INFKIET968</t>
  </si>
  <si>
    <t>https://vt.tiktok.com/ZGJSHwrLw/</t>
  </si>
  <si>
    <t>INFHA960</t>
  </si>
  <si>
    <t>https://www.facebook.com/vuthiha89/posts/1956834161136593</t>
  </si>
  <si>
    <t>INFPHUONG582</t>
  </si>
  <si>
    <t>https://www.facebook.com/story.php?story_fbid=2107821152726732&amp;id=100004966026889</t>
  </si>
  <si>
    <t>INFMEN819</t>
  </si>
  <si>
    <t>https://vt.tiktok.com/ZGJSmVJE3/</t>
  </si>
  <si>
    <t>INFVAN215</t>
  </si>
  <si>
    <t>https://vt.tiktok.com/ZGJSHA2sq/</t>
  </si>
  <si>
    <t>INFHOANG458</t>
  </si>
  <si>
    <t>https://www.tiktok.com/@letrunghoang/video/6988442276729015579?</t>
  </si>
  <si>
    <t>INFDONG741</t>
  </si>
  <si>
    <t>https://vt.tiktok.com/ZGJSmgcuu/</t>
  </si>
  <si>
    <t>INFHIEN448</t>
  </si>
  <si>
    <t>https://vt.tiktok.com/ZGJSmqHE7/</t>
  </si>
  <si>
    <t>INFDUONG685</t>
  </si>
  <si>
    <t xml:space="preserve">	https://vt.tiktok.com/ZGJSmqHE7/									</t>
  </si>
  <si>
    <t>INFDUY489</t>
  </si>
  <si>
    <t>https://vt.tiktok.com/ZGJSnBoUW/</t>
  </si>
  <si>
    <t>INFTHANH071</t>
  </si>
  <si>
    <t>https://vt.tiktok.com/ZGJSn5ewJ/</t>
  </si>
  <si>
    <t>INFNHAT557</t>
  </si>
  <si>
    <t>https://vt.tiktok.com/ZGJA1oNqY/</t>
  </si>
  <si>
    <t>INFTRANG535</t>
  </si>
  <si>
    <t>https://vt.tiktok.com/ZGJAJB8Ue/</t>
  </si>
  <si>
    <t>INFHUONG558</t>
  </si>
  <si>
    <t>https://vt.tiktok.com/ZGJAJdsw5/</t>
  </si>
  <si>
    <t>INFQUYEN983</t>
  </si>
  <si>
    <t>https://vt.tiktok.com/ZGJSnXWNM/</t>
  </si>
  <si>
    <t>INFPHUONG332</t>
  </si>
  <si>
    <t>https://vt.tiktok.com/ZGJAJF8TU/</t>
  </si>
  <si>
    <t/>
  </si>
  <si>
    <t>INFNHUT421</t>
  </si>
  <si>
    <t>https://www.tiktok.com/@nhut26march/video/6992182101940374785?is_copy_url=0&amp;is_from_webapp=v1&amp;sender_device=pc&amp;sender_web_id=6908929983101486593</t>
  </si>
  <si>
    <t>INFQUANG627</t>
  </si>
  <si>
    <t>https://www.tiktok.com/@nhquangho17.naau/video/6989607455160356122?lang=vi-VN&amp;is_copy_url=0&amp;is_from_webapp=v1&amp;sender_device=pc&amp;sender_web_id=6908929983101486593</t>
  </si>
  <si>
    <t>INFTHI599</t>
  </si>
  <si>
    <t>https://www.tiktok.com/@vietthi.p336/video/6989901173205601562?</t>
  </si>
  <si>
    <t>INFHUONG090</t>
  </si>
  <si>
    <t>https://www.facebook.com/100041895573484/posts/570431567696691/?d=n</t>
  </si>
  <si>
    <t>INFTUYEN845</t>
  </si>
  <si>
    <t>https://www.facebook.com/100003131800673/posts/4188330314614654/?d=n</t>
  </si>
  <si>
    <t>INFLOAN518</t>
  </si>
  <si>
    <t>https://www.facebook.com/100046712499565/posts/355803339320080/?d=n</t>
  </si>
  <si>
    <t>INFVAN497</t>
  </si>
  <si>
    <t>https://www.facebook.com/ky.ky.5209/posts/3078290249161833</t>
  </si>
  <si>
    <t>INFTHANH903</t>
  </si>
  <si>
    <t>https://www.tiktok.com/@hat590/video/6989576551998262555?</t>
  </si>
  <si>
    <t>INFTU672</t>
  </si>
  <si>
    <t>https://www.tiktok.com/@hoang_giatuofficial/video/6988835648597658906?</t>
  </si>
  <si>
    <t>INFHAN236</t>
  </si>
  <si>
    <t>https://www.tiktok.com/@chutieuhan10012001/video/6991051453611674907?</t>
  </si>
  <si>
    <t>INFCUONG506</t>
  </si>
  <si>
    <t>https://www.tiktok.com/@cuonghancouple/video/6992911283016256795?</t>
  </si>
  <si>
    <t>https://www.facebook.com/watch/?v=358189612342573&amp;extid=NS-UNK-UNK-UNK-IOS_GK0T-GK1C</t>
  </si>
  <si>
    <t>YouTube</t>
  </si>
  <si>
    <t>https://www.youtube.com/watch?v=A8wUVr6AGrI&amp;t=439s</t>
  </si>
  <si>
    <t>INFNGAN562</t>
  </si>
  <si>
    <t>https://www.tiktok.com/@ngannt212/video/6989825465703763227?</t>
  </si>
  <si>
    <t>INFHUE673</t>
  </si>
  <si>
    <t>https://www.facebook.com/01633166673h/videos/1033006097103767</t>
  </si>
  <si>
    <t>INFTU191</t>
  </si>
  <si>
    <t>https://www.facebook.com/100004590362501/posts/1979306372232356/?d=n</t>
  </si>
  <si>
    <t>INFHOA917</t>
  </si>
  <si>
    <t>https://www.tiktok.com/@phamquynhhoa2004/video/6989592326041554203?</t>
  </si>
  <si>
    <t>INFVINH509</t>
  </si>
  <si>
    <t>https://www.tiktok.com/@phamvinh99/video/6990582079016684827?</t>
  </si>
  <si>
    <t>INFSON996</t>
  </si>
  <si>
    <t>https://www.tiktok.com/@itsbevis/video/6992551336797687041?</t>
  </si>
  <si>
    <t>INFTRANG620</t>
  </si>
  <si>
    <t>https://www.tiktok.com/@letrang_2k2/video/6990197204019350810?</t>
  </si>
  <si>
    <t>INFTRUONG940</t>
  </si>
  <si>
    <t>https://www.tiktok.com/@badt99/video/6990905217294306586?</t>
  </si>
  <si>
    <t>Tháng 7</t>
  </si>
  <si>
    <t>Tháng 8</t>
  </si>
  <si>
    <t>Tháng 9</t>
  </si>
  <si>
    <t>Tháng 10</t>
  </si>
  <si>
    <t>Tháng 11</t>
  </si>
  <si>
    <t>Tháng 12</t>
  </si>
  <si>
    <t>STT</t>
  </si>
  <si>
    <t>Kênh hợp tác</t>
  </si>
  <si>
    <t>Link Video</t>
  </si>
  <si>
    <t>Ngày đăng video</t>
  </si>
  <si>
    <t>Nhóm Nội Dung</t>
  </si>
  <si>
    <t>Check</t>
  </si>
  <si>
    <t>Số view (đơn vị 1000)</t>
  </si>
  <si>
    <t>Thành tiền</t>
  </si>
  <si>
    <t>Nhóm 1</t>
  </si>
  <si>
    <t>Nhóm 3</t>
  </si>
  <si>
    <t>https://www.tiktok.com/@giangdeyy0/video/6987221320555711770?</t>
  </si>
  <si>
    <t>https://www.tiktok.com/@giangdeyy0/video/6987288042763504922?</t>
  </si>
  <si>
    <t>https://www.tiktok.com/@giangdeyy0/video/6987566550714797338?</t>
  </si>
  <si>
    <t>https://www.tiktok.com/@thuyngann_16/video/6988304363961765146?</t>
  </si>
  <si>
    <t>Nhóm 2</t>
  </si>
  <si>
    <t>https://www.tiktok.com/@thianguyen2001/video/6985927736422370586?</t>
  </si>
  <si>
    <t>https://www.tiktok.com/@thianguyen2001/video/6987770920102300954?fbclid=IwAR2K88TH_6Pxwa31Ff96qvddJoh9dCU0fDhOpZGRrmFbW6yhW__kQWi3yLo&amp;is_copy_url=0&amp;is_from_webapp=v1&amp;sender_device=pc&amp;sender_web_id=6908929983101486593</t>
  </si>
  <si>
    <t>https://www.tiktok.com/@soojin51296/video/6988474391059369243?is_copy_url=0&amp;is_from_webapp=v1&amp;sender_device=pc&amp;sender_web_id=6908929983101486593</t>
  </si>
  <si>
    <t>https://www.tiktok.com/@cu_bo32/video/6984019010870463771?lang=vi-VN&amp;is_copy_url=0&amp;is_from_webapp=v1&amp;sender_device=pc&amp;sender_web_id=6908929983101486593</t>
  </si>
  <si>
    <t>https://www.tiktok.com/@cu_bo32/video/6984622779647708442?lang=vi-VN&amp;is_copy_url=0&amp;is_from_webapp=v1&amp;sender_device=pc&amp;sender_web_id=6908929983101486593</t>
  </si>
  <si>
    <t>https://www.tiktok.com/@cu_bo32/video/6984960307118574874?lang=vi-VN&amp;is_copy_url=0&amp;is_from_webapp=v1&amp;sender_device=pc&amp;sender_web_id=6908929983101486593</t>
  </si>
  <si>
    <t>https://www.tiktok.com/@cu_bo32/video/6985710987580017947?lang=vi-VN&amp;is_copy_url=0&amp;is_from_webapp=v1&amp;sender_device=pc&amp;sender_web_id=6908929983101486593</t>
  </si>
  <si>
    <t>https://www.tiktok.com/@cu_bo32/video/6986086729610480923?lang=vi-VN&amp;is_copy_url=0&amp;is_from_webapp=v1&amp;sender_device=pc&amp;sender_web_id=6908929983101486593</t>
  </si>
  <si>
    <t>https://www.tiktok.com/@cu_bo32/video/6986485072950005019?lang=vi-VN&amp;is_copy_url=0&amp;is_from_webapp=v1&amp;sender_device=pc&amp;sender_web_id=6908929983101486593</t>
  </si>
  <si>
    <t>https://www.tiktok.com/@cu_bo32/video/6987339407518960922?lang=vi-VN&amp;is_copy_url=0&amp;is_from_webapp=v1&amp;sender_device=pc&amp;sender_web_id=6908929983101486593</t>
  </si>
  <si>
    <t>https://www.tiktok.com/@cu_bo32/video/6987989671120768283?lang=vi-VN&amp;is_copy_url=0&amp;is_from_webapp=v1&amp;sender_device=pc&amp;sender_web_id=6908929983101486593</t>
  </si>
  <si>
    <t>https://www.tiktok.com/@cu_bo32/video/6988713594175130907?lang=vi-VN&amp;is_copy_url=0&amp;is_from_webapp=v1&amp;sender_device=pc&amp;sender_web_id=6908929983101486593</t>
  </si>
  <si>
    <t>https://www.tiktok.com/@mai_xuan_son/video/6984757361055468826?lang=vi-VN&amp;is_copy_url=0&amp;is_from_webapp=v1&amp;sender_device=pc&amp;sender_web_id=6908929983101486593</t>
  </si>
  <si>
    <t>https://www.tiktok.com/@mai_xuan_son/video/6985395217721675035?lang=vi-VN&amp;is_copy_url=0&amp;is_from_webapp=v1&amp;sender_device=pc&amp;sender_web_id=6908929983101486593</t>
  </si>
  <si>
    <t>https://www.tiktok.com/@mai_xuan_son/video/6985877587641896219?lang=vi-VN&amp;is_copy_url=0&amp;is_from_webapp=v1&amp;sender_device=pc&amp;sender_web_id=6908929983101486593</t>
  </si>
  <si>
    <t>https://www.tiktok.com/@baongoc.1906/video/6985915344045083931?</t>
  </si>
  <si>
    <t>https://www.tiktok.com/@anhthuyet/video/6984370824404897051?lang=vi-VN&amp;is_copy_url=0&amp;is_from_webapp=v1&amp;sender_device=pc&amp;sender_web_id=6908929983101486593</t>
  </si>
  <si>
    <t>https://www.tiktok.com/@anhthuyet/video/6985504403096718619?lang=vi-VN&amp;is_copy_url=0&amp;is_from_webapp=v1&amp;sender_device=pc&amp;sender_web_id=6908929983101486593</t>
  </si>
  <si>
    <t>https://www.tiktok.com/@anhthuyet/video/6986225716740377882?lang=vi-VN&amp;is_copy_url=0&amp;is_from_webapp=v1&amp;sender_device=pc&amp;sender_web_id=6908929983101486593</t>
  </si>
  <si>
    <t>https://www.tiktok.com/@anhthuyet/video/6986964324917021979?lang=vi-VN&amp;is_copy_url=0&amp;is_from_webapp=v1&amp;sender_device=pc&amp;sender_web_id=6908929983101486593</t>
  </si>
  <si>
    <t>https://www.tiktok.com/@anhthuyet/video/6987343268275047707?lang=vi-VN&amp;is_copy_url=0&amp;is_from_webapp=v1&amp;sender_device=pc&amp;sender_web_id=6908929983101486593</t>
  </si>
  <si>
    <t>https://www.tiktok.com/@anhthuyet/video/6987708099490614555?lang=vi-VN&amp;is_copy_url=0&amp;is_from_webapp=v1&amp;sender_device=pc&amp;sender_web_id=6908929983101486593</t>
  </si>
  <si>
    <t>https://www.tiktok.com/@anhthuyet/video/6983641021737389338?lang=vi-VN&amp;is_copy_url=0&amp;is_from_webapp=v1&amp;sender_device=pc&amp;sender_web_id=6908929983101486593</t>
  </si>
  <si>
    <t>https://www.tiktok.com/@thokiwi98/video/6985885789154561307?</t>
  </si>
  <si>
    <t>https://www.tiktok.com/@thokiwi98/video/6986996760472325403?</t>
  </si>
  <si>
    <t>https://www.tiktok.com/@thokiwi98/video/6987749455248313626?is_copy_url=0&amp;is_from_webapp=v1&amp;sender_device=pc&amp;sender_web_id=6908929983101486593</t>
  </si>
  <si>
    <t>https://www.tiktok.com/@phandactoan/video/6989231727549992219?</t>
  </si>
  <si>
    <t>https://www.tiktok.com/@hth.1909/video/6987213734360010011?l=&amp;is_copy_url=0&amp;is_from_webapp=v1&amp;sender_device=pc&amp;sender_web_id=6908929983101486593</t>
  </si>
  <si>
    <t>https://www.tiktok.com/@hth.1909/video/6987359551163010331?l=&amp;is_copy_url=0&amp;is_from_webapp=v1&amp;sender_device=pc&amp;sender_web_id=6908929983101486593</t>
  </si>
  <si>
    <t>https://www.tiktok.com/@phun.anh/video/6985747312458976538?lang=vi-VN&amp;is_copy_url=0&amp;is_from_webapp=v1&amp;sender_device=pc&amp;sender_web_id=6908929983101486593</t>
  </si>
  <si>
    <t>https://www.tiktok.com/@phun.anh/video/6987227337142193435?lang=vi-VN&amp;is_copy_url=0&amp;is_from_webapp=v1&amp;sender_device=pc&amp;sender_web_id=6908929983101486593</t>
  </si>
  <si>
    <t>https://www.tiktok.com/@phun.anh/video/6987974852133113115?lang=vi-VN&amp;is_copy_url=0&amp;is_from_webapp=v1&amp;sender_device=pc&amp;sender_web_id=6908929983101486593</t>
  </si>
  <si>
    <t>https://www.tiktok.com/@sunflizme/video/6986526055104400667?</t>
  </si>
  <si>
    <t>https://www.tiktok.com/@sunflizme/video/6986652181176831259?</t>
  </si>
  <si>
    <t>https://www.tiktok.com/@mango011101/video/6988452233641872666?is_copy_url=0&amp;is_from_webapp=v1&amp;sender_device=pc&amp;sender_web_id=6908929983101486593</t>
  </si>
  <si>
    <t>https://www.tiktok.com/@behyblack/video/6985394076241661210?is_copy_url=0&amp;is_from_webapp=v1&amp;sender_device=pc&amp;sender_web_id=6908929983101486593</t>
  </si>
  <si>
    <t>https://www.tiktok.com/@hoduyphuong/video/6986852837477109018?_=&amp;is_copy_url=0&amp;is_from_webapp=v1&amp;sender_device=pc&amp;sender_web_id=6908929983101486593</t>
  </si>
  <si>
    <t>https://www.tiktok.com/@hoduyphuong/video/6987601217287507227?_=&amp;is_copy_url=0&amp;is_from_webapp=v1&amp;sender_device=pc&amp;sender_web_id=6908929983101486593</t>
  </si>
  <si>
    <t>https://www.instagram.com/p/CRqeQUYHT4r/?utm_medium=copy_link</t>
  </si>
  <si>
    <t>https://www.facebook.com/100006045494111/videos/781616739195419</t>
  </si>
  <si>
    <t>https://www.tiktok.com/@hoanglong86a/video/6987977038158187802?is_copy_url=0&amp;is_from_webapp=v1&amp;sender_device=pc&amp;sender_web_id=6908929983101486593</t>
  </si>
  <si>
    <t>https://www.facebook.com/moclanla/videos/810057876567671</t>
  </si>
  <si>
    <t>https://www.tiktok.com/@moclan24/video/6985398456982490394?is_copy_url=0&amp;is_from_webapp=v1&amp;sender_device=pc&amp;sender_web_id=6908929983101486593</t>
  </si>
  <si>
    <t>https://www.facebook.com/thaonhi.lam.16121/videos/495856034847593</t>
  </si>
  <si>
    <t>https://www.tiktok.com/@nhinguyenn84/video/6988885802331819291?is_copy_url=0&amp;is_from_webapp=v1&amp;sender_device=pc&amp;sender_web_id=6908929983101486593</t>
  </si>
  <si>
    <t>https://www.tiktok.com/@bedangbae/video/6984029292141350170?is_copy_url=0&amp;is_from_webapp=v1&amp;sender_device=pc&amp;sender_web_id=6908929983101486593</t>
  </si>
  <si>
    <t>https://www.tiktok.com/@bedangbae/video/6988479754257173787?is_copy_url=0&amp;is_from_webapp=v1&amp;sender_device=pc&amp;sender_web_id=6908929983101486593</t>
  </si>
  <si>
    <t>https://www.tiktok.com/@bedangbae/video/6988850866996464922?is_copy_url=0&amp;is_from_webapp=v1&amp;sender_device=pc&amp;sender_web_id=6908929983101486593</t>
  </si>
  <si>
    <t>https://www.tiktok.com/@toanprdsofficial/video/6987722032494546202?is_copy_url=0&amp;is_from_webapp=v1&amp;sender_device=pc&amp;sender_web_id=6908929983101486593</t>
  </si>
  <si>
    <t>https://www.instagram.com/reel/CRoQb_QDvXz/</t>
  </si>
  <si>
    <t>https://www.tiktok.com/@thinhnguyenart_official/video/6986805848148364570?is_copy_url=0&amp;is_from_webapp=v1&amp;sender_device=pc&amp;sender_web_id=6908929983101486593</t>
  </si>
  <si>
    <t>https://www.tiktok.com/@thinhnguyenart_official/video/6987658404219161882?is_copy_url=0&amp;is_from_webapp=v1&amp;sender_device=pc&amp;sender_web_id=6908929983101486593</t>
  </si>
  <si>
    <t>https://www.tiktok.com/@h21052001/video/6986880680403684635?is_copy_url=0&amp;is_from_webapp=v1&amp;sender_device=pc&amp;sender_web_id=6908929983101486593</t>
  </si>
  <si>
    <t>https://www.facebook.com/nganthithuhien/videos/4171727379561493</t>
  </si>
  <si>
    <t>https://www.facebook.com/Changchi.1604/videos/165010988924001</t>
  </si>
  <si>
    <t>https://www.facebook.com/100005610043014/posts/1636713313192321/?d=n</t>
  </si>
  <si>
    <t>https://www.tiktok.com/@buingocphuongtrang/video/6986635841242156314</t>
  </si>
  <si>
    <t>https://www.facebook.com/luong.huyenkha/posts/994937047936105</t>
  </si>
  <si>
    <t>https://www.facebook.com/binhan.072020/videos/528807201570435</t>
  </si>
  <si>
    <t>https://www.tiktok.com/@hi.am.gnud/video/6986862109560704282?_d=secCgYIASAHKAESMgowuBOu3szKhA24dO1NXtYdbrPJT7IV%2FrIhboyI%2Bsm0%2FAYEgmURtjuViMehV6HXn3sjGgA%3D&amp;checksum=ba2a048923190e3f6539c2f9fc368408d9ccf34fa93febca981642cd85ed4a79&amp;language=vi&amp;mid=6986862110814833434&amp;preview_pb=0&amp;region=VN&amp;sec_user_id=MS4wLjABAAAA3kDh-oQAIKV8ovEghqzUXXiG-OTJE7C7dqbXJMWT-mviRv0PPlYsBTmfCzdsUaRs&amp;share_app_id=1180&amp;share_item_id=6986862109560704282&amp;share_link_id=70E9CCD7-FFAD-474C-B282-0216F172C7C7&amp;source=h5_t&amp;timestamp=1626759114&amp;tt_from=copy&amp;u_code=d6i1fjfa18g5b1&amp;user_id=6701181011680117761&amp;utm_campaign=client_share&amp;utm_medium=ios&amp;utm_source=copy&amp;_r=1</t>
  </si>
  <si>
    <t>https://www.facebook.com/thanh.duong.5220/videos/133547462228191</t>
  </si>
  <si>
    <t>https://www.facebook.com/100004254121912/posts/2036618319823286/?d=n</t>
  </si>
  <si>
    <t>https://www.facebook.com/sakura.ha.vt/posts/3002325446670099</t>
  </si>
  <si>
    <t>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</si>
  <si>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</t>
  </si>
  <si>
    <t>https://www.tiktok.com/@diemho2001/video/6985854256574172442?lang=vi-VN&amp;is_copy_url=0&amp;is_from_webapp=v1&amp;sender_device=pc&amp;sender_web_id=6982736742253446658</t>
  </si>
  <si>
    <t>https://www.tiktok.com/@diemho2001/video/6986142575874936090?lang=vi-VN&amp;is_copy_url=0&amp;is_from_webapp=v1&amp;sender_device=pc&amp;sender_web_id=6982736742253446658</t>
  </si>
  <si>
    <t>https://www.tiktok.com/@diemho2001/video/6986865973164887322?_d=secCgYIASAHKAESMgow9NJnTsj1sFLfv%2FND6tGFyVWNU4sRS1Ysgw6zbbs3%2FXQSp6nfjHKXZSear2%2BG7DQwGgA%3D&amp;checksum=fcd66aaad65073745e8bdc650f9b4df225dd157fc0b66091eea02573d7baf656&amp;language=vi&amp;mid=0&amp;preview_pb=0&amp;region=VN&amp;sec_user_id=MS4wLjABAAAAeUyqxr1lLghoR-BN_0fHPOJw_sBypPJQgRk-u3fD-jNvyGN7SgpJV_fqPKMSG6Nl&amp;share_app_id=1180&amp;share_item_id=6986865973164887322&amp;share_link_id=30E35354-5834-4BBE-815B-D9FD54DC332B&amp;source=h5_t&amp;timestamp=1626756519&amp;tt_from=copy&amp;u_code=dhj3d9i31j850i&amp;user_id=6943273166978712578&amp;utm_campaign=client_share&amp;utm_medium=ios&amp;utm_source=copy&amp;_r=1&amp;is_copy_url=0&amp;is_from_webapp=v1&amp;sender_device=pc&amp;sender_web_id=6983582057944237570</t>
  </si>
  <si>
    <t>https://www.tiktok.com/@diemho2001/video/6987352590996704538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</si>
  <si>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diemho2001/video/6987380795577077019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</si>
  <si>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https://www.facebook.com/thanhhuyen.bgvn/videos/338390987868753</t>
  </si>
  <si>
    <t>https://www.tiktok.com/@ducvamy/video/6988410622690004251?lang=vi-VN&amp;is_copy_url=0&amp;is_from_webapp=v1&amp;sender_device=pc&amp;sender_web_id=6983582057944237570</t>
  </si>
  <si>
    <t>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</si>
  <si>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6986135195472661786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</si>
  <si>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6986548298593078554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</si>
  <si>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6986911865448238362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</si>
  <si>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6987971185694772506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</si>
  <si>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6988324224867798299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</si>
  <si>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</si>
  <si>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</si>
  <si>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https://www.tiktok.com/@truongvihihi/video/6986123091936120090?lang=vi-VN&amp;is_copy_url=0&amp;is_from_webapp=v1&amp;sender_device=pc&amp;sender_web_id=6983582057944237570</t>
  </si>
  <si>
    <t>https://www.tiktok.com/@truongvihihi/video/6986581662444424475?lang=vi-VN&amp;is_copy_url=0&amp;is_from_webapp=v1&amp;sender_device=pc&amp;sender_web_id=6983582057944237570</t>
  </si>
  <si>
    <t>https://www.tiktok.com/@truongvihihi/video/6986965369126800666?lang=vi-VN&amp;is_copy_url=0&amp;is_from_webapp=v1&amp;sender_device=pc&amp;sender_web_id=6983582057944237570</t>
  </si>
  <si>
    <t>https://www.tiktok.com/@truongvihihi/video/6987602432029232410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</si>
  <si>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ruongvihihi/video/6987967007572364570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</si>
  <si>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ruongvihihi/video/6988338269733784859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</si>
  <si>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</si>
  <si>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olathule/video/6988004214760869146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</si>
  <si>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olathule/video/6988365984511872283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</si>
  <si>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</si>
  <si>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</si>
  <si>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_hvqt_/video/6986496813293456667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</si>
  <si>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_hvqt_/video/6986940501475855642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</si>
  <si>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_hvqt_/video/6987275292364606746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</si>
  <si>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_hvqt_/video/6987921745013493018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</si>
  <si>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_hvqt_/video/6988284628704464155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</t>
  </si>
  <si>
    <t>https://www.tiktok.com/@dinhtrangthao03/video/6986220375331966235?lang=vi-VN&amp;is_copy_url=0&amp;is_from_webapp=v1&amp;sender_device=pc&amp;sender_web_id=6983582057944237570</t>
  </si>
  <si>
    <t>https://www.tiktok.com/@dinhtrangthao03/video/6986965664674221338?lang=vi-VN&amp;is_copy_url=0&amp;is_from_webapp=v1&amp;sender_device=pc&amp;sender_web_id=6983582057944237570</t>
  </si>
  <si>
    <t>https://www.tiktok.com/@dinhtrangthao03/video/6987710639842004250?lang=vi-VN&amp;is_copy_url=0&amp;is_from_webapp=v1&amp;sender_device=pc&amp;sender_web_id=6982736742253446658</t>
  </si>
  <si>
    <t>https://www.tiktok.com/@10103anh/video/6988433610764324122?is_copy_url=0&amp;is_from_webapp=v1&amp;sender_device=pc&amp;sender_web_id=6983582057944237570</t>
  </si>
  <si>
    <t>https://www.tiktok.com/@trungke.ontiktok/video/6988082977817382170?lang=vi-VN&amp;is_copy_url=0&amp;is_from_webapp=v1&amp;sender_device=pc&amp;sender_web_id=6982736742253446658</t>
  </si>
  <si>
    <t>https://www.facebook.com/100004629070346/posts/2004499493047667/?d=n</t>
  </si>
  <si>
    <t>https://www.facebook.com/mushroom.cool88/posts/4240907052671021</t>
  </si>
  <si>
    <t>https://www.tiktok.com/@d.l9801/video/6985478364412824859</t>
  </si>
  <si>
    <t>https://www.tiktok.com/@d.l9801/video/6987334399184358682</t>
  </si>
  <si>
    <t>https://www.tiktok.com/@thuycute05123/video/6985715429998185754?lang=vi-VN&amp;is_copy_url=0&amp;is_from_webapp=v1&amp;sender_device=pc&amp;sender_web_id=6992511724982355458</t>
  </si>
  <si>
    <t>https://www.tiktok.com/@linhpu1412/video/6984629939911920922?</t>
  </si>
  <si>
    <t>https://www.tiktok.com/@lrb291/video/6985890980520004891?</t>
  </si>
  <si>
    <t>https://www.tiktok.com/@hoangthi_phuongthao/video/6984748327371820314?</t>
  </si>
  <si>
    <t>https://www.tiktok.com/@haiphongphoto.x/video/6987339900899036443</t>
  </si>
  <si>
    <t>https://www.tiktok.com/@kiethatinh.2000/video/6988459710299131162?</t>
  </si>
  <si>
    <t>https://www.tiktok.com/@meous99/video/6987701467926891802?</t>
  </si>
  <si>
    <t>https://www.tiktok.com/@vansat97/video/6988390846999596314?_</t>
  </si>
  <si>
    <t>https://www.tiktok.com/@letrunghoang/video/6987701011628428570?</t>
  </si>
  <si>
    <t>https://www.tiktok.com/@hoangtiendong/video/6988323926350892314?</t>
  </si>
  <si>
    <t>https://www.tiktok.com/@duchien118/video/6988078772960382235?</t>
  </si>
  <si>
    <t>https://www.tiktok.com/@duchien118/video/6988762606756498714?</t>
  </si>
  <si>
    <t>https://www.tiktok.com/@xuanduong_0403/video/6988463245187222810?</t>
  </si>
  <si>
    <t>https://www.tiktok.com/@thanhdolphin03082000/video/6988845269173554458?</t>
  </si>
  <si>
    <t>https://www.tiktok.com/@minhnhatdzvcl/video/6989563123632000283?</t>
  </si>
  <si>
    <t>https://www.tiktok.com/ZGJAJB8Ue/</t>
  </si>
  <si>
    <t>https://www.tiktok.com/@tieungao1907/video/6989560534291008794?</t>
  </si>
  <si>
    <t>https://www.tiktok.com/@tieungao1907/video/6989825215723244827?</t>
  </si>
  <si>
    <t>https://www.tiktok.com/@huongmin_/video/6988709465444912410?</t>
  </si>
  <si>
    <t>https://www.tiktok.com/@huongmin_/video/6989192981291011355?</t>
  </si>
  <si>
    <t>https://www.tiktok.com/@huongmin_/video/6989558933924908314?</t>
  </si>
  <si>
    <t>https://www.tiktok.com/@kmquyen2002/video/6988808733971270939?</t>
  </si>
  <si>
    <t>https://www.tiktok.com/@kmquyen2002/video/6989196337422028059?</t>
  </si>
  <si>
    <t>https://www.tiktok.com/@vuhphuong/video/6988861339540229403?</t>
  </si>
  <si>
    <t>https://www.tiktok.com/@vuhphuong/video/6989109459876334875?</t>
  </si>
  <si>
    <t>https://www.tiktok.com/@vuhphuong/video/6989596182729313563?</t>
  </si>
  <si>
    <t>INFYODYVICTO</t>
  </si>
  <si>
    <t>https://www.tiktok.com/@yody_vn/video/6984026159004667163?lang=vi-VN&amp;is_copy_url=1&amp;is_from_webapp=v1</t>
  </si>
  <si>
    <t>https://www.tiktok.com/@yody_vn/video/6984268226435779841?lang=vi-VN&amp;is_copy_url=1&amp;is_from_webapp=v1</t>
  </si>
  <si>
    <t>https://www.tiktok.com/@yody_vn/video/6984773909811842305?lang=vi-VN&amp;is_copy_url=1&amp;is_from_webapp=v1</t>
  </si>
  <si>
    <t>https://www.tiktok.com/@yody_vn/video/6986634121699151106?lang=vi-VN&amp;is_copy_url=1&amp;is_from_webapp=v1</t>
  </si>
  <si>
    <t>https://www.tiktok.com/@cu_bo32/video/6990337919793810715?</t>
  </si>
  <si>
    <t>https://www.tiktok.com/@cu_bo32/video/6991296623758363931?</t>
  </si>
  <si>
    <t>https://www.tiktok.com/@anhthuyet/video/6990303415523937563?</t>
  </si>
  <si>
    <t>https://www.tiktok.com/@anhthuyet/video/6990550597258841370?</t>
  </si>
  <si>
    <t>https://www.tiktok.com/@anhthuyet/video/6991049951816060186?lang=vi-VN&amp;is_copy_url=0&amp;is_from_webapp=v1&amp;sender_device=pc&amp;sender_web_id=6908929983101486593</t>
  </si>
  <si>
    <t>https://www.tiktok.com/@anhthuyet/video/6992906148156345627?lang=vi-VN&amp;is_copy_url=0&amp;is_from_webapp=v1&amp;sender_device=pc&amp;sender_web_id=6908929983101486593</t>
  </si>
  <si>
    <t>https://www.tiktok.com/@thokiwi98/video/6993677533438905627?is_copy_url=0&amp;is_from_webapp=v1&amp;sender_device=pc&amp;sender_web_id=6908929983101486593</t>
  </si>
  <si>
    <t>https://www.tiktok.com/@phandactoan/video/6993306195180129562?is_copy_url=0&amp;is_from_webapp=v1&amp;sender_device=pc&amp;sender_web_id=6908929983101486593</t>
  </si>
  <si>
    <t>https://www.tiktok.com/@hth.1909/video/6992881740876434714?l=&amp;is_copy_url=0&amp;is_from_webapp=v1&amp;sender_device=pc&amp;sender_web_id=6908929983101486593</t>
  </si>
  <si>
    <t>https://www.tiktok.com/@hth.1909/video/6992902618666257690?l=&amp;is_copy_url=0&amp;is_from_webapp=v1&amp;sender_device=pc&amp;sender_web_id=6908929983101486593</t>
  </si>
  <si>
    <t>https://www.tiktok.com/@phun.anh/video/6990197712285175066?lang=vi-VN&amp;is_copy_url=0&amp;is_from_webapp=v1&amp;sender_device=pc&amp;sender_web_id=6908929983101486593</t>
  </si>
  <si>
    <t>https://www.tiktok.com/@phun.anh/video/6990941519582711067?lang=vi-VN&amp;is_copy_url=0&amp;is_from_webapp=v1&amp;sender_device=pc&amp;sender_web_id=6908929983101486593</t>
  </si>
  <si>
    <t>https://www.tiktok.com/@phun.anh/video/6991314600067157275?lang=vi-VN&amp;is_copy_url=0&amp;is_from_webapp=v1&amp;sender_device=pc&amp;sender_web_id=6908929983101486593</t>
  </si>
  <si>
    <t>https://www.tiktok.com/@behyblack/video/6990660041703509275?is_copy_url=0&amp;is_from_webapp=v1&amp;sender_device=pc&amp;sender_web_id=6908929983101486593</t>
  </si>
  <si>
    <t>https://www.tiktok.com/@hoduyphuong/video/6990936348362411291?_=&amp;is_copy_url=0&amp;is_from_webapp=v1&amp;sender_device=pc&amp;sender_web_id=6908929983101486593</t>
  </si>
  <si>
    <t>https://www.tiktok.com/@nhquangho17.naau/video/6989968057737235738?lang=vi-VN&amp;is_copy_url=0&amp;is_from_webapp=v1&amp;sender_device=pc&amp;sender_web_id=6908929983101486593</t>
  </si>
  <si>
    <t>https://www.tiktok.com/@nhquangho17.naau/video/6990704048898837786?lang=vi-VN&amp;is_copy_url=0&amp;is_from_webapp=v1&amp;sender_device=pc&amp;sender_web_id=6908929983101486593</t>
  </si>
  <si>
    <t>https://www.tiktok.com/@vietthi.p336/video/6989901173205601562?is_copy_url=0&amp;is_from_webapp=v1&amp;sender_device=pc&amp;sender_web_id=6908929983101486593</t>
  </si>
  <si>
    <t>https://www.facebook.com/dangducdai69/videos/1050642239009275</t>
  </si>
  <si>
    <t>https://www.instagram.com/p/CSRS1MgJjwA/?utm_medium=copy_link</t>
  </si>
  <si>
    <t>https://www.facebook.com/moclanla/videos/1895705157290436</t>
  </si>
  <si>
    <t>https://www.facebook.com/100028527371304/videos/251237473483630</t>
  </si>
  <si>
    <t>https://www.facebook.com/chinchinnnnnn/videos/852336042329106/</t>
  </si>
  <si>
    <t>https://www.tiktok.com/@thinhnguyenart_official/video/6990648910502956314?is_copy_url=0&amp;is_from_webapp=v1&amp;sender_device=pc&amp;sender_web_id=6908929983101486593</t>
  </si>
  <si>
    <t>https://www.tiktok.com/@thinhnguyenart_official/video/6996063302455545089?is_copy_url=0&amp;is_from_webapp=v1&amp;sender_device=pc&amp;sender_web_id=6908929983101486593</t>
  </si>
  <si>
    <t>https://www.facebook.com/hermymeow/videos/359543159133729</t>
  </si>
  <si>
    <t>https://www.facebook.com/100003131800673/videos/pcb.4188330314614654/196003532541466</t>
  </si>
  <si>
    <t>https://www.tiktok.com/@tuyen270394/video/6990658832435383578?_=&amp;is_copy_url=0&amp;is_from_webapp=v1&amp;sender_device=pc&amp;sender_web_id=6908929983101486593</t>
  </si>
  <si>
    <t>https://www.facebook.com/loanvu1312/videos/1131153590627327</t>
  </si>
  <si>
    <t>https://www.facebook.com/ky.ky.5209/videos/408310450908568</t>
  </si>
  <si>
    <t>https://www.tiktok.com/@hat590/video/6989576551998262555?is_copy_url=0&amp;is_from_webapp=v1&amp;sender_device=pc&amp;sender_web_id=6908929983101486593</t>
  </si>
  <si>
    <t>https://www.tiktok.com/@hat590/video/6990332390979702042?is_copy_url=0&amp;is_from_webapp=v1&amp;sender_device=pc&amp;sender_web_id=6908929983101486593</t>
  </si>
  <si>
    <t>https://www.tiktok.com/@hoang_giatuofficial/video/6988835648597658906?is_copy_url=0&amp;is_from_webapp=v1&amp;sender_device=pc&amp;sender_web_id=6908929983101486593</t>
  </si>
  <si>
    <t>https://www.tiktok.com/@hoang_giatuofficial/video/6990675800861199643?is_copy_url=0&amp;is_from_webapp=v1&amp;sender_device=pc&amp;sender_web_id=6908929983101486593</t>
  </si>
  <si>
    <t>https://www.facebook.com/AnhTu.BoysCOCA/videos/499013747831709</t>
  </si>
  <si>
    <t>https://www.tiktok.com/@phamquynhhoa2004/video/6989592326041554203?is_copy_url=0&amp;is_from_webapp=v1&amp;sender_device=pc&amp;sender_web_id=6908929983101486593</t>
  </si>
  <si>
    <t>https://www.tiktok.com/@phamquynhhoa2004/video/6993174055427919130?is_copy_url=0&amp;is_from_webapp=v1&amp;sender_device=pc&amp;sender_web_id=6908929983101486593</t>
  </si>
  <si>
    <t>https://www.tiktok.com/@letrang_2k2/video/6990197204019350810?is_copy_url=0&amp;is_from_webapp=v1&amp;sender_device=pc&amp;sender_web_id=6908929983101486593</t>
  </si>
  <si>
    <t>https://www.tiktok.com/@letrang_2k2/video/6991435077972413722?is_copy_url=0&amp;is_from_webapp=v1&amp;sender_device=pc&amp;sender_web_id=6908929983101486593</t>
  </si>
  <si>
    <t>https://www.tiktok.com/@letrang_2k2/video/6992052221353430299?is_copy_url=0&amp;is_from_webapp=v1&amp;sender_device=pc&amp;sender_web_id=6908929983101486593</t>
  </si>
  <si>
    <t>https://www.tiktok.com/@letrang_2k2/video/6992423111752830235?is_copy_url=0&amp;is_from_webapp=v1&amp;sender_device=pc&amp;sender_web_id=6908929983101486593</t>
  </si>
  <si>
    <t>https://www.tiktok.com/@letrang_2k2/video/6993662824840973594?is_copy_url=0&amp;is_from_webapp=v1&amp;sender_device=pc&amp;sender_web_id=6908929983101486593</t>
  </si>
  <si>
    <t>https://www.tiktok.com/@letrang_2k2/video/6993946912693030171?</t>
  </si>
  <si>
    <t>https://www.tiktok.com/@badt99/video/6990905217294306586?is_copy_url=0&amp;is_from_webapp=v1&amp;sender_device=pc&amp;sender_web_id=6908929983101486593</t>
  </si>
  <si>
    <t>https://www.tiktok.com/@badt99/video/6992029651119934747?is_copy_url=0&amp;is_from_webapp=v1&amp;sender_device=pc&amp;sender_web_id=6908929983101486593</t>
  </si>
  <si>
    <t>https://www.tiktok.com/@badt99/video/6993612052770098459?is_copy_url=0&amp;is_from_webapp=v1&amp;sender_device=pc&amp;sender_web_id=6908929983101486593</t>
  </si>
  <si>
    <t>INFQUYEN035</t>
  </si>
  <si>
    <t>https://www.tiktok.com/@anhtiendola/video/6994024593291873563?lang=vi-VN&amp;is_copy_url=0&amp;is_from_webapp=v1&amp;sender_device=pc&amp;sender_web_id=6908929983101486593</t>
  </si>
  <si>
    <t>https://www.tiktok.com/@ngannt212/video/6989825465703763227?is_copy_url=0&amp;is_from_webapp=v1&amp;sender_device=pc&amp;sender_web_id=6908929983101486593</t>
  </si>
  <si>
    <t>https://www.tiktok.com/@ngannt212/video/6993272602756271361?is_copy_url=0&amp;is_from_webapp=v1&amp;sender_device=pc&amp;sender_web_id=6908929983101486593</t>
  </si>
  <si>
    <t>https://www.facebook.com/106896074362727/videos/358189612342573</t>
  </si>
  <si>
    <t>https://www.tiktok.com/@chutieuhan10012001/video/6992910488677960987?is_copy_url=0&amp;is_from_webapp=v1&amp;sender_device=pc&amp;sender_web_id=6908929983101486593</t>
  </si>
  <si>
    <t>https://www.tiktok.com/@chutieuhan10012001/video/6993927950177455386?is_copy_url=0&amp;is_from_webapp=v1&amp;sender_device=pc&amp;sender_web_id=6908929983101486593</t>
  </si>
  <si>
    <t>https://www.tiktok.com/@chutieuhan10012001/video/6991051453611674907?is_copy_url=0&amp;is_from_webapp=v1&amp;sender_device=pc&amp;sender_web_id=6908929983101486593</t>
  </si>
  <si>
    <t>https://www.tiktok.com/@cuonghancouple/video/6991051587275722011?is_copy_url=0&amp;is_from_webapp=v1&amp;sender_device=pc&amp;sender_web_id=6908929983101486593</t>
  </si>
  <si>
    <t>https://www.tiktok.com/@cuonghancouple/video/6992911283016256795?is_copy_url=0&amp;is_from_webapp=v1&amp;sender_device=pc&amp;sender_web_id=6908929983101486593</t>
  </si>
  <si>
    <t>https://www.tiktok.com/@cuonghancouple/video/6993927255118384410?is_copy_url=0&amp;is_from_webapp=v1&amp;sender_device=pc&amp;sender_web_id=6908929983101486593</t>
  </si>
  <si>
    <t>https://www.tiktok.com/@sunflizme/video/6994069667283356955?_d=secCgYIASAHKAESMgowsrLIXTxOhAs0pNeHLVxYGD2%2FUhawI1d3LCexjk4W1KFtf7BVolJ93XOmoNNWGWImGgA%3D&amp;checksum=eecccc653761ee892f43f3ae2d48e32f370d0bc812eef5e6b5b0ace544483258&amp;language=vi&amp;mid=6985376460475206427&amp;preview_pb=0&amp;region=VN&amp;sec_user_id=MS4wLjABAAAA_7Qd1g5GTuF1Q376HGjNDL7HZIiPQniGA9zTAikABBmk5w4f9CyEPbxILEBKdMi-&amp;share_app_id=1180&amp;share_item_id=6985376475360906522&amp;share_link_id=802AC648-9E6E-4982-8CA3-0FF927A89A09&amp;source=h5_t&amp;timestamp=1626417283&amp;tt_from=copy&amp;u_code=d0f1b4hjljkh17&amp;user_id=6566826464812662785&amp;utm_campaign=client_share&amp;utm_medium=ios&amp;utm_source=copy&amp;_r=1&amp;is_copy_url=0&amp;is_from_webapp=v1&amp;sender_device=pc&amp;sender_web_id=6908929983101486593</t>
  </si>
  <si>
    <t>https://www.tiktok.com/@letrang_2k2/video/6995146019751136538?lang=vi-VN&amp;is_copy_url=0&amp;is_from_webapp=v1&amp;sender_device=pc&amp;sender_web_id=6908929983101486593</t>
  </si>
  <si>
    <t>https://www.tiktok.com/@thinhnguyenart_official/video/6994398310421318914?is_copy_url=0&amp;is_from_webapp=v1&amp;sender_device=pc&amp;sender_web_id=6908929983101486593</t>
  </si>
  <si>
    <t>https://www.tiktok.com/@thinhnguyenart_official/video/6995123863264824578?is_copy_url=0&amp;is_from_webapp=v1&amp;sender_device=pc&amp;sender_web_id=6908929983101486593</t>
  </si>
  <si>
    <t>INFHUYEN911</t>
  </si>
  <si>
    <t>https://www.tiktok.com/@ngoafood_/video/6992931191955541274?</t>
  </si>
  <si>
    <t>https://www.tiktok.com/@ngoafood_/video/6994785675635608858?</t>
  </si>
  <si>
    <t>https://www.tiktok.com/@cu_bo32/video/6994041086737911066?is_copy_url=0&amp;is_from_webapp=v1&amp;sender_device=pc&amp;sender_web_id=6908929983101486593</t>
  </si>
  <si>
    <t>https://www.tiktok.com/@toanprdsofficial/video/6994400376417979674?</t>
  </si>
  <si>
    <t>https://www.instagram.com/reel/CSWlV8VJM49/</t>
  </si>
  <si>
    <t>INFHUE103</t>
  </si>
  <si>
    <t>https://www.tiktok.com/@huemid_03/video/6994764524733697307?lang=vi-VN&amp;is_copy_url=0&amp;is_from_webapp=v1&amp;sender_device=pc&amp;sender_web_id=6908929983101486593</t>
  </si>
  <si>
    <t>https://www.tiktok.com/@huemid_03/video/6995380895683251483?lang=vi-VN&amp;is_copy_url=0&amp;is_from_webapp=v1&amp;sender_device=pc&amp;sender_web_id=6908929983101486593</t>
  </si>
  <si>
    <t>https://www.tiktok.com/@kngn212/video/6995908693707558145?lang=vi-VN&amp;is_copy_url=0&amp;is_from_webapp=v1&amp;sender_device=pc&amp;sender_web_id=6908929983101486593</t>
  </si>
  <si>
    <t>https://www.tiktok.com/@anhthuyet/video/6995504440773971227?lang=vi-VN&amp;is_copy_url=0&amp;is_from_webapp=v1&amp;sender_device=pc&amp;sender_web_id=6908929983101486593</t>
  </si>
  <si>
    <t>https://www.tiktok.com/@anhthuyet/video/6995883310408944922?lang=vi-VN&amp;is_copy_url=0&amp;is_from_webapp=v1&amp;sender_device=pc&amp;sender_web_id=6908929983101486593</t>
  </si>
  <si>
    <t>https://www.tiktok.com/@cu_bo32/video/6996629466961284378?lang=vi-VN&amp;is_copy_url=0&amp;is_from_webapp=v1&amp;sender_device=pc&amp;sender_web_id=6908929983101486593</t>
  </si>
  <si>
    <t>https://www.tiktok.com/@letrang_2k2/video/6994684555940695323?lang=vi-VN&amp;is_copy_url=0&amp;is_from_webapp=v1&amp;sender_device=pc&amp;sender_web_id=6908929983101486593</t>
  </si>
  <si>
    <t>https://www.tiktok.com/@letrang_2k2/video/6995771966208707867?lang=vi-VN&amp;is_copy_url=0&amp;is_from_webapp=v1&amp;sender_device=pc&amp;sender_web_id=6908929983101486593</t>
  </si>
  <si>
    <t>https://www.tiktok.com/@letrang_2k2/video/6996520221645360410?lang=vi-VN&amp;is_copy_url=0&amp;is_from_webapp=v1&amp;sender_device=pc&amp;sender_web_id=6908929983101486593</t>
  </si>
  <si>
    <t>https://www.tiktok.com/@huemid_03/video/6997240036609608987?lang=vi-VN&amp;is_copy_url=0&amp;is_from_webapp=v1&amp;sender_device=pc&amp;sender_web_id=6908929983101486593</t>
  </si>
  <si>
    <t>INFTRANG555</t>
  </si>
  <si>
    <t>https://www.tiktok.com/@tranganh_cosplay/video/6996988584024640795?_d=secCgYIASAHKAESMgow6kWfJFS26qRvFM52A8QKYZ0XsfqHVtsBSY8oLbKsC0ZFm4XrcXeoAL%2B%2FGiqEE50%2BGgA%3D&amp;checksum=d9d1bc84238947a2e75ebaa7b397224f59b23c1a0748e121e72ec78e6583a8cf&amp;language=vi&amp;mid=6996988567226551067&amp;preview_pb=0&amp;region=VN&amp;sec_user_id=MS4wLjABAAAAwZCJNX8j_DtFn_jQxEgRIkryPT9ZLy2dMkMcRxKD8ZjowMHuJB-dsK3Yh9MS2771&amp;share_app_id=1180&amp;share_item_id=6996988584024640795&amp;share_link_id=6903948E-9D9C-4389-B7B9-500EDF05AB13&amp;source=h5_t&amp;timestamp=1629113433&amp;tt_from=copy&amp;u_code=dgm3d55gh27851&amp;user_id=6924216616336442369&amp;utm_campaign=client_share&amp;utm_medium=ios&amp;utm_source=copy&amp;_r=1&amp;is_copy_url=0&amp;is_from_webapp=v1&amp;sender_device=pc&amp;sender_web_id=6908929983101486593</t>
  </si>
  <si>
    <t>INFNHUNG580</t>
  </si>
  <si>
    <t>https://www.tiktok.com/@vthnhung._/video/6995921312413764890?lang=vi-VN&amp;is_copy_url=0&amp;is_from_webapp=v1&amp;sender_device=pc&amp;sender_web_id=6908929983101486593</t>
  </si>
  <si>
    <t>https://www.tiktok.com/@hth.1909/video/6994767042830290202?l=&amp;is_copy_url=0&amp;is_from_webapp=v1&amp;sender_device=pc&amp;sender_web_id=6908929983101486593</t>
  </si>
  <si>
    <t>https://www.tiktok.com/@hoduyphuong/video/6994648169946631450?_=&amp;is_copy_url=0&amp;is_from_webapp=v1&amp;sender_device=pc&amp;sender_web_id=6908929983101486593</t>
  </si>
  <si>
    <t>INFHUONG7035</t>
  </si>
  <si>
    <t>https://www.tiktok.com/@nqhunn/video/6990258061231295770?lang=vi-VN&amp;is_copy_url=0&amp;is_from_webapp=v1&amp;sender_device=pc&amp;sender_web_id=6908929983101486593</t>
  </si>
  <si>
    <t>INFQUYEN540</t>
  </si>
  <si>
    <t>https://www.tiktok.com/@ahihiquyenday/video/6990687687711739162?lang=vi-VN&amp;fbclid=IwAR1OcqMXlBeLquV_ASqxpA4xNnVjN877h_5w896cPMiy3GTLmCtTDeUlygo&amp;is_copy_url=0&amp;is_from_webapp=v1&amp;sender_device=pc&amp;sender_web_id=6908929983101486593</t>
  </si>
  <si>
    <t>INFHONG042</t>
  </si>
  <si>
    <t>https://www.tiktok.com/@choul2002/video/6994770713899044123?lang=vi-VN&amp;is_copy_url=0&amp;is_from_webapp=v1&amp;sender_device=pc&amp;sender_web_id=6908929983101486593</t>
  </si>
  <si>
    <t>https://www.tiktok.com/@choul2002/video/6995145638467882267?lang=vi-VN&amp;is_copy_url=0&amp;is_from_webapp=v1&amp;sender_device=pc&amp;sender_web_id=6908929983101486593</t>
  </si>
  <si>
    <t>INFKHANG589</t>
  </si>
  <si>
    <t>https://www.tiktok.com/@vykhang0103/video/6994787192748969243?lang=vi-VN&amp;is_copy_url=0&amp;is_from_webapp=v1&amp;sender_device=pc&amp;sender_web_id=6908929983101486593</t>
  </si>
  <si>
    <t>INFCHUNG245</t>
  </si>
  <si>
    <t>https://www.tiktok.com/@chungtunn/video/6992176639752801562?lang=vi-VN&amp;is_copy_url=0&amp;is_from_webapp=v1&amp;sender_device=pc&amp;sender_web_id=6908929983101486593</t>
  </si>
  <si>
    <t>INFCHI434</t>
  </si>
  <si>
    <t>https://www.tiktok.com/@anhbodoi77/video/6986854662611733786?lang=vi-VN&amp;is_copy_url=0&amp;is_from_webapp=v1&amp;sender_device=pc&amp;sender_web_id=6908929983101486593</t>
  </si>
  <si>
    <t>INFLYS047</t>
  </si>
  <si>
    <t>https://www.tiktok.com/@fit.kiss/video/6989147350895840538?lang=vi-VN&amp;is_copy_url=0&amp;is_from_webapp=v1&amp;sender_device=pc&amp;sender_web_id=6908929983101486593</t>
  </si>
  <si>
    <t>INFNHUNG798</t>
  </si>
  <si>
    <t>https://www.tiktok.com/@nhungtinhyeu/video/6991429221809720603?lang=vi-VN&amp;is_copy_url=0&amp;is_from_webapp=v1&amp;sender_device=pc&amp;sender_web_id=6908929983101486593</t>
  </si>
  <si>
    <t>https://www.tiktok.com/@nhungtinhyeu/video/6992410592246107418?lang=vi-VN&amp;is_copy_url=0&amp;is_from_webapp=v1&amp;sender_device=pc&amp;sender_web_id=6908929983101486593</t>
  </si>
  <si>
    <t>INF_BANHKEMNHATRANG</t>
  </si>
  <si>
    <t>https://www.tiktok.com/@kembanhque/video/6989953329786817819?is_copy_url=0&amp;is_from_webapp=v1&amp;sender_device=pc&amp;sender_web_id=6908929983101486593</t>
  </si>
  <si>
    <t>https://www.tiktok.com/@kembanhque/video/6993663818228452634?is_copy_url=0&amp;is_from_webapp=v1&amp;sender_device=pc&amp;sender_web_id=6908929983101486593</t>
  </si>
  <si>
    <t>INFTRANG693</t>
  </si>
  <si>
    <t>https://www.tiktok.com/@trangchun186/video/6994412546321124634?lang=vi-VN&amp;is_copy_url=0&amp;is_from_webapp=v1&amp;sender_device=pc&amp;sender_web_id=6908929983101486593</t>
  </si>
  <si>
    <t>https://www.tiktok.com/@trangchun186/video/6996262197651410203?lang=vi-VN&amp;is_copy_url=0&amp;is_from_webapp=v1&amp;sender_device=pc&amp;sender_web_id=6908929983101486593</t>
  </si>
  <si>
    <t>INFMY812</t>
  </si>
  <si>
    <t>https://www.tiktok.com/@dienmy_16th2/video/6989929177898110235?lang=vi-VN&amp;fbclid=IwAR2DIlZqcWCtP2YCucUKJnX-ychRUM6elc1sc2kkvie8Ur2WFJlaTg3C7yQ&amp;is_copy_url=0&amp;is_from_webapp=v1&amp;sender_device=pc&amp;sender_web_id=6908929983101486593</t>
  </si>
  <si>
    <t>https://www.tiktok.com/@chutieuhan10012001/video/6994390473704017178?is_copy_url=0&amp;is_from_webapp=v1&amp;sender_device=pc&amp;sender_web_id=6908929983101486593</t>
  </si>
  <si>
    <t>https://www.tiktok.com/@ngannt212/video/6994281578071444738?is_copy_url=0&amp;is_from_webapp=v1&amp;sender_device=pc&amp;sender_web_id=6908929983101486593</t>
  </si>
  <si>
    <t>INFANH434</t>
  </si>
  <si>
    <t>https://www.facebook.com/nah.anh.1428/videos/985158548928141</t>
  </si>
  <si>
    <t>INFANH693</t>
  </si>
  <si>
    <t>https://www.tiktok.com/@phucanhh_/video/6997609518356073754?_d=secCgYIASAHKAESMgowT4f9CfHjAxDJxqNULf511uAHPYxqwOF7Y0scVghjMBAZqAPAdmMdKvqqNjawhU5rGgA%3D&amp;checksum=7c6e7b0a81db4eac0280943e3d9a9bffe01c3adc0d082a8d64f048fb04f9bb0e&amp;language=vi&amp;mid=6997609513255766811&amp;preview_pb=0&amp;region=VN&amp;sec_user_id=MS4wLjABAAAAzih8nWx5fp_M_9ibbXdWDHTKo2DTeA7H7r1IJOz6Dyg&amp;share_app_id=1180&amp;share_item_id=6997609518356073754&amp;share_link_id=30629CE4-4F98-4FB3-BD0B-92B7D9A5C78B&amp;source=h5_t&amp;timestamp=1629257985&amp;tt_from=copy&amp;u_code=i28e7mlj&amp;user_id=61638435651&amp;utm_campaign=client_share&amp;utm_medium=ios&amp;utm_source=copy&amp;_r=1&amp;is_copy_url=0&amp;is_from_webapp=v1&amp;sender_device=pc&amp;sender_web_id=6908929983101486593</t>
  </si>
  <si>
    <t>INFCUON129</t>
  </si>
  <si>
    <t>https://www.tiktok.com/@yona.224/video/6989560712561462554?</t>
  </si>
  <si>
    <t>https://www.tiktok.com/@yona.224/video/6989929438775479579?</t>
  </si>
  <si>
    <t>https://www.tiktok.com/@yona.224/video/6990191602945903899?</t>
  </si>
  <si>
    <t>https://www.tiktok.com/@yona.224/video/6990667503278116122?</t>
  </si>
  <si>
    <t>https://www.tiktok.com/@yona.224/video/6991050118011063579?</t>
  </si>
  <si>
    <t>https://www.tiktok.com/@yona.224/video/6991414838811544859?</t>
  </si>
  <si>
    <t>https://www.tiktok.com/@yona.224/video/6991786537444805914?</t>
  </si>
  <si>
    <t>https://www.tiktok.com/@yona.224/video/6994010516196838683?</t>
  </si>
  <si>
    <t>https://www.tiktok.com/@yona.224/video/6996140121351294235?</t>
  </si>
  <si>
    <t>INFHOA021</t>
  </si>
  <si>
    <t>https://www.tiktok.com/@hoaa.hanassii/video/6997245756352646426?</t>
  </si>
  <si>
    <t>https://www.tiktok.com/@hoaa.hanassii/video/6997354210878704922?</t>
  </si>
  <si>
    <t>INFTRUONG023</t>
  </si>
  <si>
    <t>https://www.youtube.com/watch?v=C_OFt2C3irc&amp;t=36s</t>
  </si>
  <si>
    <t>https://www.youtube.com/watch?v=JOK8F_u5cFo&amp;t=16s</t>
  </si>
  <si>
    <t>https://www.youtube.com/watch?v=Y5rvBFN-2Uo</t>
  </si>
  <si>
    <t>https://www.facebook.com/tuongvi69/videos/905967009996156</t>
  </si>
  <si>
    <t>https://www.facebook.com/camly.thaithi102/videos/3033190620291553</t>
  </si>
  <si>
    <t>https://www.facebook.com/camly.thaithi102/videos/367226451587731</t>
  </si>
  <si>
    <t>INFYEN691</t>
  </si>
  <si>
    <t>https://www.tiktok.com/@duongvayen11820/video/6989197488074853659?</t>
  </si>
  <si>
    <t>MẾN</t>
  </si>
  <si>
    <t>https://www.tiktok.com/@duongvayen11820/video/6996241475579251995?</t>
  </si>
  <si>
    <t>INFANH172</t>
  </si>
  <si>
    <t>https://www.tiktok.com/@phuonganh260499/video/6990197559016967450?</t>
  </si>
  <si>
    <t>mẾN</t>
  </si>
  <si>
    <t>https://www.tiktok.com/@phuonganh260499/video/6990624520012942618?</t>
  </si>
  <si>
    <r>
      <rPr>
        <rFont val="Arial"/>
        <color rgb="FF1155CC"/>
        <sz val="10.0"/>
        <u/>
      </rPr>
      <t>https://www.tiktok.com/@phuonganh260499/video/6990938927632813338?</t>
    </r>
    <r>
      <rPr>
        <rFont val="Arial"/>
        <color rgb="FF1155CC"/>
        <sz val="10.0"/>
        <u/>
      </rPr>
      <t>?</t>
    </r>
  </si>
  <si>
    <t>https://www.tiktok.com/@phuonganh260499/video/6992796274646846746?</t>
  </si>
  <si>
    <t>https://www.tiktok.com/@phuonganh260499/video/6993907259147324698?</t>
  </si>
  <si>
    <t>https://www.tiktok.com/@phuonganh260499/video/6995391462271651098?</t>
  </si>
  <si>
    <t>https://www.tiktok.com/@phuonganh260499/video/6996517746364239131?</t>
  </si>
  <si>
    <t>INFLY357</t>
  </si>
  <si>
    <r>
      <rPr>
        <rFont val="Arial"/>
        <color rgb="FF1155CC"/>
        <sz val="10.0"/>
        <u/>
      </rPr>
      <t>https://www.tiktok.com/@quely94/video/6989453718311669019?</t>
    </r>
    <r>
      <rPr>
        <rFont val="Arial"/>
        <color rgb="FF1155CC"/>
        <sz val="10.0"/>
        <u/>
      </rPr>
      <t>?</t>
    </r>
  </si>
  <si>
    <t>https://www.tiktok.com/@colycoc/video/6989077386696379649?</t>
  </si>
  <si>
    <t>https://www.tiktok.com/@colycoc/video/6992534879728667905?</t>
  </si>
  <si>
    <t>https://www.tiktok.com/@colycoc/video/6992781247902747905?</t>
  </si>
  <si>
    <t>https://www.tiktok.com/@colycoc/video/6994294319284849921?</t>
  </si>
  <si>
    <t>https://www.tiktok.com/@colycoc/video/6995769496266886401?</t>
  </si>
  <si>
    <t>https://www.tiktok.com/@kiethatinh.2000/video/6990946182860180762?</t>
  </si>
  <si>
    <t>https://www.tiktok.com/@kiethatinh.2000/video/6992533439295589658?</t>
  </si>
  <si>
    <t>https://www.tiktok.com/@kiethatinh.2000/video/6993647070087318810?</t>
  </si>
  <si>
    <t>https://www.tiktok.com/@kiethatinh.2000/video/6997350832609955098?</t>
  </si>
  <si>
    <t>INFTINH041</t>
  </si>
  <si>
    <t>https://www.tiktok.com/@tinhnguyen241298/video/6989944203329490202?</t>
  </si>
  <si>
    <t>https://www.tiktok.com/@tinhnguyen241298/video/6991059476782648602?</t>
  </si>
  <si>
    <t>https://www.tiktok.com/@tinhnguyen241298/video/6992424102241799425</t>
  </si>
  <si>
    <t>https://www.tiktok.com/@tinhnguyen241298/video/6993645076631129346?</t>
  </si>
  <si>
    <t>https://www.tiktok.com/@tinhnguyen241298/video/6994386336115461378?</t>
  </si>
  <si>
    <t>INFVINH921</t>
  </si>
  <si>
    <t>https://www.tiktok.com/@vsorl0602/video/6996227645579005211?</t>
  </si>
  <si>
    <t>https://www.tiktok.com/@vsorl0602/video/6995845369380801818?</t>
  </si>
  <si>
    <t>INFTRONG402</t>
  </si>
  <si>
    <t>https://www.tiktok.com/@chuyengiasongao/video/6996125799757679898?</t>
  </si>
  <si>
    <t>https://www.tiktok.com/@chuyengiasongao/video/6996869146541591834?</t>
  </si>
  <si>
    <t>https://www.tiktok.com/@nmtvlog99/video/6990678789277715738?</t>
  </si>
  <si>
    <t>https://www.tiktok.com/@nmtvlog99/video/6991052269428935963?</t>
  </si>
  <si>
    <t>https://www.tiktok.com/@nmtvlog99/video/6991811233976569115?</t>
  </si>
  <si>
    <r>
      <rPr>
        <color rgb="FF1155CC"/>
        <sz val="10.0"/>
        <u/>
      </rPr>
      <t>https://www.tiktok.com/@nmtvlog99/video/6993641859729935642?</t>
    </r>
    <r>
      <rPr>
        <sz val="10.0"/>
      </rPr>
      <t>?</t>
    </r>
  </si>
  <si>
    <t>https://www.tiktok.com/@nmtvlog99/video/6994027452980808986?</t>
  </si>
  <si>
    <t>https://www.tiktok.com/@nmtvlog99/video/6995136571754188058?</t>
  </si>
  <si>
    <t>https://www.tiktok.com/@nmtvlog99/video/6996992360877952283?</t>
  </si>
  <si>
    <t>https://www.tiktok.com/@nmtvlog99/video/6997369506733509915?</t>
  </si>
  <si>
    <t>INFUYEN356</t>
  </si>
  <si>
    <t>https://www.tiktok.com/@phamuyen369/video/6993249441725680923?</t>
  </si>
  <si>
    <t>https://www.tiktok.com/@phamuyen369/video/6995465035531193627?</t>
  </si>
  <si>
    <t>https://www.tiktok.com/@phamuyen369/video/6996990519704292635?</t>
  </si>
  <si>
    <t>https://www.facebook.com/Suph036/videos/1019821965224376</t>
  </si>
  <si>
    <t>INFCHAM266</t>
  </si>
  <si>
    <t>https://www.facebook.com/meo.moon.522/videos/207973791327426</t>
  </si>
  <si>
    <t>INFNUONG666</t>
  </si>
  <si>
    <t>https://www.facebook.com/nuong.truongthimy/videos/168974925323712</t>
  </si>
  <si>
    <t>INFTHU666</t>
  </si>
  <si>
    <t>https://www.facebook.com/Vunguyetthu91/videos/529118878334036/</t>
  </si>
  <si>
    <t>INFTRANG986</t>
  </si>
  <si>
    <t>https://www.tiktok.com/@unheo1219/video/6995880449323093275?</t>
  </si>
  <si>
    <t>https://www.tiktok.com/@unheo1219/video/6994642593392971034?</t>
  </si>
  <si>
    <t>INFMY368</t>
  </si>
  <si>
    <t>https://www.facebook.com/100003335207852/videos/pcb.4205612949559837/3064580483758435</t>
  </si>
  <si>
    <t>mến</t>
  </si>
  <si>
    <t>INFTOAN088</t>
  </si>
  <si>
    <t>https://www.facebook.com/toanduyduy88/videos/874360593435788</t>
  </si>
  <si>
    <t>INFDIEU297</t>
  </si>
  <si>
    <t>https://www.facebook.com/100043082003294/posts/483685963077466/?d=n</t>
  </si>
  <si>
    <t>INFTRUONG665</t>
  </si>
  <si>
    <t>https://www.facebook.com/100069810784981/posts/124533986550294/?d=n</t>
  </si>
  <si>
    <t>INFTU164</t>
  </si>
  <si>
    <t>https://www.facebook.com/100007197069413/posts/2893460727570468/?d=n</t>
  </si>
  <si>
    <t>INFHOI201</t>
  </si>
  <si>
    <t>https://www.facebook.com/100007200393912/posts/2936098316640153/?d=n</t>
  </si>
  <si>
    <t>INFMINH376</t>
  </si>
  <si>
    <t>https://www.tiktok.com/@besam2403/video/6995874077416115482?sender_device=mobile&amp;sender_web_id=6986624137116976642&amp;is_from_webapp=v1&amp;is_copy_url=0</t>
  </si>
  <si>
    <t>INFCAM836</t>
  </si>
  <si>
    <t>https://www.facebook.com/caammxuynhh/videos/1423985334637846</t>
  </si>
  <si>
    <t>INFVY915</t>
  </si>
  <si>
    <t>https://www.facebook.com/le.havy.7121/videos/4091299580995454</t>
  </si>
  <si>
    <t>https://www.facebook.com/YonCuon/videos/345495407077361</t>
  </si>
  <si>
    <t>https://www.facebook.com/YonCuon/videos/815157779368764</t>
  </si>
  <si>
    <t>https://www.facebook.com/YonCuon/videos/1238475999948922</t>
  </si>
  <si>
    <t>https://www.facebook.com/YonCuon/videos/293025969257634</t>
  </si>
  <si>
    <t>https://www.facebook.com/nmtvlog99/videos/519221099360964</t>
  </si>
  <si>
    <t>https://www.facebook.com/nmtvlog99/videos/160322706174959</t>
  </si>
  <si>
    <t>https://www.facebook.com/nmtvlog99/videos/2800359736933697</t>
  </si>
  <si>
    <t>https://www.facebook.com/nmtvlog99/videos/334196018448843</t>
  </si>
  <si>
    <t>INFHIEN866</t>
  </si>
  <si>
    <t>https://www.tiktok.com/@thuonghienn/video/6996620377145232666?</t>
  </si>
  <si>
    <t>INFANH789</t>
  </si>
  <si>
    <t>https://www.tiktok.com/@huynh4nhh/video/6993275599431224603?</t>
  </si>
  <si>
    <t>https://www.tiktok.com/@huynh4nhh/video/6993884571368574235?</t>
  </si>
  <si>
    <t>https://www.tiktok.com/@huynh4nhh/video/6994261827660057882?</t>
  </si>
  <si>
    <t>https://www.tiktok.com/@huynh4nhh/video/6995393904245738778?</t>
  </si>
  <si>
    <t>https://www.tiktok.com/@huynh4nhh/video/6996625988977413402?</t>
  </si>
  <si>
    <t>https://www.tiktok.com/@vansat97/video/6990675984127216923?</t>
  </si>
  <si>
    <t>https://www.tiktok.com/@vansat97/video/6994347174536563994?</t>
  </si>
  <si>
    <t>https://www.tiktok.com/@vansat97/video/6996935837602581787?</t>
  </si>
  <si>
    <t>INFHOANG524</t>
  </si>
  <si>
    <t>https://www.tiktok.com/@nhathoanghon/video/6989935461955341594?</t>
  </si>
  <si>
    <t>https://www.tiktok.com/@nhathoanghon/video/6990930171633159450?</t>
  </si>
  <si>
    <t>https://www.tiktok.com/@nhathoanghon/video/6992163733153844506?</t>
  </si>
  <si>
    <t>https://www.tiktok.com/@nhathoanghon/video/6992540553892220186?</t>
  </si>
  <si>
    <t>https://www.tiktok.com/@nhathoanghon/video/6993524660939885851?</t>
  </si>
  <si>
    <t>https://www.tiktok.com/@nhathoanghon/video/6996498611945180443?</t>
  </si>
  <si>
    <t>https://www.facebook.com/NguyenNhatHoangHon/videos/3086011155009495</t>
  </si>
  <si>
    <t>https://www.facebook.com/NguyenNhatHoangHon/videos/211853327452130</t>
  </si>
  <si>
    <t>https://www.tiktok.com/@vuhphuong/video/6990605119071063322?</t>
  </si>
  <si>
    <t>https://www.tiktok.com/@vuhphuong/video/6991435675203587354?</t>
  </si>
  <si>
    <t>https://www.tiktok.com/@vuhphuong/video/6994257206896119066?</t>
  </si>
  <si>
    <t>https://www.tiktok.com/@vuhphuong/video/6996587171914239259?</t>
  </si>
  <si>
    <t>https://www.tiktok.com/@huongmin_/video/6991695117237226779?</t>
  </si>
  <si>
    <t>https://www.tiktok.com/@tieungao1907/video/6990195785925266715?</t>
  </si>
  <si>
    <t>https://www.tiktok.com/@tieungao1907/video/6992152112226422042?</t>
  </si>
  <si>
    <t>https://www.tiktok.com/@tieungao1907/video/6992799321049648410?</t>
  </si>
  <si>
    <t>https://www.tiktok.com/@tieungao1907/video/6993539577990450459?</t>
  </si>
  <si>
    <t>https://www.tiktok.com/@tieungao1907/video/6993907369440759067?</t>
  </si>
  <si>
    <t>https://www.tiktok.com/@tieungao1907/video/6996503654287068442?</t>
  </si>
  <si>
    <t>https://www.facebook.com/tieungaocute/videos/893728304547576</t>
  </si>
  <si>
    <t>https://www.facebook.com/tieungaocute/videos/283351293556690</t>
  </si>
  <si>
    <t>https://www.tiktok.com/@minhnhatdzvcl/video/6991428643280964890?</t>
  </si>
  <si>
    <t>https://www.tiktok.com/@minhnhatdzvcl/video/6992799213088263451?</t>
  </si>
  <si>
    <t>https://www.tiktok.com/@minhnhatdzvcl/video/6993280233017330971?</t>
  </si>
  <si>
    <t>https://www.tiktok.com/@minhnhatdzvcl/video/6993668410890521882?</t>
  </si>
  <si>
    <t>https://www.youtube.com/watch?v=68YcSMctC-A&amp;t=14s</t>
  </si>
  <si>
    <t>INFQUYNH688</t>
  </si>
  <si>
    <t>https://www.tiktok.com/@quynh2001/video/6995363443029167387?</t>
  </si>
  <si>
    <t>INFTUAN899</t>
  </si>
  <si>
    <t>https://www.tiktok.com/@tuan_bo/video/6991701622132952346?</t>
  </si>
  <si>
    <t>https://www.tiktok.com/@tuan_bo/video/6992448854272511259?</t>
  </si>
  <si>
    <t>https://www.tiktok.com/@meous99/video/6997343418158419227?</t>
  </si>
  <si>
    <t>INFHAI522</t>
  </si>
  <si>
    <t>https://www.tiktok.com/@hht0911/video/6988773712031976730?lang=vi-VN&amp;is_copy_url=0&amp;is_from_webapp=v1&amp;sender_device=pc&amp;sender_web_id=6983582057944237570</t>
  </si>
  <si>
    <t>https://www.tiktok.com/@hht0911/video/6991815536543796507?lang=vi-VN&amp;is_copy_url=0&amp;is_from_webapp=v1&amp;sender_device=pc&amp;sender_web_id=6983582057944237570</t>
  </si>
  <si>
    <t>https://www.tiktok.com/@phaminhiu/video/6991387276009852187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</si>
  <si>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phaminhiu/video/6991455696688581915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</si>
  <si>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phaminhiu/video/6991717039761149210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</si>
  <si>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phaminhiu/video/6992489165136989467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</si>
  <si>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phaminhiu/video/6993330854671961371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</si>
  <si>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phaminhiu/video/6994772365624298778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</si>
  <si>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phaminhiu/video/6996182943286807834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</si>
  <si>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INFHOANG428</t>
  </si>
  <si>
    <t>https://www.tiktok.com/@jackmafia/video/6989131054196002074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</si>
  <si>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jackmafia/video/6989545481214938395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</si>
  <si>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jackmafia/video/6990193271825829147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</si>
  <si>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kimoanh1428/video/6992793522759863579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6983582057944237570</t>
  </si>
  <si>
    <t>https://www.tiktok.com/@kimoanh1428/video/6992918738517495067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6983582057944237570</t>
  </si>
  <si>
    <t>https://www.tiktok.com/@diemho2001/video/6989193881053089051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</si>
  <si>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diemho2001/video/6989231482472631578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</si>
  <si>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diemho2001/video/6989270660073704731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</si>
  <si>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diemho2001/video/6989455468569578778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</si>
  <si>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https://www.tiktok.com/@ducvamy/video/6988842287035927834?lang=vi-VN&amp;is_copy_url=0&amp;is_from_webapp=v1&amp;sender_device=pc&amp;sender_web_id=6983582057944237570</t>
  </si>
  <si>
    <t>https://www.tiktok.com/@ducvamy/video/6989506810268880154?lang=vi-VN&amp;is_copy_url=0&amp;is_from_webapp=v1&amp;sender_device=pc&amp;sender_web_id=6983582057944237570</t>
  </si>
  <si>
    <t>https://www.tiktok.com/@ducvamy/video/6990257045626703130?lang=vi-VN&amp;is_copy_url=0&amp;is_from_webapp=v1&amp;sender_device=pc&amp;sender_web_id=6983582057944237570</t>
  </si>
  <si>
    <t>https://www.tiktok.com/@ducvamy/video/6995087151092321563?lang=vi-VN&amp;is_copy_url=0&amp;is_from_webapp=v1&amp;sender_device=pc&amp;sender_web_id=6983582057944237570</t>
  </si>
  <si>
    <t>https://www.tiktok.com/@trangrung08/video/6989103891283479834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</si>
  <si>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6990883977401879834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</si>
  <si>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6992805326441549082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</si>
  <si>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6993637921463094554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</si>
  <si>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angrung08/video/6995057526114880794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</si>
  <si>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hupin_0109/video/6989092024280534298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</si>
  <si>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uongvihihi/video/6991306747067534619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</si>
  <si>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uongvihihi/video/6992045152248302875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</si>
  <si>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uongvihihi/video/6993162838546205979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</si>
  <si>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ruongvihihi/video/6996879556019768602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</si>
  <si>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olathule/video/6988739354269191451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</si>
  <si>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olathule/video/6988851041768869147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</si>
  <si>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tolathule/video/6994777706277702938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</si>
  <si>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_hvqt_/video/6990170909084486939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</si>
  <si>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_hvqt_/video/6990246796161305883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</si>
  <si>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_hvqt_/video/6994790557000142106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</si>
  <si>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INFNGUYEN444</t>
  </si>
  <si>
    <t>https://www.tiktok.com/@neyunn98/video/6989940398487506202?lang=vi-VN&amp;is_copy_url=0&amp;is_from_webapp=v1&amp;sender_device=pc&amp;sender_web_id=6983582057944237570</t>
  </si>
  <si>
    <t>INFMY943</t>
  </si>
  <si>
    <t>https://www.tiktok.com/@mymyle231/video/6994782586488884507?_d=secCgYIASAHKAESMgowTaSPXVETCF5LBZ2O1P4%2B%2Bpuo%2FsLIImw4rfuTk7DhD1mRselvhM6Npjaeqic1%2BbBFGgA%3D&amp;checksum=163751001ab23af1c2c78e9851d71e6875de52c80b438b524155997dd9acca73&amp;language=vi&amp;sec_uid=MS4wLjABAAAAz-DRqWdEA0u8ksBqZGQ0p9f81Zylnj5QUvUY0hktvKQ7dfoIqLRsOilg2gcz22Nj&amp;sec_user_id=MS4wLjABAAAABZoGHXrZBRfUXemmSi4q3avURclQFi4x2Whu9VjcIcT76FNFZkqEczdQ-sOpcqo6&amp;share_app_id=1180&amp;share_author_id=6792047944855176193&amp;share_link_id=2BF209A4-1DED-4FE8-9E56-90ACCC6E051C&amp;tt_from=copy&amp;u_code=d16a1cdem4bjl5&amp;user_id=6580521240628297730&amp;utm_campaign=client_share&amp;utm_medium=ios&amp;utm_source=copy&amp;source=h5_t&amp;_r=1&amp;is_copy_url=0&amp;is_from_webapp=v1&amp;sender_device=pc&amp;sender_web_id=6983582057944237570</t>
  </si>
  <si>
    <t>https://www.tiktok.com/@dinhtrangthao03/video/6991786929654074650?lang=vi-VN&amp;is_copy_url=0&amp;is_from_webapp=v1&amp;sender_device=pc&amp;sender_web_id=6983582057944237570</t>
  </si>
  <si>
    <t>https://www.tiktok.com/@dinhtrangthao03/video/6992164180686114075?lang=vi-VN&amp;is_copy_url=0&amp;is_from_webapp=v1&amp;sender_device=pc&amp;sender_web_id=6983582057944237570</t>
  </si>
  <si>
    <t>https://www.tiktok.com/@dinhtrangthao03/video/6992901545285192986?lang=vi-VN&amp;is_copy_url=0&amp;is_from_webapp=v1&amp;sender_device=pc&amp;sender_web_id=6983582057944237570</t>
  </si>
  <si>
    <t>https://www.tiktok.com/@dinhtrangthao03/video/6993652665104239899?lang=vi-VN&amp;is_copy_url=0&amp;is_from_webapp=v1&amp;sender_device=pc&amp;sender_web_id=6983582057944237570</t>
  </si>
  <si>
    <t>https://www.tiktok.com/@dinhtrangthao03/video/6994393946998787354?lang=vi-VN&amp;is_copy_url=0&amp;is_from_webapp=v1&amp;sender_device=pc&amp;sender_web_id=6983582057944237570</t>
  </si>
  <si>
    <t>https://www.tiktok.com/@dinhtrangthao03/video/6995875035734936858?lang=vi-VN&amp;is_copy_url=0&amp;is_from_webapp=v1&amp;sender_device=pc&amp;sender_web_id=6983582057944237570</t>
  </si>
  <si>
    <t>INFVAN909</t>
  </si>
  <si>
    <t>https://www.tiktok.com/@tranvan0407/video/6995506350570671386?lang=vi-VN&amp;is_copy_url=0&amp;is_from_webapp=v1&amp;sender_device=pc&amp;sender_web_id=6983582057944237570</t>
  </si>
  <si>
    <t>INFBAO888</t>
  </si>
  <si>
    <t>https://www.tiktok.com/@lebaoofficial/video/6993652670733061403?lang=vi-VN&amp;is_copy_url=0&amp;is_from_webapp=v1&amp;sender_device=pc&amp;sender_web_id=6983582057944237570</t>
  </si>
  <si>
    <t>https://www.tiktok.com/@lebaoofficial/video/6993653361807527194?lang=vi-VN&amp;is_copy_url=0&amp;is_from_webapp=v1&amp;sender_device=pc&amp;sender_web_id=6983582057944237570</t>
  </si>
  <si>
    <t>https://www.facebook.com/lebaodeptrai/videos/1318471708548999</t>
  </si>
  <si>
    <t>https://www.youtube.com/watch?v=mbkZ0sMv30M</t>
  </si>
  <si>
    <t>INFVIEN003</t>
  </si>
  <si>
    <t>https://www.facebook.com/emkolathienthan/videos/4527306413948969</t>
  </si>
  <si>
    <t>https://www.instagram.com/p/CSLMLZmp1cM/?utm_source=ig_web_copy_link</t>
  </si>
  <si>
    <t>INFHA277</t>
  </si>
  <si>
    <t>https://www.facebook.com/hatrinh.ha95/videos/1504019759960611</t>
  </si>
  <si>
    <t>https://www.tiktok.com/@haxinhgai..95/video/6989787486281059610?fbclid=IwAR3He4bA6prCvdaABHfFgfPqhI7SNETeJewnkaDEkIxCTW9mOsGXJMKVKPk&amp;is_copy_url=0&amp;is_from_webapp=v1&amp;sender_device=pc&amp;sender_web_id=6983582057944237570</t>
  </si>
  <si>
    <t>https://www.tiktok.com/@haxinhgai..95/video/6991790291418238234?fbclid=IwAR3He4bA6prCvdaABHfFgfPqhI7SNETeJewnkaDEkIxCTW9mOsGXJMKVKPk&amp;is_copy_url=0&amp;is_from_webapp=v1&amp;sender_device=pc&amp;sender_web_id=6983582057944237570</t>
  </si>
  <si>
    <t>https://www.tiktok.com/@haxinhgai..95/video/6993617128679132443?fbclid=IwAR3He4bA6prCvdaABHfFgfPqhI7SNETeJewnkaDEkIxCTW9mOsGXJMKVKPk&amp;is_copy_url=0&amp;is_from_webapp=v1&amp;sender_device=pc&amp;sender_web_id=6983582057944237570</t>
  </si>
  <si>
    <t>INFVUNG495</t>
  </si>
  <si>
    <t>https://www.facebook.com/Habeauty.95/videos/540906827112339</t>
  </si>
  <si>
    <t>INFHIEP784</t>
  </si>
  <si>
    <t>https://www.facebook.com/trinhkien.aodai/videos/2877671582544887</t>
  </si>
  <si>
    <t>INFVY763</t>
  </si>
  <si>
    <t>https://www.tiktok.com/@cattia.ttv_/video/6994762898434313498?lang=vi-VN&amp;is_copy_url=0&amp;is_from_webapp=v1&amp;sender_device=pc&amp;sender_web_id=6983582057944237570</t>
  </si>
  <si>
    <t>INFGIAO069</t>
  </si>
  <si>
    <t>https://www.facebook.com/quynh.giao.31/videos/182272053962950</t>
  </si>
  <si>
    <t>https://www.tiktok.com/@quynhgo/video/6995941766083955994?_d=secCgYIASAHKAESMgowZ2qmwgNXbrXjyq5FMspQ8QPAe497lrGNYHE2YQR7gYaI98nZqpeeYJltX2nNGNmdGgA%3D&amp;language=vi&amp;sec_uid=MS4wLjABAAAABfLOBt9R09gaACxATvC4jQctf1hHzekfnjNO_8JPDhOVsu269vPHXL2YJZ5zKDBd&amp;sec_user_id=MS4wLjABAAAABfLOBt9R09gaACxATvC4jQctf1hHzekfnjNO_8JPDhOVsu269vPHXL2YJZ5zKDBd&amp;share_app_id=1180&amp;share_author_id=6983460434691474434&amp;share_link_id=51F09909-305D-4EED-8B27-DB67A29A0995&amp;tt_from=copy&amp;u_code=djf7f9373af1h6&amp;user_id=6983460434691474434&amp;utm_campaign=client_share&amp;utm_medium=ios&amp;utm_source=copy&amp;source=h5_t&amp;_r=1&amp;is_copy_url=0&amp;is_from_webapp=v1&amp;sender_device=pc&amp;sender_web_id=6983582057944237570</t>
  </si>
  <si>
    <t>https://www.tiktok.com/@quynhgo/video/6996534884558753051?_d=secCgYIASAHKAESMgowZ2qmwgNXbrXjyq5FMspQ8QPAe497lrGNYHE2YQR7gYaI98nZqpeeYJltX2nNGNmdGgA%3D&amp;language=vi&amp;sec_uid=MS4wLjABAAAABfLOBt9R09gaACxATvC4jQctf1hHzekfnjNO_8JPDhOVsu269vPHXL2YJZ5zKDBd&amp;sec_user_id=MS4wLjABAAAABfLOBt9R09gaACxATvC4jQctf1hHzekfnjNO_8JPDhOVsu269vPHXL2YJZ5zKDBd&amp;share_app_id=1180&amp;share_author_id=6983460434691474434&amp;share_link_id=51F09909-305D-4EED-8B27-DB67A29A0995&amp;tt_from=copy&amp;u_code=djf7f9373af1h6&amp;user_id=6983460434691474434&amp;utm_campaign=client_share&amp;utm_medium=ios&amp;utm_source=copy&amp;source=h5_t&amp;_r=1&amp;is_copy_url=0&amp;is_from_webapp=v1&amp;sender_device=pc&amp;sender_web_id=6983582057944237570</t>
  </si>
  <si>
    <t>https://www.tiktok.com/@buingocphuongtrang/video/6990693452635802907?is_copy_url=0&amp;is_from_webapp=v1&amp;sender_device=pc&amp;sender_web_id=6983582057944237570</t>
  </si>
  <si>
    <t>https://www.tiktok.com/@buingocphuongtrang/video/6993198670703299866?is_copy_url=0&amp;is_from_webapp=v1&amp;sender_device=pc&amp;sender_web_id=6983582057944237570</t>
  </si>
  <si>
    <t>https://www.tiktok.com/@d.l9801/video/6989189622660173082?lang=vi-VN&amp;is_copy_url=0&amp;is_from_webapp=v1&amp;sender_device=pc&amp;sender_web_id=6983582057944237570</t>
  </si>
  <si>
    <t>https://www.tiktok.com/@d.l9801/video/6996978245279239451?lang=vi-VN&amp;is_copy_url=0&amp;is_from_webapp=v1&amp;sender_device=pc&amp;sender_web_id=6983582057944237570</t>
  </si>
  <si>
    <t>INFPHONG346</t>
  </si>
  <si>
    <t>https://www.tiktok.com/@_ram215/video/6989810625182534939?lang=vi-VN&amp;is_copy_url=0&amp;is_from_webapp=v1&amp;sender_device=pc&amp;sender_web_id=6983582057944237570</t>
  </si>
  <si>
    <t>https://www.tiktok.com/@_ram215/video/6990163737533631770?lang=vi-VN&amp;is_copy_url=0&amp;is_from_webapp=v1&amp;sender_device=pc&amp;sender_web_id=6983582057944237570</t>
  </si>
  <si>
    <t>https://www.tiktok.com/@_ram215/video/6991616014534413595?is_copy_url=0&amp;is_from_webapp=v1&amp;sender_device=pc&amp;sender_web_id=6983582057944237570</t>
  </si>
  <si>
    <t>https://www.tiktok.com/@_ram215/video/6992033998566460698?is_copy_url=0&amp;is_from_webapp=v1&amp;sender_device=pc&amp;sender_web_id=6983582057944237570</t>
  </si>
  <si>
    <t>https://www.tiktok.com/@_ram215/video/6993185588618808602?is_copy_url=0&amp;is_from_webapp=v1&amp;sender_device=pc&amp;sender_web_id=6983582057944237570</t>
  </si>
  <si>
    <t>https://www.tiktok.com/@_ram215/video/6996546066585799963?is_copy_url=0&amp;is_from_webapp=v1&amp;sender_device=pc&amp;sender_web_id=6983582057944237570</t>
  </si>
  <si>
    <t>https://www.tiktok.com/@10103anh/video/6992494608265612570?is_copy_url=0&amp;is_from_webapp=v1&amp;sender_device=pc&amp;sender_web_id=6983582057944237570</t>
  </si>
  <si>
    <t>INFHANH352</t>
  </si>
  <si>
    <t>https://www.facebook.com/100005340498640/videos/505387720562605</t>
  </si>
  <si>
    <t>INFTRUONG497</t>
  </si>
  <si>
    <t>https://www.tiktok.com/@truong_qn/video/6989151063471410459?_d=secCgYIASAHKAESMgowLmkz2ExDeXgIan7x9mIDHD42x50hbwkhN6YhbJMydsVrPR6q1fBpzh6vkDM0TKIVGgA%3D&amp;checksum=33ed7467324e4cdbf4534f452319febb41f460733250324d052d4f437f6462cc&amp;language=vi&amp;mid=6989151045662411546&amp;preview_pb=0&amp;region=VN&amp;sec_user_id=MS4wLjABAAAAmB3MYYXyfQYprgA8aA5T77tiKXFhU1vrXaG1Da2OPuU1bqLlT4eYYH1xLEp_8BqU&amp;share_app_id=1180&amp;share_item_id=6989151063471410459&amp;share_link_id=cb53a587-f431-4e37-bee0-930c25b028f4&amp;source=h5_t&amp;timestamp=1627289026&amp;u_code=cldl5l4c115fbi&amp;user_id=6521910605594918914&amp;utm_campaign=client_share&amp;utm_medium=android&amp;utm_source=copy&amp;_r=1&amp;is_copy_url=0&amp;is_from_webapp=v1&amp;sender_device=pc&amp;sender_web_id=6983582057944237570</t>
  </si>
  <si>
    <t>https://www.tiktok.com/@truong_qn/video/6989472522370682139?is_copy_url=0&amp;is_from_webapp=v1&amp;sender_device=pc&amp;sender_web_id=6983582057944237570</t>
  </si>
  <si>
    <t>https://www.tiktok.com/@truong_qn/video/6990269678895516955?is_copy_url=0&amp;is_from_webapp=v1&amp;sender_device=pc&amp;sender_web_id=6983582057944237570</t>
  </si>
  <si>
    <t>https://www.tiktok.com/@truong_qn/video/6991030818583907611?is_copy_url=0&amp;is_from_webapp=v1&amp;sender_device=pc&amp;sender_web_id=6983582057944237570</t>
  </si>
  <si>
    <t>https://www.tiktok.com/@truong_qn/video/6992508021448494363?is_copy_url=0&amp;is_from_webapp=v1&amp;sender_device=pc&amp;sender_web_id=6983582057944237570</t>
  </si>
  <si>
    <t>https://www.tiktok.com/@truong_qn/video/6994386467934063898?is_copy_url=0&amp;is_from_webapp=v1&amp;sender_device=pc&amp;sender_web_id=6983582057944237570</t>
  </si>
  <si>
    <t>https://www.tiktok.com/@truong_qn/video/6995485588703022362?is_copy_url=0&amp;is_from_webapp=v1&amp;sender_device=pc&amp;sender_web_id=6983582057944237570</t>
  </si>
  <si>
    <t>INFTHANH550</t>
  </si>
  <si>
    <t>https://www.facebook.com/phuongthanh.nguyen.906/videos/260431488968154</t>
  </si>
  <si>
    <t>INFXUAN111</t>
  </si>
  <si>
    <t>https://www.facebook.com/phung.thanhxuan/videos/642663623375275</t>
  </si>
  <si>
    <t>INFPHUONG885</t>
  </si>
  <si>
    <t>https://www.tiktok.com/@dinhlanphuongmethorua/video/6990714957226577178?_d=secCgYIASAHKAESMgowfO5gbAwhqoNq%2FPgehzzqa5feJA65OVxXVLJJYI%2F8AE8cf9y2%2B3nhPdQpYoritmDmGgA%3D&amp;language=vi&amp;preview_pb=0&amp;sec_user_id=MS4wLjABAAAArLBC2Plw0trRKoJd7BWSBwTKEcrusTey5lvl69K9N_ZVvpcpJEdRxjY1gCdzkBgc&amp;share_item_id=6990714957226577178&amp;share_link_id=A4F4F958-3D84-4BD4-8F80-7FA083269B96&amp;source=h5_m&amp;timestamp=1627652672&amp;tt_from=messenger&amp;u_code=djk25g44k3324a&amp;user_id=6987999890643289115&amp;utm_campaign=client_share&amp;utm_medium=ios&amp;utm_source=messenger&amp;_r=1&amp;fbclid=IwAR0u6JX8ikkhxtvSwpz3GksssqOxJBjcmzezz560RJR10i-rAm7G4t0jKUY&amp;is_copy_url=0&amp;is_from_webapp=v1&amp;sender_device=pc&amp;sender_web_id=6983582057944237570</t>
  </si>
  <si>
    <t>INFTHAM083</t>
  </si>
  <si>
    <t>https://www.facebook.com/nguyenthamnb/videos/516262562785297</t>
  </si>
  <si>
    <t>INFGIANG916</t>
  </si>
  <si>
    <t>https://www.tiktok.com/@thaihagiang25/video/6995535245655231770?_d=secCgYIASAHKAESMgowxG0qer5KOTG3HWK3qCL7GN7oKIMtE9pYAqKQaWJxZ71nyocuA%2BvpFZCGkGNr8%2F9nGgA%3D&amp;checksum=4e71203219780f87be0cc86efcd535efce0cb0f2df6a38d289491d72414accb8&amp;language=vi&amp;mid=6995535251929959195&amp;preview_pb=0&amp;region=VN&amp;sec_user_id=MS4wLjABAAAAiP-0-2oiTEagOFH_LHH3Q5XkY7OfYr5prJMjhUh6bCTy0FBoE2DehLJDjAswPQLY&amp;share_app_id=1180&amp;share_item_id=6995535245655231770&amp;share_link_id=6bc3b62e-d3d6-4bff-bd10-1b82b28b75b7&amp;source=h5_t&amp;timestamp=1628870248&amp;u_code=dcg95afb7dg1bk&amp;user_id=6831075834708689921&amp;utm_campaign=client_share&amp;utm_medium=android&amp;utm_source=copy&amp;_r=1&amp;is_copy_url=0&amp;is_from_webapp=v1&amp;sender_device=pc&amp;sender_web_id=6983582057944237570</t>
  </si>
  <si>
    <t>INFLOI899</t>
  </si>
  <si>
    <t>https://www.facebook.com/ngoloi.1979/videos/894534377806357</t>
  </si>
  <si>
    <t>INFHUE986</t>
  </si>
  <si>
    <t>https://www.facebook.com/phan.thanhhue/videos/533888777727779</t>
  </si>
  <si>
    <t>INFMAI010</t>
  </si>
  <si>
    <t>https://www.tiktok.com/@vomai2412/video/6995019627843685659?_d=secCgYIASAHKAESMgowXjeQ4HBf8FFnZkWdjzJLZizmnbvqTbqIGbl5yxrvQRUSIXKybDjfSmVhzP%2FVQsSOGgA%3D&amp;checksum=49ce1e95839b35157fba9e9126a4dbad326396f623a6e73af6408da9d1c3761e&amp;language=vi&amp;sec_uid=MS4wLjABAAAAakcoLn0AH5d0lix39quyCHbeQ03KVcBklMVDcbdxXNpvr5r1DrAsI5YZtHHqLDeV&amp;sec_user_id=MS4wLjABAAAAakcoLn0AH5d0lix39quyCHbeQ03KVcBklMVDcbdxXNpvr5r1DrAsI5YZtHHqLDeV&amp;share_app_id=1180&amp;share_author_id=6854816817475781633&amp;share_link_id=8E18F6E1-DCBB-4681-98A2-26A180A0B665&amp;tt_from=copy&amp;u_code=ddi77ac9ek69je&amp;user_id=6854816817475781633&amp;utm_campaign=client_share&amp;utm_medium=ios&amp;utm_source=copy&amp;source=h5_t&amp;_r=1&amp;is_copy_url=0&amp;is_from_webapp=v1&amp;sender_device=pc&amp;sender_web_id=6983582057944237570</t>
  </si>
  <si>
    <t>INFTHU186</t>
  </si>
  <si>
    <t>https://www.tiktok.com/@thu.kobito/video/6996154736714075393?lang=vi-VN&amp;is_copy_url=0&amp;is_from_webapp=v1&amp;sender_device=pc&amp;sender_web_id=6983582057944237570</t>
  </si>
  <si>
    <t>https://www.tiktok.com/@thu.kobito/video/6997247480777706753?lang=vi-VN&amp;is_copy_url=0&amp;is_from_webapp=v1&amp;sender_device=pc&amp;sender_web_id=6983582057944237570</t>
  </si>
  <si>
    <t>INFPHUONG681</t>
  </si>
  <si>
    <t>https://www.facebook.com/100006351731572/videos/pcb.3167338600154500/378913080264829</t>
  </si>
  <si>
    <t>INFHUONG633</t>
  </si>
  <si>
    <t>https://www.tiktok.com/@thuhuong2xx1/video/6996979355477871899?is_copy_url=0&amp;is_from_webapp=v1&amp;sender_device=pc&amp;sender_web_id=6983582057944237570</t>
  </si>
  <si>
    <t>INFDUC556</t>
  </si>
  <si>
    <t>https://www.facebook.com/trinhanhduc206/videos/512211576506040</t>
  </si>
  <si>
    <t>INFANH776</t>
  </si>
  <si>
    <t>https://www.facebook.com/ngoducanh1012.bg/videos/4388514157874243</t>
  </si>
  <si>
    <t>INFLINH905</t>
  </si>
  <si>
    <t>https://www.tiktok.com/@hkl209/video/6996989575365250330?_d=secCgYIASAHKAESMgowcXa5QiEGVeEYGpz0c4C51r4Nwtk%2Fw4PhII2UZz8Dkcr2GjD9r6ecTbL6iu3J%2BJhzGgA%3D&amp;checksum=6d3c27d5eb2ffb3d2c4d861295cc7cf447020ef7aa6f2f65addb44f4fe0f3d67&amp;language=vi&amp;sec_uid=MS4wLjABAAAAbEy_ZU7J4xveIKBfuCXUVuIOSuNwZTiQ6RCOU5_gEeJPm4HfAItMKJOhmv43aDEo&amp;sec_user_id=MS4wLjABAAAAbEy_ZU7J4xveIKBfuCXUVuIOSuNwZTiQ6RCOU5_gEeJPm4HfAItMKJOhmv43aDEo&amp;share_app_id=1180&amp;share_author_id=6763629426921309186&amp;share_link_id=B9708286-A1C6-4040-A9E1-F4BC6C2056DC&amp;tt_from=copy&amp;u_code=d9ee34mghic707&amp;user_id=6763629426921309186&amp;utm_campaign=client_share&amp;utm_medium=ios&amp;utm_source=copy&amp;source=h5_t&amp;_r=1&amp;is_copy_url=0&amp;is_from_webapp=v1&amp;sender_device=pc&amp;sender_web_id=6983582057944237570</t>
  </si>
  <si>
    <t>INFTHU402</t>
  </si>
  <si>
    <t>https://www.facebook.com/trungthu9x/videos/4302304036494266</t>
  </si>
  <si>
    <t>INFTIEN746</t>
  </si>
  <si>
    <t>https://www.tiktok.com/@tienkhautrang200299/video/6996981453611420954?is_copy_url=0&amp;is_from_webapp=v1&amp;sender_device=pc&amp;sender_web_id=6983582057944237570</t>
  </si>
  <si>
    <t>INFHUONG996</t>
  </si>
  <si>
    <t>https://www.tiktok.com/@nguyenhanghuong96/video/6993308751197424922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</t>
  </si>
  <si>
    <t>https://www.tiktok.com/@nguyenhanghuong96/video/6996865355708697883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</t>
  </si>
  <si>
    <t>https://www.tiktok.com/@nguyenhanghuong96/video/6997237457565601050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</t>
  </si>
  <si>
    <t>https://www.tiktok.com/@shoppingfamily_/video/6997294790522031386?is_copy_url=0&amp;is_from_webapp=v1&amp;sender_device=pc&amp;sender_web_id=6908929983101486593</t>
  </si>
  <si>
    <t>INFHUE272</t>
  </si>
  <si>
    <t>https://www.facebook.com/pu.be.7547/videos/349721976824292</t>
  </si>
  <si>
    <t>https://www.tiktok.com/@hoduyphuong/video/6989081767756025114?_=&amp;is_copy_url=0&amp;is_from_webapp=v1&amp;sender_device=pc&amp;sender_web_id=6908929983101486593</t>
  </si>
  <si>
    <t>https://www.tiktok.com/@hoduyphuong/video/6989822411969547546?_=&amp;is_copy_url=0&amp;is_from_webapp=v1&amp;sender_device=pc&amp;sender_web_id=6908929983101486593</t>
  </si>
  <si>
    <t>https://www.tiktok.com/@khanhkhie/video/6989582358781496602?is_copy_url=0&amp;is_from_webapp=v1&amp;sender_device=pc&amp;sender_web_id=6908929983101486593</t>
  </si>
  <si>
    <t>https://www.tiktok.com/@toanprdsofficial/video/6989206587835419931?is_copy_url=0&amp;is_from_webapp=v1&amp;sender_device=pc&amp;sender_web_id=6908929983101486593</t>
  </si>
  <si>
    <t>https://www.tiktok.com/@toanprdsofficial/video/6989587951852293402?is_copy_url=0&amp;is_from_webapp=v1&amp;sender_device=pc&amp;sender_web_id=6908929983101486593</t>
  </si>
  <si>
    <t>https://www.instagram.com/reel/CRydlrjDHH1/</t>
  </si>
  <si>
    <t>https://www.instagram.com/reel/CR1OPZPDuaP/</t>
  </si>
  <si>
    <t>https://www.facebook.com/106896074362727/videos/557778102079599</t>
  </si>
  <si>
    <t>https://www.tiktok.com/@baduyyyy/video/6989206445728238874?</t>
  </si>
  <si>
    <t>Ngày giờ</t>
  </si>
  <si>
    <t>Tiktok : 2021-08-19 10:19:21.217716</t>
  </si>
  <si>
    <t>Insta : 2021-08-19 10:38:34.422582</t>
  </si>
  <si>
    <t>Fb : 2021-08-19 12:17:39.661319</t>
  </si>
  <si>
    <t>https://www.tiktok.com/@phuonganh260499/video/6990938927632813338??</t>
  </si>
  <si>
    <t>https://www.tiktok.com/@quely94/video/6989453718311669019??</t>
  </si>
  <si>
    <t>https://www.tiktok.com/@nmtvlog99/video/6993641859729935642??</t>
  </si>
  <si>
    <t>Họ tên</t>
  </si>
  <si>
    <t>Số Tài Khoản</t>
  </si>
  <si>
    <t>Chủ tài khoản</t>
  </si>
  <si>
    <t>Tên Ngân Hàng</t>
  </si>
  <si>
    <t>Số tiền hợp tác</t>
  </si>
  <si>
    <t>Số tiền View</t>
  </si>
  <si>
    <t>Tiền Hoa Hồng</t>
  </si>
  <si>
    <t>Tổng tiền</t>
  </si>
  <si>
    <t>Kế toán xác nhận</t>
  </si>
  <si>
    <t>No</t>
  </si>
  <si>
    <t xml:space="preserve">Bidv </t>
  </si>
  <si>
    <t>Đặng Đức Đại</t>
  </si>
  <si>
    <t xml:space="preserve">0341007065389
</t>
  </si>
  <si>
    <t xml:space="preserve">Vietcombank
</t>
  </si>
  <si>
    <t>Trần Hồng Phúc</t>
  </si>
  <si>
    <t xml:space="preserve"> TRAN HONG PHUC</t>
  </si>
  <si>
    <t xml:space="preserve"> TECHCOMBANK</t>
  </si>
  <si>
    <t>agribank</t>
  </si>
  <si>
    <t>Dương Thái Thiện Nhân</t>
  </si>
  <si>
    <t xml:space="preserve">Viecom Bank </t>
  </si>
  <si>
    <t>Trịnh Thị Quỳnh Hương</t>
  </si>
  <si>
    <t>Trịnh Thị Quỳnh Hương</t>
  </si>
  <si>
    <t>Techcombank chi nhánh Bình Tân</t>
  </si>
  <si>
    <t xml:space="preserve"> Nhâm Thuỳ Linh</t>
  </si>
  <si>
    <t>NHAM THUY LINH</t>
  </si>
  <si>
    <t>Bổ sung thêm 100k ( hợp tác theo chính sách ban đầu)</t>
  </si>
  <si>
    <t>Vũ Trung Hiếu</t>
  </si>
  <si>
    <t>Ngô Huỳnh Phú An</t>
  </si>
  <si>
    <t xml:space="preserve">0291000338484
</t>
  </si>
  <si>
    <t>Nguyễn Thị Thu Hương</t>
  </si>
  <si>
    <t xml:space="preserve">- Chủ tài khoản: Phạm Tiến Thạo
- Ngân hàng: BIDV
- STK: 31410002915480
Momo: </t>
  </si>
  <si>
    <t>Lê Hoàng Long</t>
  </si>
  <si>
    <t>Le Hoang Long</t>
  </si>
  <si>
    <t xml:space="preserve"> BIDV</t>
  </si>
  <si>
    <t>Lê Thị Bích Hằng</t>
  </si>
  <si>
    <t>MSB (Maritime Bank)- Ngân Hàng TMCP Hàng Hải Việt Nam</t>
  </si>
  <si>
    <t>Nguyễn Thị Thảo Nhi</t>
  </si>
  <si>
    <t>Huỳnh Ngọc Thiên Tú</t>
  </si>
  <si>
    <t>acb chi nhánh nguyễn oanh</t>
  </si>
  <si>
    <t>Bùi Thị Thu Hiền</t>
  </si>
  <si>
    <t>teckcombank chi nhánh hoàng mai</t>
  </si>
  <si>
    <t>Nguyễn Thị Tiểu Thư</t>
  </si>
  <si>
    <t>ACB - PGD Kiến Thiết</t>
  </si>
  <si>
    <t>Phạm Nguyễn tường Vi</t>
  </si>
  <si>
    <t>DANG ANH THUYET</t>
  </si>
  <si>
    <t>Phạm Thị Thanh Ngọc</t>
  </si>
  <si>
    <t>BIDV-CHi Nhánh Quang Trung</t>
  </si>
  <si>
    <t>Dương Gia Hân</t>
  </si>
  <si>
    <t>Dương Gia Hân</t>
  </si>
  <si>
    <t xml:space="preserve"> techcombank</t>
  </si>
  <si>
    <t>Trần Thị Ly</t>
  </si>
  <si>
    <t>Vũ Thị Phương Chinh</t>
  </si>
  <si>
    <t xml:space="preserve">0331000488376
</t>
  </si>
  <si>
    <t>Techcombank chi nhánh HCM</t>
  </si>
  <si>
    <t>Phan Đắc Toàn</t>
  </si>
  <si>
    <t xml:space="preserve"> PHAN DAC TOAN</t>
  </si>
  <si>
    <t xml:space="preserve">BIDV </t>
  </si>
  <si>
    <t>Trần Văn Toàn</t>
  </si>
  <si>
    <t>Phạm Văn Duy</t>
  </si>
  <si>
    <t>Nguyễn Đình Thịnh</t>
  </si>
  <si>
    <t xml:space="preserve">Nguyễn Đình thịnh </t>
  </si>
  <si>
    <t>871004206439
Nguyen Thi Thu Huong
Vietcombank</t>
  </si>
  <si>
    <t>Đỗ Thu Hương</t>
  </si>
  <si>
    <t>Nguyễn Thị Mộng Tuyền</t>
  </si>
  <si>
    <t xml:space="preserve">0331000468243
</t>
  </si>
  <si>
    <t>Vũ Thị Ngọc Loan</t>
  </si>
  <si>
    <t>VU THI NGOC LOAN</t>
  </si>
  <si>
    <t>Phạm Thị Vân</t>
  </si>
  <si>
    <t xml:space="preserve">0721000585483
</t>
  </si>
  <si>
    <t xml:space="preserve">Phạm Thị Vân </t>
  </si>
  <si>
    <t>Ngan Thi Thu Hien</t>
  </si>
  <si>
    <t xml:space="preserve">Hạ Thị Hoa </t>
  </si>
  <si>
    <t>HOANG THI PHUONG THAO</t>
  </si>
  <si>
    <t>. Ngân hàng VP Bank - Chi Nhánh Quận 2</t>
  </si>
  <si>
    <t>Phùn Thị Anh</t>
  </si>
  <si>
    <t>Nguyễn Thuỳ Dương</t>
  </si>
  <si>
    <t xml:space="preserve">Techcombank: </t>
  </si>
  <si>
    <t>Lương thị ngọc hoài</t>
  </si>
  <si>
    <t>Nguyễn Ngọc Huyền</t>
  </si>
  <si>
    <t>NGO DUC HAI</t>
  </si>
  <si>
    <t>Nguyễn Huỳnh Nhựt</t>
  </si>
  <si>
    <t>VPBank</t>
  </si>
  <si>
    <t xml:space="preserve"> Sacombank</t>
  </si>
  <si>
    <t>Trần Quỳnh Giao</t>
  </si>
  <si>
    <t xml:space="preserve">Trần Vũ Thị </t>
  </si>
  <si>
    <t>Trần Vũ Thị  Kim Yến</t>
  </si>
  <si>
    <t>MB</t>
  </si>
  <si>
    <t xml:space="preserve">Bùi Ngọc Phương Trang </t>
  </si>
  <si>
    <t>Hồ Nhật Quang</t>
  </si>
  <si>
    <t>Nguyễn Thoại Nghi</t>
  </si>
  <si>
    <t>1017616855
Nguyễn Vũ Thoại Nghi
Vietcombank</t>
  </si>
  <si>
    <t xml:space="preserve">Nguyễn Đình Lượng </t>
  </si>
  <si>
    <t>Viettin Bank</t>
  </si>
  <si>
    <t xml:space="preserve">Lương Khánh Huyền </t>
  </si>
  <si>
    <t>Đỗ Thị Muôn</t>
  </si>
  <si>
    <t xml:space="preserve">Đỗ Thị Muôn </t>
  </si>
  <si>
    <t xml:space="preserve">Nguyễn Anh Dũng </t>
  </si>
  <si>
    <t>Dương Thị Thành</t>
  </si>
  <si>
    <t xml:space="preserve">Dương Thị Thành </t>
  </si>
  <si>
    <t>Đào Thị Minh Thuỳ</t>
  </si>
  <si>
    <t xml:space="preserve">Đào Thị Minh Thùy </t>
  </si>
  <si>
    <t xml:space="preserve">Nguyễn Hoàng Bắc </t>
  </si>
  <si>
    <t>Vũ Thị Hạnh</t>
  </si>
  <si>
    <t xml:space="preserve">0021000288918
</t>
  </si>
  <si>
    <t xml:space="preserve">Vũ Thị Hạnh </t>
  </si>
  <si>
    <t>Lê Xuân MInh</t>
  </si>
  <si>
    <t>Lê Xuân Minh</t>
  </si>
  <si>
    <t>Ngân hàng BIDV chi nhánh Quang Trung Hà Nội</t>
  </si>
  <si>
    <t>Nguyễn Ngọc Việt Thi</t>
  </si>
  <si>
    <t>NGUYEN NGOC VIET THI</t>
  </si>
  <si>
    <t xml:space="preserve">Trần Hoàng Hải </t>
  </si>
  <si>
    <t>Tran Hoang Hai</t>
  </si>
  <si>
    <t xml:space="preserve">TP bank </t>
  </si>
  <si>
    <t>Phạm Minh Hiếu</t>
  </si>
  <si>
    <t>Nguyễn Ngọc Ánh Dương</t>
  </si>
  <si>
    <t>6440205618034 - Agribank - Trần Tuấn Kiệt</t>
  </si>
  <si>
    <t>Nguyễn Việt Hoàng</t>
  </si>
  <si>
    <t>Nguyen Viet Hoang</t>
  </si>
  <si>
    <t xml:space="preserve">tp bank </t>
  </si>
  <si>
    <t>Dương Huyền My</t>
  </si>
  <si>
    <t>duong huyen my</t>
  </si>
  <si>
    <t xml:space="preserve"> MB Bank </t>
  </si>
  <si>
    <t>Phạm Thị Kim Oanh</t>
  </si>
  <si>
    <t>pham thi kim oanh</t>
  </si>
  <si>
    <t>Hồ Thị Diễm</t>
  </si>
  <si>
    <t>HO THI DIEM</t>
  </si>
  <si>
    <t>Nguyễn Thị Thanh Tuyền</t>
  </si>
  <si>
    <t>Phạm Tuấn Anh</t>
  </si>
  <si>
    <t>Đoàn Phạm Nhật Duy</t>
  </si>
  <si>
    <t>Đoàn Bùi Quốc Thành</t>
  </si>
  <si>
    <t>Phạm Anh Tuấn</t>
  </si>
  <si>
    <t>Đào Thị Quỳnh</t>
  </si>
  <si>
    <t>Lê Minh Nhật</t>
  </si>
  <si>
    <t>Phan Thị Trang</t>
  </si>
  <si>
    <t>Vũ Thu Hường</t>
  </si>
  <si>
    <t>Nguyễn Kim Mạnh Quyền</t>
  </si>
  <si>
    <t>Vũ Hoài Phương</t>
  </si>
  <si>
    <t xml:space="preserve">Nguyễn Nhật Hoàng </t>
  </si>
  <si>
    <t>Đỗ Thị Huyền Trang</t>
  </si>
  <si>
    <t>Mai Thị Huỳnh anh</t>
  </si>
  <si>
    <t xml:space="preserve"> Nguyễn Ngọc Lan Hương</t>
  </si>
  <si>
    <t>Phạm Hoàng Thương Hiền</t>
  </si>
  <si>
    <t xml:space="preserve">Nguyen Thanh Huyen </t>
  </si>
  <si>
    <t>Nguyễn Duy Đức</t>
  </si>
  <si>
    <t>Nguyen Duy Duc</t>
  </si>
  <si>
    <t xml:space="preserve">Techcombank  </t>
  </si>
  <si>
    <t>Nguyễn Thị Thu Trang</t>
  </si>
  <si>
    <t>Nguyen Thi Thu Trang</t>
  </si>
  <si>
    <t xml:space="preserve">VP bank </t>
  </si>
  <si>
    <t>Nguyễn Thị Thu</t>
  </si>
  <si>
    <t>Nguyen Thi Thu</t>
  </si>
  <si>
    <t xml:space="preserve">BIDV  </t>
  </si>
  <si>
    <t>Nguyễn Bá Phong</t>
  </si>
  <si>
    <t xml:space="preserve">Nguyễn Bá Phong </t>
  </si>
  <si>
    <t>Nguyễn Thị Đông Thy</t>
  </si>
  <si>
    <t xml:space="preserve">NGO THIEN VIEN </t>
  </si>
  <si>
    <t>MB BANK</t>
  </si>
  <si>
    <t>Tăng Yến Vi</t>
  </si>
  <si>
    <t xml:space="preserve">19035582500011 </t>
  </si>
  <si>
    <t xml:space="preserve">Tang Yen Vi </t>
  </si>
  <si>
    <t>Techcombank chi nhánh Hoàng Gia</t>
  </si>
  <si>
    <t>Lê Thị Minh Thư</t>
  </si>
  <si>
    <t>Le thi minh thu</t>
  </si>
  <si>
    <t>vietinbank</t>
  </si>
  <si>
    <t>Đào Văn Thảo</t>
  </si>
  <si>
    <t>dao van thao</t>
  </si>
  <si>
    <t>Lê Hà Vi</t>
  </si>
  <si>
    <t>mb bank</t>
  </si>
  <si>
    <t>Trần Kim Trung</t>
  </si>
  <si>
    <t xml:space="preserve">Trần Kim Trung </t>
  </si>
  <si>
    <t>Nguyễn Thượng Vân Anh</t>
  </si>
  <si>
    <t>Nguyen Thuong Van Anh</t>
  </si>
  <si>
    <t>Bùi Mạnh Nguyên</t>
  </si>
  <si>
    <t>BUI MANH NGUYEN</t>
  </si>
  <si>
    <t>Trịnh Thị Hoàng Yến</t>
  </si>
  <si>
    <t>TRINH THI THANH HUYEN</t>
  </si>
  <si>
    <t>Lê Thị Trà My</t>
  </si>
  <si>
    <t>Đinh Thị Thảo</t>
  </si>
  <si>
    <t>ĐINH THỊ THẢO</t>
  </si>
  <si>
    <t>Nguyễn Thị Phương Anh</t>
  </si>
  <si>
    <t>Nguyễn Thị Quỳnh Hương</t>
  </si>
  <si>
    <t>Hoàng Văn Hiệp</t>
  </si>
  <si>
    <t>Lê Thị Huyền Trang</t>
  </si>
  <si>
    <t>Võ Thục Quyên</t>
  </si>
  <si>
    <t>Nguyễn Thị Mỹ Duyên</t>
  </si>
  <si>
    <t>Nguyễn Thanh Liêm</t>
  </si>
  <si>
    <t>Đỗ Thị Thanh Hồng</t>
  </si>
  <si>
    <t>Nguyễn Vỹ Khang</t>
  </si>
  <si>
    <t>Nguyễn Văn Chung</t>
  </si>
  <si>
    <t>Huỳnh Ngọc Thiện Chí</t>
  </si>
  <si>
    <t>Lysenko Larysa</t>
  </si>
  <si>
    <t>Mai Văn Dũng</t>
  </si>
  <si>
    <t>Nguyễn Dung Nhi</t>
  </si>
  <si>
    <t>Phạm Hữu Thịnh</t>
  </si>
  <si>
    <t>Vũ Phạm Thảo Ly</t>
  </si>
  <si>
    <t>Trần Hồng Nhung</t>
  </si>
  <si>
    <t>Trương Khả Trân</t>
  </si>
  <si>
    <t>Nguyễn Thị Kim Trang</t>
  </si>
  <si>
    <t>Vũ Thị Hồng Nhung</t>
  </si>
  <si>
    <t xml:space="preserve">Huỳnh Thủy Diệu ( người đại diện) </t>
  </si>
  <si>
    <t>Nguyễn Thị Hồng Ánh</t>
  </si>
  <si>
    <t>Hà Thu Trang</t>
  </si>
  <si>
    <t>Phạm Thế Bằng</t>
  </si>
  <si>
    <t>Trần Nguyễn Diễm My</t>
  </si>
  <si>
    <t>Kê Anh Trung</t>
  </si>
  <si>
    <t>Ke Anh Trung</t>
  </si>
  <si>
    <t xml:space="preserve">0840143456666  </t>
  </si>
  <si>
    <t>Võ Thị Quế Ly</t>
  </si>
  <si>
    <t xml:space="preserve">040061992164
</t>
  </si>
  <si>
    <t xml:space="preserve">Vo Thi Que Ly
</t>
  </si>
  <si>
    <t>Dương Thụy Yến Nhi</t>
  </si>
  <si>
    <t xml:space="preserve">1351 0000 676 616
</t>
  </si>
  <si>
    <t>Duong Thuy Yen Nhi</t>
  </si>
  <si>
    <t xml:space="preserve">
BIDV</t>
  </si>
  <si>
    <t>Chu Tiểu Han</t>
  </si>
  <si>
    <t>03867542201</t>
  </si>
  <si>
    <t>Luong Manh Cuong</t>
  </si>
  <si>
    <t>Tp Bank</t>
  </si>
  <si>
    <t>Lương Mạnh Cường</t>
  </si>
  <si>
    <t xml:space="preserve">
'03867542201
</t>
  </si>
  <si>
    <t>Nguyễn Chí Nguyện</t>
  </si>
  <si>
    <t xml:space="preserve">
Vietinbank</t>
  </si>
  <si>
    <t>Ngo Le Tuan Kiet</t>
  </si>
  <si>
    <t>Á Châu Bank</t>
  </si>
  <si>
    <t>Nguyễn Văn Tính</t>
  </si>
  <si>
    <t>719092454500001
Nguyen Van TInh
Nam Á Bank</t>
  </si>
  <si>
    <t>Đoàn Quang Trọng</t>
  </si>
  <si>
    <t>Doan Quang Trong</t>
  </si>
  <si>
    <t>Nguyễn Đức Thành</t>
  </si>
  <si>
    <t xml:space="preserve">0081001318115
</t>
  </si>
  <si>
    <t>Nguyen Duc Thanh</t>
  </si>
  <si>
    <t>Phạm Gia Tư</t>
  </si>
  <si>
    <t>0731000931360</t>
  </si>
  <si>
    <t xml:space="preserve">Pham Gia Tu
</t>
  </si>
  <si>
    <t>Lâm Thị Mỹ Hạnh</t>
  </si>
  <si>
    <t xml:space="preserve">Lam Thi My Hanh </t>
  </si>
  <si>
    <t>Trần Thị Thuỳ Vân</t>
  </si>
  <si>
    <t>TRAN THI THUY VAN</t>
  </si>
  <si>
    <t>Lê Ngọc Bảo</t>
  </si>
  <si>
    <t>Nghiêm Hương Giang</t>
  </si>
  <si>
    <t xml:space="preserve">Nguyễn Kim Ngân </t>
  </si>
  <si>
    <t>agribank chi nhánh đông phương</t>
  </si>
  <si>
    <t>03237053801</t>
  </si>
  <si>
    <t>Vu Thanh Huyen</t>
  </si>
  <si>
    <t>Ngân hàng Tiên Phong TPBank</t>
  </si>
  <si>
    <t>Nguyễn Nhựt Trường</t>
  </si>
  <si>
    <t xml:space="preserve">050118710689
</t>
  </si>
  <si>
    <t xml:space="preserve">Nguyen Nhut Truong </t>
  </si>
  <si>
    <t>Vũ Thị Thanh Huyền</t>
  </si>
  <si>
    <t>Vu Thi Thanh Huyen</t>
  </si>
  <si>
    <t>Đỗ Thị Hằng</t>
  </si>
  <si>
    <t>Đinh Thị Cươn</t>
  </si>
  <si>
    <t>DINH THI CUON</t>
  </si>
  <si>
    <t>Trinh Tu Huyen</t>
  </si>
  <si>
    <t>Nguyễn Thị Hường</t>
  </si>
  <si>
    <t>Nguyen Thi Huong</t>
  </si>
  <si>
    <t>Bùi Thị Châm</t>
  </si>
  <si>
    <t>Bui Thi Cham</t>
  </si>
  <si>
    <t>Phạm Huệ</t>
  </si>
  <si>
    <t>Phạm Thị Huệ</t>
  </si>
  <si>
    <t>Nguyễn Anh Tú</t>
  </si>
  <si>
    <t>NGUYEN ANH TU</t>
  </si>
  <si>
    <t>Tran Thi Van</t>
  </si>
  <si>
    <t>Trương Thị Mỹ Nương</t>
  </si>
  <si>
    <t xml:space="preserve">Truong Thi My Nuong
</t>
  </si>
  <si>
    <t>Nguyễn Thị Quỳnh</t>
  </si>
  <si>
    <t>Nguyen Thi Quynh</t>
  </si>
  <si>
    <t>Phạm Thị Quỳnh Hoa</t>
  </si>
  <si>
    <t>3525205271535 
agribank 
PHẠM THỊ QUỲNH HOA</t>
  </si>
  <si>
    <t>PHẠM THỊ QUỲNH HOA</t>
  </si>
  <si>
    <t xml:space="preserve">agribank </t>
  </si>
  <si>
    <t>Trương Anh Hào</t>
  </si>
  <si>
    <t>BIDV chi nhánh Tuyên Quang</t>
  </si>
  <si>
    <t>Trương Ngọc Lan</t>
  </si>
  <si>
    <t>Trương Thị Lan</t>
  </si>
  <si>
    <t xml:space="preserve">Vietcombank  </t>
  </si>
  <si>
    <t>Trương Thị Phương</t>
  </si>
  <si>
    <t>Phạm Thi Thanh Nga</t>
  </si>
  <si>
    <t xml:space="preserve">Pham Thị Thanh Nga </t>
  </si>
  <si>
    <t>Techcombank CN Đông ĐÔ</t>
  </si>
  <si>
    <t>Nguyễn Hữu Tuyết Viên</t>
  </si>
  <si>
    <t xml:space="preserve">0916123003 </t>
  </si>
  <si>
    <t>1017616855 Vietcombank Tân Phú Nguyễn Vũ Thoại Nghi</t>
  </si>
  <si>
    <t>Trần Văn Quân</t>
  </si>
  <si>
    <t>Tran Van Quan</t>
  </si>
  <si>
    <t>Nguyễn Thị Hải Yến</t>
  </si>
  <si>
    <t>Nguyễn Thị Hải Yến</t>
  </si>
  <si>
    <t>Bùi Thị Phương</t>
  </si>
  <si>
    <t>Bui Thi Phuong</t>
  </si>
  <si>
    <t>Trịnh Thị Hà</t>
  </si>
  <si>
    <t>TechcombankTrịnh Thị Hà</t>
  </si>
  <si>
    <t xml:space="preserve">Lâm Phượng </t>
  </si>
  <si>
    <t xml:space="preserve">Quân Đội ( MB )  Bank  :  
stk : 0790199899999
ctk : Lâm Minh Phượng . </t>
  </si>
  <si>
    <t>Nguyễn Phương Điệp</t>
  </si>
  <si>
    <t>19033961018011 NGUYEN PHUONG DIEP - TECHCOMBANK</t>
  </si>
  <si>
    <t>Vũ Ánh Nhật</t>
  </si>
  <si>
    <t xml:space="preserve">0851000012701
</t>
  </si>
  <si>
    <t>Vu Anh Nhat</t>
  </si>
  <si>
    <t>Hạ Thị Vững</t>
  </si>
  <si>
    <t>Nguyễn Thị Oanh</t>
  </si>
  <si>
    <t xml:space="preserve"> Techcombank</t>
  </si>
  <si>
    <t>Ngân Thị Hiệp</t>
  </si>
  <si>
    <t xml:space="preserve">Trịnh Thị Thanh </t>
  </si>
  <si>
    <t>Phạm Huỳnh Thuý Uyên</t>
  </si>
  <si>
    <t xml:space="preserve">0601000473135
</t>
  </si>
  <si>
    <t>Pham Huynh Thuy Uyen</t>
  </si>
  <si>
    <t>Trịnh Thúy Vy</t>
  </si>
  <si>
    <t>Trinh Thuy Vy</t>
  </si>
  <si>
    <t xml:space="preserve"> VCB </t>
  </si>
  <si>
    <t>Vũ Thị Thu Trang</t>
  </si>
  <si>
    <t>Vu Thi Thu Trang</t>
  </si>
  <si>
    <t>Phan Đặng Tường Vy</t>
  </si>
  <si>
    <t>Phan Dang Tuong Vi</t>
  </si>
  <si>
    <t>Nguyễn Thu Quỳnh</t>
  </si>
  <si>
    <t xml:space="preserve">VCB hoàn kiếm  </t>
  </si>
  <si>
    <t>Hoàng Thị Kiều Trang</t>
  </si>
  <si>
    <t>0251001540913</t>
  </si>
  <si>
    <t>VCB Bình Tây</t>
  </si>
  <si>
    <t xml:space="preserve">Hoàng Thị Kiều Trang
</t>
  </si>
  <si>
    <t>bùi hiền lương</t>
  </si>
  <si>
    <t xml:space="preserve">Tên tk bùi hiền lương
Stk 161006758 vpbank </t>
  </si>
  <si>
    <t>Nguyễn Thị Nam</t>
  </si>
  <si>
    <t>Lê Hồng Hạnh</t>
  </si>
  <si>
    <t xml:space="preserve">Vietcombank </t>
  </si>
  <si>
    <t>Nguyễn Hoài Thơm</t>
  </si>
  <si>
    <t>Nguyễn Phương Thanh</t>
  </si>
  <si>
    <t xml:space="preserve">06880105101986 </t>
  </si>
  <si>
    <t>Nguyen Phuong Thanh</t>
  </si>
  <si>
    <t>Phùng Thanh Xuân</t>
  </si>
  <si>
    <t>Phùng Thị Thanh Xuân</t>
  </si>
  <si>
    <t>Nguyễn Thị Hồng Thắm</t>
  </si>
  <si>
    <t xml:space="preserve">Nguyễn Thị Hồng Thắm </t>
  </si>
  <si>
    <t>Techcombank Đông Đô - Hn</t>
  </si>
  <si>
    <t>Đinh Lan Phương</t>
  </si>
  <si>
    <t>ĐINH LAN PHƯƠNG</t>
  </si>
  <si>
    <t xml:space="preserve"> TECHCOMBANK HOÀNG CẦU</t>
  </si>
  <si>
    <t>Hoàng Hồng Nhung</t>
  </si>
  <si>
    <t>Trịnh Anh Dũng</t>
  </si>
  <si>
    <t xml:space="preserve">MBBank </t>
  </si>
  <si>
    <t>Võ Thị Thùy</t>
  </si>
  <si>
    <t>0201000666825</t>
  </si>
  <si>
    <t>Vũ Thị Nguyệt Thư</t>
  </si>
  <si>
    <t>Vu Nguyet Thu</t>
  </si>
  <si>
    <t>Nguyễn Thị Hiếu</t>
  </si>
  <si>
    <t xml:space="preserve">techcombank </t>
  </si>
  <si>
    <t>Đàm Diệp Khanh</t>
  </si>
  <si>
    <t>Dam Diep Khanh</t>
  </si>
  <si>
    <t>Techcombank chi nhánh Nhuệ Giang</t>
  </si>
  <si>
    <t xml:space="preserve">Trần Kiều My </t>
  </si>
  <si>
    <t>acb</t>
  </si>
  <si>
    <t>Nguyễn phương lan</t>
  </si>
  <si>
    <t xml:space="preserve">ACB </t>
  </si>
  <si>
    <t>Phạm Thuỳ Dương</t>
  </si>
  <si>
    <t xml:space="preserve"> Vietcombank</t>
  </si>
  <si>
    <t>Nguyễn Thị Mỹ</t>
  </si>
  <si>
    <t>Vpbank Hà Nội</t>
  </si>
  <si>
    <t>Nguyễn minh diệu</t>
  </si>
  <si>
    <t>03679345601</t>
  </si>
  <si>
    <t>NGUYEN MINH DIEU</t>
  </si>
  <si>
    <t>TMCP Tiên phong</t>
  </si>
  <si>
    <t>Nguyễn Văn Toàn</t>
  </si>
  <si>
    <t>0351000944488</t>
  </si>
  <si>
    <t>NGUYỄN VĂN TOÀN</t>
  </si>
  <si>
    <t>Nguyễn Phương Nam</t>
  </si>
  <si>
    <t>Techcombank Trương Định</t>
  </si>
  <si>
    <t>Phan Văn Huy</t>
  </si>
  <si>
    <t>Đỗ Quang Trường</t>
  </si>
  <si>
    <t>Nguyễn Quốc Khánh</t>
  </si>
  <si>
    <t>Ngân hàng: ACB</t>
  </si>
  <si>
    <t>Phan Thị Thanh Tú</t>
  </si>
  <si>
    <t>Ngân hàng tiên phong</t>
  </si>
  <si>
    <t>Nguyễn Tấn Hồi</t>
  </si>
  <si>
    <t xml:space="preserve">
Stk: 19035005352011
</t>
  </si>
  <si>
    <t>Techcombank
Chi nhánh Chợ lớn</t>
  </si>
  <si>
    <t>Nguyễn Hà Uyên</t>
  </si>
  <si>
    <t xml:space="preserve">0491 000141617 </t>
  </si>
  <si>
    <t>. Nguyễn Hà Uyên.</t>
  </si>
  <si>
    <t>Võ Thị Thanh Minh</t>
  </si>
  <si>
    <t xml:space="preserve"> Techcombank </t>
  </si>
  <si>
    <t>Nguyễn Thị Uyên</t>
  </si>
  <si>
    <t xml:space="preserve"> NGUYEN THI UYEN </t>
  </si>
  <si>
    <t>Trần Thị Diễm My</t>
  </si>
  <si>
    <t xml:space="preserve">0331000486087
</t>
  </si>
  <si>
    <t>Trần Thị Diễm My</t>
  </si>
  <si>
    <t>Trương Châu Ngọc Cẩm</t>
  </si>
  <si>
    <t xml:space="preserve"> - TRUONG CHAU NGOC CAM -  - TRUONG CHAU NGOC CAM - </t>
  </si>
  <si>
    <t>Trần Diệp Thảo Huyền</t>
  </si>
  <si>
    <t>Trần Diệp Thảo Huyền</t>
  </si>
  <si>
    <t>Techcombank CN Gia Định</t>
  </si>
  <si>
    <t>Nguyễn Đăng Khoa</t>
  </si>
  <si>
    <t>Nguyễn Kim Phụng</t>
  </si>
  <si>
    <t>Vietcombank Chi nhánh sài gòn</t>
  </si>
  <si>
    <t>Nguyễn Thị Hằng</t>
  </si>
  <si>
    <t xml:space="preserve">ngân hàng quân đội Mb chi nhánh lê đại hành </t>
  </si>
  <si>
    <t>Trần Thị Hoàn</t>
  </si>
  <si>
    <t>Techcombank chi nhánh Tân Bình</t>
  </si>
  <si>
    <t>Dương Chí Phong</t>
  </si>
  <si>
    <t>Nguyễn Hồng Quân</t>
  </si>
  <si>
    <t>Nguyễn Hồng Quân</t>
  </si>
  <si>
    <t>Vũ Phương Ngọc</t>
  </si>
  <si>
    <t>Mb bank</t>
  </si>
  <si>
    <t>Nguyễn Thị Bích Nga</t>
  </si>
  <si>
    <t>Vietcombank - Chi nhánh Đồng Nai</t>
  </si>
  <si>
    <t>Nguyễn Thị Kiều Diễm</t>
  </si>
  <si>
    <t>nguyễn thị kiều diễm</t>
  </si>
  <si>
    <t>Techcombank chi nhánh Tân Bình</t>
  </si>
  <si>
    <t>BIDV Chi Nhánh Hải Vân Đà Nẵng</t>
  </si>
  <si>
    <t>Phạm Văn Vinh</t>
  </si>
  <si>
    <t>PHAM VAN VINH</t>
  </si>
  <si>
    <t>Viettin bank</t>
  </si>
  <si>
    <t>Vũ Minh Huệ</t>
  </si>
  <si>
    <t>MBbank: 0300007012003</t>
  </si>
  <si>
    <t>VU MINH HUE</t>
  </si>
  <si>
    <t>MBbank</t>
  </si>
  <si>
    <t>Nguyễn Ngọc Sơn</t>
  </si>
  <si>
    <t>NGUYEN NGOC SON</t>
  </si>
  <si>
    <t>MB BANK - Chi Nhánh Lý Thái Tổ</t>
  </si>
  <si>
    <t>Lê Thị Huyền Trang</t>
  </si>
  <si>
    <t xml:space="preserve">Phan Quỳnh Trang </t>
  </si>
  <si>
    <t>Phan Quỳnh Trang</t>
  </si>
  <si>
    <t>Nghiêm Đình Trường</t>
  </si>
  <si>
    <t>nghiem dinh truong</t>
  </si>
  <si>
    <t xml:space="preserve"> techcombank 
</t>
  </si>
  <si>
    <t>Lê Lệnh Quyền</t>
  </si>
  <si>
    <t xml:space="preserve">Le Lenh Quyen </t>
  </si>
  <si>
    <t>Viettinbank</t>
  </si>
  <si>
    <t>Nguyễn Diệp Anh</t>
  </si>
  <si>
    <t>0691000396177</t>
  </si>
  <si>
    <t>Nguyen Diep Anh</t>
  </si>
  <si>
    <t>Ngân hàng Vietcombank chi nhánh Tây Hà Nội</t>
  </si>
  <si>
    <t>Nguyễn Trịnh Mỹ An</t>
  </si>
  <si>
    <t>NGUYEN THI HUONG</t>
  </si>
  <si>
    <t>Nguyễn Bình Minh Khôi</t>
  </si>
  <si>
    <t>0491000190832</t>
  </si>
  <si>
    <t>Doan hong hanh</t>
  </si>
  <si>
    <t>Đỗ Mạnh Chiến</t>
  </si>
  <si>
    <t>DO MANH CHIEN</t>
  </si>
  <si>
    <t>Nguyễn Thùy My</t>
  </si>
  <si>
    <t>NGUYEN THUY MY</t>
  </si>
  <si>
    <t>Nguyễn Thanh Hằng</t>
  </si>
  <si>
    <t>NGUYEN THANH HANG</t>
  </si>
  <si>
    <t>Trần Nguyễn Hồng Ngọc</t>
  </si>
  <si>
    <t>Thái Thị Giang</t>
  </si>
  <si>
    <t>Ngô Văn Lợi</t>
  </si>
  <si>
    <t>BIDV chi nhánh Tp. Bắc Giang</t>
  </si>
  <si>
    <t>Đoàn Ngọc Quyên</t>
  </si>
  <si>
    <t xml:space="preserve"> Đoàn Ngọc Quyên  </t>
  </si>
  <si>
    <t xml:space="preserve"> tmcp Sài Gòn</t>
  </si>
  <si>
    <t>Lê Hà Vy</t>
  </si>
  <si>
    <t xml:space="preserve">0777402915
</t>
  </si>
  <si>
    <t>Lê Thị Hà Vy</t>
  </si>
  <si>
    <t>Mb Bank 
Chi nhánh: Đà Nẵng</t>
  </si>
  <si>
    <t>Nguyễn Công Chuẩn</t>
  </si>
  <si>
    <t xml:space="preserve">Trương Thị Lan  </t>
  </si>
  <si>
    <t>Nguyễn Xuân Trường</t>
  </si>
  <si>
    <t>Trần Quang Huy</t>
  </si>
  <si>
    <t xml:space="preserve">ViB  </t>
  </si>
  <si>
    <t>Trần Quỳnh Anh</t>
  </si>
  <si>
    <t xml:space="preserve">TRAN THI QUYNH ANH </t>
  </si>
  <si>
    <t>Phan Thị Thanh Huệ</t>
  </si>
  <si>
    <t xml:space="preserve">Techcombank chi nhánh Ha Noi  </t>
  </si>
  <si>
    <t>Nguyễn Chí Thanh</t>
  </si>
  <si>
    <t>Nguyễn Anh Tuấn</t>
  </si>
  <si>
    <t>ngân hàng công thương Việt Nam</t>
  </si>
  <si>
    <t>Nguyễn Minh Tuấn</t>
  </si>
  <si>
    <t>MB Hoàn Kiếm HN</t>
  </si>
  <si>
    <t>Đặng Tuấn</t>
  </si>
  <si>
    <t>Võ Văn Mãi</t>
  </si>
  <si>
    <t>Phạm Thị Phương Thảo</t>
  </si>
  <si>
    <t>PHAM THI PHUONG THAO</t>
  </si>
  <si>
    <t>Trần Xuân Quế Trân</t>
  </si>
  <si>
    <t>TRAN XUAN QUE TRAN</t>
  </si>
  <si>
    <t>Nguyễn Thị Như Ý</t>
  </si>
  <si>
    <t>0291000353926</t>
  </si>
  <si>
    <t>Nguyen Thi Nhu Y</t>
  </si>
  <si>
    <t>Nguyễn Phú Vinh</t>
  </si>
  <si>
    <t>7602215023924-</t>
  </si>
  <si>
    <t>NGUYEN PHU VINH</t>
  </si>
  <si>
    <t>Nguyễn Thị Hương</t>
  </si>
  <si>
    <t>Lê Thiên Duy</t>
  </si>
  <si>
    <t>060238587452</t>
  </si>
  <si>
    <t>Hoàng Thị Dịu Tiên</t>
  </si>
  <si>
    <t>7979 0789 0789</t>
  </si>
  <si>
    <t>Vp Bank</t>
  </si>
  <si>
    <t>Phạm Đức Lương</t>
  </si>
  <si>
    <t>050124544707</t>
  </si>
  <si>
    <t>PHAM DUC LUONG</t>
  </si>
  <si>
    <t>0329983633</t>
  </si>
  <si>
    <t>NGUYỄN THỊ HƯƠNG</t>
  </si>
  <si>
    <t>Lộc Ánh Thu</t>
  </si>
  <si>
    <t>LOC ANH THU</t>
  </si>
  <si>
    <t>Lê Thảo Phương</t>
  </si>
  <si>
    <t>Lê Thị Duyến</t>
  </si>
  <si>
    <t>Techcombank Thanh Hóa</t>
  </si>
  <si>
    <t>Nguyễn Thanh Thuý</t>
  </si>
  <si>
    <t>Nguyễn Thị Lệ Trang</t>
  </si>
  <si>
    <t>Nguyen Thi Le Trang</t>
  </si>
  <si>
    <t>Trần Phương Anh</t>
  </si>
  <si>
    <t>Trịnh Thúy Lan</t>
  </si>
  <si>
    <t>Trịnh Thuý Lan</t>
  </si>
  <si>
    <t>BIDV Thái Nguyên</t>
  </si>
  <si>
    <t>Phan Thuỳ Linh</t>
  </si>
  <si>
    <t>Phan Lê Thuỳ Linh</t>
  </si>
  <si>
    <t>ACB -  Chi nhánh Lạc Long Quân</t>
  </si>
  <si>
    <t>Nguyễn Lâm Thành</t>
  </si>
  <si>
    <t>0581000790418</t>
  </si>
  <si>
    <t>NGUYEN LAM THANH</t>
  </si>
  <si>
    <t>Trịnh Anh Đức</t>
  </si>
  <si>
    <t xml:space="preserve">Hoàng Phạm Tố Như </t>
  </si>
  <si>
    <t>0381 4349 501</t>
  </si>
  <si>
    <t>Hoàng phạm tố như</t>
  </si>
  <si>
    <t>Ngân hàng tp(tien phong) bank . Chi nhánh TPBANK DIGITAL .</t>
  </si>
  <si>
    <t>Nguyễn Minh Trường</t>
  </si>
  <si>
    <t>NGUYEN MINH TRUONG</t>
  </si>
  <si>
    <t xml:space="preserve">vietinbank </t>
  </si>
  <si>
    <t>Nguyễn Thị Nền</t>
  </si>
  <si>
    <t>Trần Thị Ngọc Tuyền</t>
  </si>
  <si>
    <t>Tran Thi Ngoc Tuyen</t>
  </si>
  <si>
    <t>Phạm Thị Hồng Ngọc</t>
  </si>
  <si>
    <t xml:space="preserve"> 0451000473993</t>
  </si>
  <si>
    <t>Trần Thảo Vy</t>
  </si>
  <si>
    <t>TRAN THAO VY</t>
  </si>
  <si>
    <t>Trần Thế Tùng</t>
  </si>
  <si>
    <t>Trần thị ngọc ánh</t>
  </si>
  <si>
    <t>vpbank</t>
  </si>
  <si>
    <t>Phạm thị hồng hạnh</t>
  </si>
  <si>
    <t>Nguyễn Thành Lợi</t>
  </si>
  <si>
    <t>Lê Thị Thu Hà</t>
  </si>
  <si>
    <t>Hoàng Văn Tú</t>
  </si>
  <si>
    <t>Nguyễn Trọng Vũ</t>
  </si>
  <si>
    <t>Trần Kiều My</t>
  </si>
  <si>
    <t>Nguyễn Ngọc Quỳnh Thanh</t>
  </si>
  <si>
    <t>Nghiêm Hoàng Diễm Anh</t>
  </si>
  <si>
    <t>Trần Lê Thu Thảo</t>
  </si>
  <si>
    <t>Hỷ Minh Quân</t>
  </si>
  <si>
    <t>Phùng Thị Miền</t>
  </si>
  <si>
    <t>Bùi Mỹ Anh</t>
  </si>
  <si>
    <t>Vũ Hoàng Phong</t>
  </si>
  <si>
    <t>Nguyễn Khánh My</t>
  </si>
  <si>
    <t>Phạm Hà Phương Thảo</t>
  </si>
  <si>
    <t>Vũ Phạm Thiên Thanh</t>
  </si>
  <si>
    <t>Đỗ Lâm Phương</t>
  </si>
  <si>
    <t>Trần Duy Khương</t>
  </si>
  <si>
    <t>Phùng Thị Ngọc Bích</t>
  </si>
  <si>
    <t>Trần Thị Thanh Diễm</t>
  </si>
  <si>
    <t>Nguyễn Thị Lệ Nhi</t>
  </si>
  <si>
    <t>0041000352378</t>
  </si>
  <si>
    <t>Trần Thế Vinh</t>
  </si>
  <si>
    <t xml:space="preserve"> TRAN THE VINH</t>
  </si>
  <si>
    <t>Đào Lê Phương Hoa</t>
  </si>
  <si>
    <t>DAO LE PHUONG HOA</t>
  </si>
  <si>
    <t>Huỳnh Tuyết Nhi</t>
  </si>
  <si>
    <t>HUYNH TUYET NHI</t>
  </si>
  <si>
    <t>VIETINBANK</t>
  </si>
  <si>
    <t>Nguyễn Thị Thanh Nga</t>
  </si>
  <si>
    <t xml:space="preserve"> 0351000926084</t>
  </si>
  <si>
    <t>VCB Bắc Ninh</t>
  </si>
  <si>
    <t>Cao Văn Học</t>
  </si>
  <si>
    <t>SCB Chi Nhánh Nghệ An</t>
  </si>
  <si>
    <t>Lại Hồng Quang</t>
  </si>
  <si>
    <t>0491000196251</t>
  </si>
  <si>
    <t xml:space="preserve">VCB </t>
  </si>
  <si>
    <t>Nguyễn Thị Nhung</t>
  </si>
  <si>
    <t>Techcombank CN Hoàn Kiếm</t>
  </si>
  <si>
    <t>Bùi Thị Bích Huệ</t>
  </si>
  <si>
    <t>BUI THI BICH HUE</t>
  </si>
  <si>
    <t>BIDV Gia Lai</t>
  </si>
  <si>
    <t>Bùi Tuấn Anh</t>
  </si>
  <si>
    <t>0291000325759</t>
  </si>
  <si>
    <t>BUI TUAN ANH</t>
  </si>
  <si>
    <t>Vietcombank Gia Lai</t>
  </si>
  <si>
    <t>Phạm Thị Hồng Nguyệt</t>
  </si>
  <si>
    <t>Nguyễn Thị Tứ</t>
  </si>
  <si>
    <t>Đỗ Võ Hồng Ngọc</t>
  </si>
  <si>
    <t>2002206269115</t>
  </si>
  <si>
    <t>DO VO HONG NGOC</t>
  </si>
  <si>
    <t>Agribank Đà Nẵng</t>
  </si>
  <si>
    <t>Ngô Đức Anh</t>
  </si>
  <si>
    <t>Trần Văn Hải</t>
  </si>
  <si>
    <t>Pham Thi Thanh Nga</t>
  </si>
  <si>
    <t>Techcombank CN ĐÔng ĐÔ</t>
  </si>
  <si>
    <t>Phạm Tâm Phúc</t>
  </si>
  <si>
    <t>Pham Tam Phuc</t>
  </si>
  <si>
    <t>VP Bank Cần Thơ</t>
  </si>
  <si>
    <t>Vũ Thị Thuỳ</t>
  </si>
  <si>
    <t xml:space="preserve">0691000318542 </t>
  </si>
  <si>
    <t xml:space="preserve">Vũ Thị Thuỳ - </t>
  </si>
  <si>
    <t>Nguyễn Bảo Ngọc Xuân Quỳnh</t>
  </si>
  <si>
    <t xml:space="preserve"> MBBANK </t>
  </si>
  <si>
    <t>Hà Lê Bích Phượng</t>
  </si>
  <si>
    <t>040101567951</t>
  </si>
  <si>
    <t>Ha Le Bich Phuong</t>
  </si>
  <si>
    <t>Lương Mỹ Kiều</t>
  </si>
  <si>
    <t>Phạm Thị Đa Phát</t>
  </si>
  <si>
    <t>Techcombank)</t>
  </si>
  <si>
    <t>Thảo Phương Trần</t>
  </si>
  <si>
    <t>Ngô Huy Tùng</t>
  </si>
  <si>
    <t>MB bank</t>
  </si>
  <si>
    <t>Nguyễn Quỳnh Nga</t>
  </si>
  <si>
    <t>Ngô Hạ Văn</t>
  </si>
  <si>
    <t>9910102071999</t>
  </si>
  <si>
    <t>ngo ha van</t>
  </si>
  <si>
    <t>Nguyễn Trung Thu</t>
  </si>
  <si>
    <t>Techcombank Hà Nội</t>
  </si>
  <si>
    <t>Đỗ Thị Tâm</t>
  </si>
  <si>
    <t>2608205150305</t>
  </si>
  <si>
    <t>Nguyễn Thị Khánh Lan</t>
  </si>
  <si>
    <t>NGUYEN THI KHANH LAN</t>
  </si>
  <si>
    <t xml:space="preserve">vietcombank </t>
  </si>
  <si>
    <t>Nguyễn Hoàng Nga</t>
  </si>
  <si>
    <t>agribank chi nhánh Cồn- Nam Định</t>
  </si>
  <si>
    <t>Phạm Thị Thu Trang</t>
  </si>
  <si>
    <t>Ngân hàng Quân đội , MB bank</t>
  </si>
  <si>
    <t>Nguyễn Thị Thanh Vân</t>
  </si>
  <si>
    <t>Đặng Thị Hảo</t>
  </si>
  <si>
    <t>0821000034650</t>
  </si>
  <si>
    <t xml:space="preserve">Đào Phan Tú Trinh </t>
  </si>
  <si>
    <t>ĐÀO PHAN TÚ TRINH</t>
  </si>
  <si>
    <t>Techcombank - Đà Nẵng</t>
  </si>
  <si>
    <t>Nguyễn Thị Trúc Phương</t>
  </si>
  <si>
    <t>62010001290159</t>
  </si>
  <si>
    <t>Nguyen Thi Truc Phuong</t>
  </si>
  <si>
    <t>Nguyễn Thị Phúc Anh</t>
  </si>
  <si>
    <t>03072736501</t>
  </si>
  <si>
    <t>TP Bank</t>
  </si>
  <si>
    <t xml:space="preserve">Nguyễn Nhật Lệ </t>
  </si>
  <si>
    <t>0971000030408</t>
  </si>
  <si>
    <t>Võ Thị Hồng Nhung</t>
  </si>
  <si>
    <t>Trần Vũ Thị Như Ý</t>
  </si>
  <si>
    <t>Ngân Hàng Quân Đội MB Chi nhánh Phú Nhuận</t>
  </si>
  <si>
    <t>Bùi Minh Hiếu</t>
  </si>
  <si>
    <t>BUI MINH HIEU</t>
  </si>
  <si>
    <t>Tài khoản BIDV chi nhánh Q9_HCM</t>
  </si>
  <si>
    <t>Hoàng Thu Phương</t>
  </si>
  <si>
    <t>Hoang Thu Phuong</t>
  </si>
  <si>
    <t>Bidv chi nhánh Hai Bà Trưng</t>
  </si>
  <si>
    <t>Nguyễn Thị Nguyên</t>
  </si>
  <si>
    <t>04271350901</t>
  </si>
  <si>
    <t xml:space="preserve"> Nguyễn thị nguyên
</t>
  </si>
  <si>
    <t>tp bank</t>
  </si>
  <si>
    <t xml:space="preserve">Nguyễn Thị Linh </t>
  </si>
  <si>
    <t xml:space="preserve"> 0011004404131</t>
  </si>
  <si>
    <t xml:space="preserve">Nguyễn thị linh </t>
  </si>
  <si>
    <t>Trần Lê Bảo Na</t>
  </si>
  <si>
    <t>040088954442</t>
  </si>
  <si>
    <t>SACOMBANK</t>
  </si>
  <si>
    <t>Phan Thị Thu Hiền</t>
  </si>
  <si>
    <t>Lưu Huyền Trang</t>
  </si>
  <si>
    <t>0991000020065</t>
  </si>
  <si>
    <t>Nguyễn Thị Hiền Lương</t>
  </si>
  <si>
    <t xml:space="preserve">0381000528522 </t>
  </si>
  <si>
    <t>nguyễn thi hai hoan</t>
  </si>
  <si>
    <t>Hồ Khánh Linh</t>
  </si>
  <si>
    <t>Nguyễn Minh Tiến</t>
  </si>
  <si>
    <t>0731000931156</t>
  </si>
  <si>
    <t>Ngô Thuỳ Linh</t>
  </si>
  <si>
    <t>Phạm Hoàng Gia Long</t>
  </si>
  <si>
    <t>Nguyễn Văn Bảo</t>
  </si>
  <si>
    <t>Trương Nhã Dinh</t>
  </si>
  <si>
    <t>Phạm Thị Huỳnh Thư</t>
  </si>
  <si>
    <t>Ngô Thành Đạt</t>
  </si>
  <si>
    <t>Nguyễn Hoàng Mẫn</t>
  </si>
  <si>
    <t>Trần Thị Tường Vy</t>
  </si>
  <si>
    <t>010010005404600</t>
  </si>
  <si>
    <t>OCB HCM</t>
  </si>
  <si>
    <t>Nguyễn Thị Như Ánh</t>
  </si>
  <si>
    <t>Hoàng Xuân Khải</t>
  </si>
  <si>
    <t>SL đơn tạo</t>
  </si>
  <si>
    <t>Doanh thu dự kiến</t>
  </si>
  <si>
    <t>Hoa hồng dự kiến</t>
  </si>
  <si>
    <t>SL đơn thành công</t>
  </si>
  <si>
    <t>Giá trị đơn thành công</t>
  </si>
  <si>
    <t>SL đơn TL thành công</t>
  </si>
  <si>
    <t>Giá trị đơn TL thành công</t>
  </si>
  <si>
    <t>Doanh Thu tính Hoa Hồng</t>
  </si>
  <si>
    <t>Hoa Hồng</t>
  </si>
  <si>
    <t>https://www.facebook.com/100004547253309/posts/1850117845149773/?d=n</t>
  </si>
  <si>
    <t>https://www.facebook.com/100028527371304/posts/645597053067868/?d=n</t>
  </si>
  <si>
    <t>INFANH689</t>
  </si>
  <si>
    <t>https://www.facebook.com/100005636101373/posts/1666573390207182/?d=n</t>
  </si>
  <si>
    <t>https://www.facebook.com/100011482775766/posts/1497090074017071/?d=n</t>
  </si>
  <si>
    <t>https://www.facebook.com/100026620564081/posts/890096831887661/?d=n</t>
  </si>
  <si>
    <r>
      <rPr>
        <rFont val="Arial"/>
        <color rgb="FF1155CC"/>
        <sz val="9.0"/>
        <u/>
      </rPr>
      <t>https://www.tiktok.com/@phuonganh260499/video/6990938927632813338?</t>
    </r>
    <r>
      <rPr>
        <rFont val="Arial"/>
        <color rgb="FF1155CC"/>
        <sz val="9.0"/>
        <u/>
      </rPr>
      <t>?</t>
    </r>
  </si>
  <si>
    <r>
      <rPr>
        <rFont val="Arial"/>
        <color rgb="FF1155CC"/>
        <sz val="9.0"/>
        <u/>
      </rPr>
      <t>https://www.tiktok.com/@quely94/video/6989453718311669019?</t>
    </r>
    <r>
      <rPr>
        <rFont val="Arial"/>
        <color rgb="FF1155CC"/>
        <sz val="9.0"/>
        <u/>
      </rPr>
      <t>?</t>
    </r>
  </si>
  <si>
    <r>
      <rPr>
        <color rgb="FF1155CC"/>
        <u/>
      </rPr>
      <t>https://www.tiktok.com/@nmtvlog99/video/6993641859729935642?</t>
    </r>
    <r>
      <rPr/>
      <t>?</t>
    </r>
  </si>
  <si>
    <t>TỔNG CHI PHÍ TĂNG CỦA VIDEO THÁNG 7</t>
  </si>
  <si>
    <t>Tỷ lệ CP tăng thêm</t>
  </si>
  <si>
    <t>Chi phí</t>
  </si>
  <si>
    <t>Lượt view</t>
  </si>
  <si>
    <t>TỔNG CHI PHÍ CỦA THÁNG 8 tính đến 19/8</t>
  </si>
  <si>
    <t>Định nghĩa nhóm</t>
  </si>
  <si>
    <t>Nhóm</t>
  </si>
  <si>
    <t>Số video</t>
  </si>
  <si>
    <t>Số view</t>
  </si>
  <si>
    <t>Nội dung</t>
  </si>
  <si>
    <t>Chính sách</t>
  </si>
  <si>
    <t>Nhóm 1:</t>
  </si>
  <si>
    <t>Review ( sản phẩm, cửa hàng. dịch vụ) , unbox, giới thiệu chương trình, mix match thời trang... Yêu cầu có xuất hiện cảnh mặc đồ.</t>
  </si>
  <si>
    <t>1tr view nhận 5tr đồng</t>
  </si>
  <si>
    <t>Nhóm 2:</t>
  </si>
  <si>
    <t>Yêu cầu có nhắc đến thương hiệu trong video ( tặng đồ cho người thân, tips chụp ảnh, câu chuyện gđ, tình yêu, nhảy, hài kịch...</t>
  </si>
  <si>
    <t>1tr view đạt 2,5tr đồng</t>
  </si>
  <si>
    <t>Nhóm 3:</t>
  </si>
  <si>
    <t>Những video không nhắc đến thương hiệu. Yêu cầu mặc sản phẩm rõ và đẹp.</t>
  </si>
  <si>
    <t>1Tr view đạt 1tr đồng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</si>
</sst>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/d/yyyy"/>
    <numFmt numFmtId="165" formatCode="mm/dd/yyyy"/>
    <numFmt numFmtId="166" formatCode="m-d-yyyy"/>
    <numFmt numFmtId="167" formatCode="mm-dd-yyyy"/>
    <numFmt numFmtId="168" formatCode="dd/mm/yyyy"/>
    <numFmt numFmtId="169" formatCode="d/m/yyyy"/>
    <numFmt numFmtId="170" formatCode="mm/dd/yy"/>
    <numFmt numFmtId="171" formatCode="yyyy-mm-dd"/>
    <numFmt numFmtId="172" formatCode="#,##0.0"/>
    <numFmt numFmtId="173" formatCode="d/m"/>
    <numFmt numFmtId="174" formatCode="dd/MM/yyyy"/>
    <numFmt numFmtId="175" formatCode="d-m"/>
  </numFmts>
  <fonts count="102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color rgb="FF000000"/>
      <name val="Arial"/>
    </font>
    <font>
      <color rgb="FF000000"/>
      <name val="&quot;Times New Roman&quot;"/>
    </font>
    <font>
      <sz val="12.0"/>
      <color rgb="FF000000"/>
      <name val="&quot;Times New Roman&quot;"/>
    </font>
    <font/>
    <font>
      <u/>
      <color rgb="FF0000FF"/>
    </font>
    <font>
      <sz val="9.0"/>
      <color rgb="FF050505"/>
      <name val="Arial"/>
    </font>
    <font>
      <sz val="10.0"/>
      <color theme="1"/>
      <name val="Arial"/>
    </font>
    <font>
      <u/>
      <color rgb="FF1155CC"/>
      <name val="Arial"/>
    </font>
    <font>
      <color rgb="FF000000"/>
      <name val="Roboto"/>
    </font>
    <font>
      <u/>
      <color rgb="FF0B5394"/>
      <name val="Arial"/>
    </font>
    <font>
      <color rgb="FF202124"/>
      <name val="Roboto"/>
    </font>
    <font>
      <u/>
      <color rgb="FF1155CC"/>
      <name val="Arial"/>
    </font>
    <font>
      <color rgb="FF202124"/>
      <name val="Arial"/>
    </font>
    <font>
      <u/>
      <color rgb="FF000000"/>
      <name val="Arial"/>
    </font>
    <font>
      <u/>
      <color rgb="FF0B5394"/>
      <name val="Arial"/>
    </font>
    <font>
      <sz val="11.0"/>
      <color rgb="FF202124"/>
      <name val="Roboto"/>
    </font>
    <font>
      <sz val="12.0"/>
      <color theme="1"/>
      <name val="Arial"/>
    </font>
    <font>
      <sz val="9.0"/>
      <color rgb="FF050505"/>
      <name val="&quot;Segoe UI Historic&quot;"/>
    </font>
    <font>
      <color rgb="FF050505"/>
      <name val="Arial"/>
    </font>
    <font>
      <sz val="9.0"/>
      <color theme="1"/>
      <name val="Arial"/>
    </font>
    <font>
      <u/>
      <color rgb="FF1155CC"/>
      <name val="Arial"/>
    </font>
    <font>
      <sz val="9.0"/>
      <color rgb="FF000000"/>
      <name val="Arial"/>
    </font>
    <font>
      <u/>
      <color rgb="FF1155CC"/>
      <name val="Arial"/>
    </font>
    <font>
      <color rgb="FF001A33"/>
      <name val="Arial"/>
    </font>
    <font>
      <u/>
      <color rgb="FF1155CC"/>
      <name val="Arial"/>
    </font>
    <font>
      <u/>
      <sz val="10.0"/>
      <color rgb="FF1155CC"/>
    </font>
    <font>
      <sz val="9.0"/>
      <color rgb="FF001A33"/>
      <name val="Arial"/>
    </font>
    <font>
      <sz val="9.0"/>
      <color rgb="FF1C1E21"/>
      <name val="Arial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0B5394"/>
      <name val="Arial"/>
    </font>
    <font>
      <u/>
      <color rgb="FF1155CC"/>
      <name val="Arial"/>
    </font>
    <font>
      <u/>
      <sz val="10.0"/>
      <color rgb="FF1155CC"/>
    </font>
    <font>
      <sz val="10.0"/>
    </font>
    <font>
      <b/>
      <sz val="10.0"/>
    </font>
    <font>
      <b/>
      <sz val="10.0"/>
      <color rgb="FF000000"/>
      <name val="Arial"/>
    </font>
    <font>
      <b/>
      <sz val="10.0"/>
      <color rgb="FF000000"/>
    </font>
    <font>
      <u/>
      <sz val="10.0"/>
      <color rgb="FF1155CC"/>
      <name val="Arial"/>
    </font>
    <font>
      <u/>
      <sz val="10.0"/>
      <color rgb="FF1155CC"/>
    </font>
    <font>
      <u/>
      <sz val="10.0"/>
      <color rgb="FF1155CC"/>
    </font>
    <font>
      <u/>
      <sz val="10.0"/>
      <color rgb="FF1155CC"/>
    </font>
    <font>
      <u/>
      <sz val="10.0"/>
      <color rgb="FF0000FF"/>
    </font>
    <font>
      <u/>
      <sz val="10.0"/>
      <color rgb="FF1155CC"/>
    </font>
    <font>
      <u/>
      <sz val="10.0"/>
      <color rgb="FF1155CC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1155CC"/>
    </font>
    <font>
      <sz val="10.0"/>
      <color rgb="FF000000"/>
    </font>
    <font>
      <u/>
      <sz val="10.0"/>
      <color rgb="FF1155CC"/>
      <name val="Arial"/>
    </font>
    <font>
      <sz val="10.0"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sz val="11.0"/>
      <color rgb="FF000000"/>
      <name val="Inconsolata"/>
    </font>
    <font>
      <b/>
      <color theme="1"/>
      <name val="Times New Roman"/>
    </font>
    <font>
      <color theme="1"/>
      <name val="Times New Roman"/>
    </font>
    <font>
      <color rgb="FFFF0000"/>
      <name val="Times New Roman"/>
    </font>
    <font>
      <sz val="11.0"/>
      <color rgb="FF000000"/>
      <name val="Times New Roman"/>
    </font>
    <font>
      <b/>
      <color rgb="FF000000"/>
      <name val="Arial"/>
    </font>
    <font>
      <u/>
      <color rgb="FF1155CC"/>
      <name val="Arial"/>
    </font>
    <font>
      <u/>
      <color rgb="FF1155CC"/>
    </font>
    <font>
      <u/>
      <color rgb="FF1155CC"/>
    </font>
    <font>
      <b/>
      <sz val="12.0"/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0000FF"/>
    </font>
    <font>
      <u/>
      <sz val="9.0"/>
      <color rgb="FF1155CC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</font>
    <font>
      <b/>
      <sz val="11.0"/>
    </font>
    <font>
      <sz val="11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4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1" numFmtId="3" xfId="0" applyAlignment="1" applyBorder="1" applyFont="1" applyNumberFormat="1">
      <alignment horizontal="right" readingOrder="0" shrinkToFit="0" wrapText="1"/>
    </xf>
    <xf borderId="1" fillId="2" fontId="1" numFmtId="0" xfId="0" applyAlignment="1" applyBorder="1" applyFont="1">
      <alignment horizontal="right" readingOrder="0" shrinkToFit="0" wrapText="1"/>
    </xf>
    <xf borderId="1" fillId="3" fontId="1" numFmtId="3" xfId="0" applyAlignment="1" applyBorder="1" applyFill="1" applyFont="1" applyNumberFormat="1">
      <alignment horizontal="right" readingOrder="0" shrinkToFit="0" wrapText="1"/>
    </xf>
    <xf borderId="1" fillId="2" fontId="2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horizontal="right"/>
    </xf>
    <xf borderId="1" fillId="4" fontId="2" numFmtId="0" xfId="0" applyAlignment="1" applyBorder="1" applyFill="1" applyFont="1">
      <alignment horizontal="right" readingOrder="0"/>
    </xf>
    <xf borderId="1" fillId="4" fontId="3" numFmtId="0" xfId="0" applyAlignment="1" applyBorder="1" applyFont="1">
      <alignment horizontal="right" readingOrder="0"/>
    </xf>
    <xf borderId="1" fillId="4" fontId="4" numFmtId="0" xfId="0" applyAlignment="1" applyBorder="1" applyFont="1">
      <alignment horizontal="right" readingOrder="0"/>
    </xf>
    <xf borderId="1" fillId="4" fontId="2" numFmtId="3" xfId="0" applyAlignment="1" applyBorder="1" applyFont="1" applyNumberFormat="1">
      <alignment horizontal="right" readingOrder="0"/>
    </xf>
    <xf borderId="1" fillId="4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right" readingOrder="0"/>
    </xf>
    <xf borderId="1" fillId="0" fontId="3" numFmtId="3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right"/>
    </xf>
    <xf borderId="1" fillId="5" fontId="7" numFmtId="0" xfId="0" applyAlignment="1" applyBorder="1" applyFill="1" applyFont="1">
      <alignment horizontal="right" readingOrder="0"/>
    </xf>
    <xf quotePrefix="1" borderId="1" fillId="0" fontId="3" numFmtId="0" xfId="0" applyAlignment="1" applyBorder="1" applyFont="1">
      <alignment horizontal="right" readingOrder="0"/>
    </xf>
    <xf borderId="0" fillId="5" fontId="7" numFmtId="0" xfId="0" applyAlignment="1" applyFont="1">
      <alignment horizontal="right" readingOrder="0"/>
    </xf>
    <xf borderId="1" fillId="5" fontId="8" numFmtId="0" xfId="0" applyAlignment="1" applyBorder="1" applyFont="1">
      <alignment horizontal="right" readingOrder="0"/>
    </xf>
    <xf borderId="1" fillId="6" fontId="8" numFmtId="0" xfId="0" applyAlignment="1" applyBorder="1" applyFill="1" applyFont="1">
      <alignment horizontal="right" readingOrder="0"/>
    </xf>
    <xf borderId="1" fillId="0" fontId="3" numFmtId="3" xfId="0" applyAlignment="1" applyBorder="1" applyFont="1" applyNumberFormat="1">
      <alignment horizontal="right"/>
    </xf>
    <xf borderId="2" fillId="0" fontId="3" numFmtId="0" xfId="0" applyAlignment="1" applyBorder="1" applyFont="1">
      <alignment horizontal="right" readingOrder="0"/>
    </xf>
    <xf borderId="3" fillId="0" fontId="9" numFmtId="0" xfId="0" applyAlignment="1" applyBorder="1" applyFont="1">
      <alignment horizontal="right" readingOrder="0"/>
    </xf>
    <xf borderId="0" fillId="5" fontId="8" numFmtId="0" xfId="0" applyAlignment="1" applyFont="1">
      <alignment horizontal="right" readingOrder="0"/>
    </xf>
    <xf borderId="0" fillId="6" fontId="8" numFmtId="0" xfId="0" applyAlignment="1" applyFont="1">
      <alignment horizontal="right" readingOrder="0"/>
    </xf>
    <xf borderId="4" fillId="0" fontId="10" numFmtId="0" xfId="0" applyBorder="1" applyFont="1"/>
    <xf borderId="3" fillId="0" fontId="10" numFmtId="0" xfId="0" applyBorder="1" applyFont="1"/>
    <xf borderId="1" fillId="6" fontId="3" numFmtId="0" xfId="0" applyAlignment="1" applyBorder="1" applyFont="1">
      <alignment horizontal="right" readingOrder="0"/>
    </xf>
    <xf borderId="1" fillId="0" fontId="11" numFmtId="0" xfId="0" applyAlignment="1" applyBorder="1" applyFont="1">
      <alignment horizontal="right" readingOrder="0"/>
    </xf>
    <xf borderId="5" fillId="0" fontId="10" numFmtId="0" xfId="0" applyBorder="1" applyFont="1"/>
    <xf borderId="6" fillId="0" fontId="10" numFmtId="0" xfId="0" applyBorder="1" applyFont="1"/>
    <xf borderId="1" fillId="7" fontId="3" numFmtId="0" xfId="0" applyAlignment="1" applyBorder="1" applyFill="1" applyFont="1">
      <alignment horizontal="right" readingOrder="0"/>
    </xf>
    <xf borderId="0" fillId="5" fontId="12" numFmtId="0" xfId="0" applyAlignment="1" applyFont="1">
      <alignment horizontal="right" readingOrder="0"/>
    </xf>
    <xf borderId="0" fillId="8" fontId="3" numFmtId="0" xfId="0" applyAlignment="1" applyFill="1" applyFont="1">
      <alignment horizontal="right" vertical="bottom"/>
    </xf>
    <xf borderId="1" fillId="5" fontId="13" numFmtId="0" xfId="0" applyAlignment="1" applyBorder="1" applyFont="1">
      <alignment horizontal="right" readingOrder="0" shrinkToFit="0" vertical="center" wrapText="1"/>
    </xf>
    <xf borderId="1" fillId="0" fontId="3" numFmtId="0" xfId="0" applyAlignment="1" applyBorder="1" applyFont="1">
      <alignment horizontal="right" readingOrder="0"/>
    </xf>
    <xf borderId="1" fillId="9" fontId="13" numFmtId="0" xfId="0" applyAlignment="1" applyBorder="1" applyFill="1" applyFont="1">
      <alignment horizontal="right" readingOrder="0" shrinkToFit="0" vertical="center" wrapText="1"/>
    </xf>
    <xf borderId="0" fillId="10" fontId="3" numFmtId="0" xfId="0" applyAlignment="1" applyFill="1" applyFont="1">
      <alignment shrinkToFit="0" vertical="bottom" wrapText="1"/>
    </xf>
    <xf borderId="1" fillId="11" fontId="3" numFmtId="0" xfId="0" applyAlignment="1" applyBorder="1" applyFill="1" applyFont="1">
      <alignment horizontal="right" shrinkToFit="0" vertical="bottom" wrapText="1"/>
    </xf>
    <xf borderId="1" fillId="11" fontId="14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11" fontId="3" numFmtId="3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1" fillId="5" fontId="7" numFmtId="0" xfId="0" applyAlignment="1" applyBorder="1" applyFont="1">
      <alignment horizontal="center" readingOrder="0"/>
    </xf>
    <xf borderId="1" fillId="5" fontId="15" numFmtId="0" xfId="0" applyAlignment="1" applyBorder="1" applyFont="1">
      <alignment readingOrder="0"/>
    </xf>
    <xf borderId="1" fillId="10" fontId="3" numFmtId="0" xfId="0" applyAlignment="1" applyBorder="1" applyFont="1">
      <alignment shrinkToFit="0" vertical="bottom" wrapText="1"/>
    </xf>
    <xf borderId="1" fillId="11" fontId="3" numFmtId="0" xfId="0" applyAlignment="1" applyBorder="1" applyFont="1">
      <alignment horizontal="right" shrinkToFit="0" vertical="bottom" wrapText="1"/>
    </xf>
    <xf borderId="1" fillId="11" fontId="16" numFmtId="0" xfId="0" applyAlignment="1" applyBorder="1" applyFont="1">
      <alignment horizontal="center" shrinkToFit="0" wrapText="1"/>
    </xf>
    <xf borderId="1" fillId="5" fontId="17" numFmtId="0" xfId="0" applyAlignment="1" applyBorder="1" applyFont="1">
      <alignment readingOrder="0" shrinkToFit="0" vertical="center" wrapText="1"/>
    </xf>
    <xf borderId="0" fillId="5" fontId="17" numFmtId="0" xfId="0" applyAlignment="1" applyFont="1">
      <alignment horizontal="left" readingOrder="0"/>
    </xf>
    <xf borderId="1" fillId="10" fontId="3" numFmtId="0" xfId="0" applyAlignment="1" applyBorder="1" applyFont="1">
      <alignment shrinkToFit="0" vertical="bottom" wrapText="1"/>
    </xf>
    <xf borderId="1" fillId="11" fontId="18" numFmtId="0" xfId="0" applyAlignment="1" applyBorder="1" applyFont="1">
      <alignment horizontal="center" shrinkToFit="0" wrapText="1"/>
    </xf>
    <xf borderId="1" fillId="0" fontId="3" numFmtId="3" xfId="0" applyAlignment="1" applyBorder="1" applyFont="1" applyNumberFormat="1">
      <alignment horizontal="right" readingOrder="0" vertical="bottom"/>
    </xf>
    <xf borderId="1" fillId="5" fontId="19" numFmtId="0" xfId="0" applyAlignment="1" applyBorder="1" applyFont="1">
      <alignment horizontal="center" readingOrder="0" shrinkToFit="0" wrapText="1"/>
    </xf>
    <xf borderId="2" fillId="10" fontId="3" numFmtId="0" xfId="0" applyAlignment="1" applyBorder="1" applyFont="1">
      <alignment shrinkToFit="0" vertical="bottom" wrapText="1"/>
    </xf>
    <xf borderId="2" fillId="11" fontId="3" numFmtId="0" xfId="0" applyAlignment="1" applyBorder="1" applyFont="1">
      <alignment horizontal="right" shrinkToFit="0" vertical="bottom" wrapText="1"/>
    </xf>
    <xf borderId="2" fillId="11" fontId="3" numFmtId="3" xfId="0" applyAlignment="1" applyBorder="1" applyFont="1" applyNumberFormat="1">
      <alignment horizontal="center"/>
    </xf>
    <xf borderId="2" fillId="5" fontId="17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vertical="bottom"/>
    </xf>
    <xf borderId="1" fillId="10" fontId="17" numFmtId="0" xfId="0" applyAlignment="1" applyBorder="1" applyFont="1">
      <alignment shrinkToFit="0" vertical="bottom" wrapText="1"/>
    </xf>
    <xf borderId="1" fillId="5" fontId="17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right" readingOrder="0"/>
    </xf>
    <xf borderId="5" fillId="1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readingOrder="0" vertical="bottom"/>
    </xf>
    <xf borderId="2" fillId="11" fontId="20" numFmtId="0" xfId="0" applyAlignment="1" applyBorder="1" applyFont="1">
      <alignment horizontal="right" shrinkToFit="0" vertical="bottom" wrapText="1"/>
    </xf>
    <xf quotePrefix="1" borderId="2" fillId="0" fontId="3" numFmtId="0" xfId="0" applyAlignment="1" applyBorder="1" applyFont="1">
      <alignment horizontal="center" shrinkToFit="0" wrapText="1"/>
    </xf>
    <xf borderId="2" fillId="10" fontId="17" numFmtId="0" xfId="0" applyAlignment="1" applyBorder="1" applyFont="1">
      <alignment shrinkToFit="0" vertical="bottom" wrapText="1"/>
    </xf>
    <xf borderId="2" fillId="5" fontId="3" numFmtId="0" xfId="0" applyAlignment="1" applyBorder="1" applyFont="1">
      <alignment horizontal="center" shrinkToFit="0" wrapText="1"/>
    </xf>
    <xf borderId="1" fillId="10" fontId="3" numFmtId="0" xfId="0" applyAlignment="1" applyBorder="1" applyFont="1">
      <alignment vertical="bottom"/>
    </xf>
    <xf borderId="1" fillId="5" fontId="3" numFmtId="0" xfId="0" applyAlignment="1" applyBorder="1" applyFont="1">
      <alignment horizontal="center" shrinkToFit="0" wrapText="1"/>
    </xf>
    <xf borderId="1" fillId="11" fontId="21" numFmtId="0" xfId="0" applyAlignment="1" applyBorder="1" applyFont="1">
      <alignment horizontal="center" shrinkToFit="0" wrapText="1"/>
    </xf>
    <xf borderId="1" fillId="10" fontId="22" numFmtId="0" xfId="0" applyAlignment="1" applyBorder="1" applyFont="1">
      <alignment shrinkToFit="0" vertical="bottom" wrapText="1"/>
    </xf>
    <xf borderId="1" fillId="11" fontId="23" numFmtId="0" xfId="0" applyAlignment="1" applyBorder="1" applyFont="1">
      <alignment horizontal="right" shrinkToFit="0" vertical="bottom" wrapText="1"/>
    </xf>
    <xf borderId="1" fillId="0" fontId="3" numFmtId="3" xfId="0" applyAlignment="1" applyBorder="1" applyFont="1" applyNumberFormat="1">
      <alignment vertical="bottom"/>
    </xf>
    <xf borderId="1" fillId="11" fontId="3" numFmtId="0" xfId="0" applyBorder="1" applyFont="1"/>
    <xf borderId="1" fillId="10" fontId="24" numFmtId="0" xfId="0" applyAlignment="1" applyBorder="1" applyFont="1">
      <alignment vertical="bottom"/>
    </xf>
    <xf borderId="1" fillId="11" fontId="3" numFmtId="0" xfId="0" applyAlignment="1" applyBorder="1" applyFont="1">
      <alignment horizontal="right" readingOrder="0" shrinkToFit="0" vertical="bottom" wrapText="1"/>
    </xf>
    <xf borderId="1" fillId="5" fontId="25" numFmtId="0" xfId="0" applyAlignment="1" applyBorder="1" applyFont="1">
      <alignment horizontal="center" shrinkToFit="0" wrapText="1"/>
    </xf>
    <xf borderId="1" fillId="10" fontId="26" numFmtId="0" xfId="0" applyAlignment="1" applyBorder="1" applyFont="1">
      <alignment shrinkToFit="0" vertical="bottom" wrapText="1"/>
    </xf>
    <xf borderId="1" fillId="11" fontId="26" numFmtId="0" xfId="0" applyAlignment="1" applyBorder="1" applyFont="1">
      <alignment horizontal="right" shrinkToFit="0" vertical="bottom" wrapText="1"/>
    </xf>
    <xf borderId="1" fillId="11" fontId="27" numFmtId="0" xfId="0" applyAlignment="1" applyBorder="1" applyFont="1">
      <alignment horizontal="center"/>
    </xf>
    <xf borderId="1" fillId="5" fontId="7" numFmtId="0" xfId="0" applyAlignment="1" applyBorder="1" applyFont="1">
      <alignment horizontal="center" shrinkToFit="0" wrapText="1"/>
    </xf>
    <xf borderId="1" fillId="10" fontId="28" numFmtId="0" xfId="0" applyAlignment="1" applyBorder="1" applyFont="1">
      <alignment shrinkToFit="0" vertical="bottom" wrapText="1"/>
    </xf>
    <xf borderId="1" fillId="11" fontId="28" numFmtId="0" xfId="0" applyAlignment="1" applyBorder="1" applyFont="1">
      <alignment horizontal="right" shrinkToFit="0" vertical="bottom" wrapText="1"/>
    </xf>
    <xf borderId="1" fillId="11" fontId="29" numFmtId="0" xfId="0" applyAlignment="1" applyBorder="1" applyFont="1">
      <alignment horizontal="center" readingOrder="0" shrinkToFit="0" wrapText="1"/>
    </xf>
    <xf borderId="1" fillId="11" fontId="3" numFmtId="0" xfId="0" applyBorder="1" applyFont="1"/>
    <xf borderId="1" fillId="5" fontId="30" numFmtId="0" xfId="0" applyAlignment="1" applyBorder="1" applyFont="1">
      <alignment horizontal="center" shrinkToFit="0" wrapText="1"/>
    </xf>
    <xf borderId="1" fillId="11" fontId="31" numFmtId="0" xfId="0" applyAlignment="1" applyBorder="1" applyFont="1">
      <alignment horizontal="center"/>
    </xf>
    <xf quotePrefix="1" borderId="1" fillId="5" fontId="3" numFmtId="0" xfId="0" applyAlignment="1" applyBorder="1" applyFont="1">
      <alignment horizontal="center" shrinkToFit="0" wrapText="1"/>
    </xf>
    <xf borderId="1" fillId="11" fontId="28" numFmtId="0" xfId="0" applyAlignment="1" applyBorder="1" applyFont="1">
      <alignment horizontal="right" shrinkToFit="0" vertical="bottom" wrapText="1"/>
    </xf>
    <xf borderId="0" fillId="10" fontId="3" numFmtId="0" xfId="0" applyAlignment="1" applyFont="1">
      <alignment shrinkToFit="0" wrapText="1"/>
    </xf>
    <xf borderId="1" fillId="11" fontId="3" numFmtId="0" xfId="0" applyAlignment="1" applyBorder="1" applyFont="1">
      <alignment horizontal="right" shrinkToFit="0" wrapText="1"/>
    </xf>
    <xf borderId="1" fillId="11" fontId="3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shrinkToFit="0" wrapText="1"/>
    </xf>
    <xf borderId="1" fillId="5" fontId="22" numFmtId="0" xfId="0" applyAlignment="1" applyBorder="1" applyFont="1">
      <alignment shrinkToFit="0" vertical="center" wrapText="1"/>
    </xf>
    <xf borderId="0" fillId="2" fontId="26" numFmtId="0" xfId="0" applyAlignment="1" applyFont="1">
      <alignment horizontal="right" shrinkToFit="0" vertical="bottom" wrapText="1"/>
    </xf>
    <xf borderId="1" fillId="5" fontId="26" numFmtId="0" xfId="0" applyAlignment="1" applyBorder="1" applyFont="1">
      <alignment horizontal="right" shrinkToFit="0" vertical="bottom" wrapText="1"/>
    </xf>
    <xf borderId="1" fillId="5" fontId="12" numFmtId="0" xfId="0" applyAlignment="1" applyBorder="1" applyFont="1">
      <alignment horizontal="right" shrinkToFit="0" vertical="bottom" wrapText="1"/>
    </xf>
    <xf borderId="1" fillId="2" fontId="26" numFmtId="0" xfId="0" applyAlignment="1" applyBorder="1" applyFont="1">
      <alignment horizontal="right" shrinkToFit="0" vertical="bottom" wrapText="1"/>
    </xf>
    <xf borderId="1" fillId="5" fontId="33" numFmtId="0" xfId="0" applyAlignment="1" applyBorder="1" applyFont="1">
      <alignment horizontal="right" readingOrder="0" vertical="bottom"/>
    </xf>
    <xf quotePrefix="1" borderId="1" fillId="5" fontId="33" numFmtId="0" xfId="0" applyAlignment="1" applyBorder="1" applyFont="1">
      <alignment horizontal="right" readingOrder="0" vertical="bottom"/>
    </xf>
    <xf borderId="1" fillId="2" fontId="7" numFmtId="0" xfId="0" applyAlignment="1" applyBorder="1" applyFont="1">
      <alignment horizontal="right" shrinkToFit="0" vertical="bottom" wrapText="1"/>
    </xf>
    <xf borderId="1" fillId="5" fontId="3" numFmtId="0" xfId="0" applyAlignment="1" applyBorder="1" applyFont="1">
      <alignment horizontal="right" shrinkToFit="0" vertical="bottom" wrapText="1"/>
    </xf>
    <xf borderId="1" fillId="5" fontId="12" numFmtId="0" xfId="0" applyAlignment="1" applyBorder="1" applyFont="1">
      <alignment horizontal="right" readingOrder="0" vertical="bottom"/>
    </xf>
    <xf borderId="1" fillId="5" fontId="12" numFmtId="0" xfId="0" applyAlignment="1" applyBorder="1" applyFont="1">
      <alignment horizontal="right" readingOrder="0"/>
    </xf>
    <xf quotePrefix="1" borderId="1" fillId="5" fontId="12" numFmtId="0" xfId="0" applyAlignment="1" applyBorder="1" applyFont="1">
      <alignment horizontal="right" readingOrder="0" vertical="bottom"/>
    </xf>
    <xf borderId="1" fillId="2" fontId="12" numFmtId="0" xfId="0" applyAlignment="1" applyBorder="1" applyFont="1">
      <alignment horizontal="right" shrinkToFit="0" vertical="bottom" wrapText="1"/>
    </xf>
    <xf quotePrefix="1" borderId="1" fillId="5" fontId="12" numFmtId="0" xfId="0" applyAlignment="1" applyBorder="1" applyFont="1">
      <alignment horizontal="right" readingOrder="0" shrinkToFit="0" vertical="bottom" wrapText="1"/>
    </xf>
    <xf borderId="1" fillId="2" fontId="3" numFmtId="0" xfId="0" applyAlignment="1" applyBorder="1" applyFont="1">
      <alignment horizontal="right" shrinkToFit="0" vertical="bottom" wrapText="1"/>
    </xf>
    <xf quotePrefix="1" borderId="1" fillId="5" fontId="26" numFmtId="0" xfId="0" applyAlignment="1" applyBorder="1" applyFont="1">
      <alignment horizontal="right" readingOrder="0" vertical="bottom"/>
    </xf>
    <xf quotePrefix="1" borderId="1" fillId="5" fontId="34" numFmtId="0" xfId="0" applyAlignment="1" applyBorder="1" applyFont="1">
      <alignment horizontal="right" readingOrder="0" shrinkToFit="0" vertical="bottom" wrapText="1"/>
    </xf>
    <xf borderId="0" fillId="2" fontId="3" numFmtId="0" xfId="0" applyAlignment="1" applyFont="1">
      <alignment horizontal="right" readingOrder="0"/>
    </xf>
    <xf borderId="0" fillId="2" fontId="35" numFmtId="0" xfId="0" applyAlignment="1" applyFont="1">
      <alignment horizontal="right" readingOrder="0"/>
    </xf>
    <xf borderId="0" fillId="2" fontId="3" numFmtId="0" xfId="0" applyAlignment="1" applyFont="1">
      <alignment horizontal="right"/>
    </xf>
    <xf borderId="0" fillId="2" fontId="3" numFmtId="3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3" xfId="0" applyAlignment="1" applyFont="1" applyNumberFormat="1">
      <alignment horizontal="right"/>
    </xf>
    <xf borderId="0" fillId="12" fontId="3" numFmtId="0" xfId="0" applyAlignment="1" applyFill="1" applyFont="1">
      <alignment horizontal="right"/>
    </xf>
    <xf borderId="0" fillId="0" fontId="3" numFmtId="0" xfId="0" applyFont="1"/>
    <xf borderId="0" fillId="12" fontId="3" numFmtId="0" xfId="0" applyFont="1"/>
    <xf borderId="0" fillId="0" fontId="36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167" xfId="0" applyFont="1" applyNumberFormat="1"/>
    <xf borderId="0" fillId="0" fontId="3" numFmtId="168" xfId="0" applyFont="1" applyNumberFormat="1"/>
    <xf borderId="0" fillId="0" fontId="3" numFmtId="169" xfId="0" applyFont="1" applyNumberFormat="1"/>
    <xf borderId="0" fillId="0" fontId="3" numFmtId="49" xfId="0" applyFont="1" applyNumberFormat="1"/>
    <xf borderId="0" fillId="0" fontId="3" numFmtId="170" xfId="0" applyFont="1" applyNumberFormat="1"/>
    <xf borderId="0" fillId="0" fontId="3" numFmtId="3" xfId="0" applyFont="1" applyNumberFormat="1"/>
    <xf borderId="0" fillId="0" fontId="3" numFmtId="14" xfId="0" applyFont="1" applyNumberFormat="1"/>
    <xf borderId="7" fillId="0" fontId="3" numFmtId="0" xfId="0" applyAlignment="1" applyBorder="1" applyFont="1">
      <alignment horizontal="left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7" fillId="0" fontId="3" numFmtId="3" xfId="0" applyAlignment="1" applyBorder="1" applyFont="1" applyNumberFormat="1">
      <alignment horizontal="left"/>
    </xf>
    <xf borderId="7" fillId="0" fontId="3" numFmtId="3" xfId="0" applyAlignment="1" applyBorder="1" applyFont="1" applyNumberFormat="1">
      <alignment readingOrder="0"/>
    </xf>
    <xf borderId="7" fillId="13" fontId="2" numFmtId="0" xfId="0" applyAlignment="1" applyBorder="1" applyFill="1" applyFont="1">
      <alignment horizontal="left" readingOrder="0"/>
    </xf>
    <xf borderId="7" fillId="13" fontId="2" numFmtId="0" xfId="0" applyAlignment="1" applyBorder="1" applyFont="1">
      <alignment readingOrder="0"/>
    </xf>
    <xf borderId="7" fillId="13" fontId="2" numFmtId="3" xfId="0" applyAlignment="1" applyBorder="1" applyFont="1" applyNumberFormat="1">
      <alignment horizontal="left" readingOrder="0"/>
    </xf>
    <xf borderId="7" fillId="0" fontId="2" numFmtId="3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7" fillId="0" fontId="3" numFmtId="171" xfId="0" applyAlignment="1" applyBorder="1" applyFont="1" applyNumberFormat="1">
      <alignment readingOrder="0"/>
    </xf>
    <xf borderId="7" fillId="0" fontId="37" numFmtId="3" xfId="0" applyAlignment="1" applyBorder="1" applyFont="1" applyNumberFormat="1">
      <alignment horizontal="left" readingOrder="0"/>
    </xf>
    <xf borderId="7" fillId="0" fontId="3" numFmtId="3" xfId="0" applyBorder="1" applyFont="1" applyNumberFormat="1"/>
    <xf borderId="7" fillId="0" fontId="2" numFmtId="3" xfId="0" applyBorder="1" applyFont="1" applyNumberFormat="1"/>
    <xf borderId="7" fillId="0" fontId="38" numFmtId="3" xfId="0" applyAlignment="1" applyBorder="1" applyFont="1" applyNumberFormat="1">
      <alignment horizontal="left" readingOrder="0"/>
    </xf>
    <xf borderId="7" fillId="0" fontId="39" numFmtId="3" xfId="0" applyAlignment="1" applyBorder="1" applyFont="1" applyNumberFormat="1">
      <alignment horizontal="left" readingOrder="0"/>
    </xf>
    <xf borderId="7" fillId="5" fontId="3" numFmtId="0" xfId="0" applyAlignment="1" applyBorder="1" applyFont="1">
      <alignment readingOrder="0"/>
    </xf>
    <xf borderId="7" fillId="5" fontId="40" numFmtId="3" xfId="0" applyAlignment="1" applyBorder="1" applyFont="1" applyNumberFormat="1">
      <alignment horizontal="left" readingOrder="0"/>
    </xf>
    <xf borderId="7" fillId="5" fontId="3" numFmtId="0" xfId="0" applyBorder="1" applyFont="1"/>
    <xf borderId="0" fillId="5" fontId="3" numFmtId="0" xfId="0" applyFont="1"/>
    <xf borderId="7" fillId="11" fontId="41" numFmtId="0" xfId="0" applyAlignment="1" applyBorder="1" applyFont="1">
      <alignment horizontal="left" readingOrder="0" shrinkToFit="0" wrapText="1"/>
    </xf>
    <xf borderId="7" fillId="11" fontId="42" numFmtId="0" xfId="0" applyAlignment="1" applyBorder="1" applyFont="1">
      <alignment horizontal="left" shrinkToFit="0" wrapText="1"/>
    </xf>
    <xf borderId="7" fillId="11" fontId="43" numFmtId="0" xfId="0" applyAlignment="1" applyBorder="1" applyFont="1">
      <alignment horizontal="left" readingOrder="0"/>
    </xf>
    <xf borderId="7" fillId="11" fontId="44" numFmtId="3" xfId="0" applyAlignment="1" applyBorder="1" applyFont="1" applyNumberFormat="1">
      <alignment horizontal="left" readingOrder="0"/>
    </xf>
    <xf borderId="7" fillId="11" fontId="45" numFmtId="0" xfId="0" applyAlignment="1" applyBorder="1" applyFont="1">
      <alignment horizontal="left" shrinkToFit="0" wrapText="1"/>
    </xf>
    <xf borderId="7" fillId="11" fontId="46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right" readingOrder="0"/>
    </xf>
    <xf borderId="7" fillId="11" fontId="47" numFmtId="0" xfId="0" applyAlignment="1" applyBorder="1" applyFont="1">
      <alignment horizontal="left"/>
    </xf>
    <xf borderId="7" fillId="11" fontId="48" numFmtId="0" xfId="0" applyAlignment="1" applyBorder="1" applyFont="1">
      <alignment horizontal="left" readingOrder="0" vertical="center"/>
    </xf>
    <xf borderId="7" fillId="5" fontId="3" numFmtId="0" xfId="0" applyAlignment="1" applyBorder="1" applyFont="1">
      <alignment horizontal="left" readingOrder="0"/>
    </xf>
    <xf borderId="7" fillId="14" fontId="3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/>
    </xf>
    <xf borderId="7" fillId="3" fontId="3" numFmtId="0" xfId="0" applyAlignment="1" applyBorder="1" applyFont="1">
      <alignment horizontal="left"/>
    </xf>
    <xf borderId="7" fillId="3" fontId="3" numFmtId="0" xfId="0" applyBorder="1" applyFont="1"/>
    <xf borderId="7" fillId="3" fontId="3" numFmtId="3" xfId="0" applyAlignment="1" applyBorder="1" applyFont="1" applyNumberFormat="1">
      <alignment horizontal="left"/>
    </xf>
    <xf borderId="7" fillId="3" fontId="3" numFmtId="3" xfId="0" applyBorder="1" applyFont="1" applyNumberFormat="1"/>
    <xf borderId="0" fillId="3" fontId="3" numFmtId="0" xfId="0" applyFont="1"/>
    <xf borderId="0" fillId="0" fontId="13" numFmtId="0" xfId="0" applyFont="1"/>
    <xf borderId="0" fillId="0" fontId="49" numFmtId="0" xfId="0" applyAlignment="1" applyFont="1">
      <alignment horizontal="left" shrinkToFit="0" wrapText="0"/>
    </xf>
    <xf borderId="0" fillId="0" fontId="0" numFmtId="0" xfId="0" applyAlignment="1" applyFont="1">
      <alignment horizontal="left"/>
    </xf>
    <xf borderId="0" fillId="0" fontId="49" numFmtId="0" xfId="0" applyAlignment="1" applyFont="1">
      <alignment horizontal="center" readingOrder="0"/>
    </xf>
    <xf borderId="0" fillId="15" fontId="49" numFmtId="0" xfId="0" applyAlignment="1" applyFill="1" applyFont="1">
      <alignment horizontal="center" readingOrder="0"/>
    </xf>
    <xf borderId="0" fillId="15" fontId="49" numFmtId="3" xfId="0" applyAlignment="1" applyFont="1" applyNumberFormat="1">
      <alignment horizontal="center" readingOrder="0"/>
    </xf>
    <xf borderId="0" fillId="0" fontId="49" numFmtId="172" xfId="0" applyAlignment="1" applyFont="1" applyNumberFormat="1">
      <alignment horizontal="center" readingOrder="0"/>
    </xf>
    <xf borderId="0" fillId="0" fontId="13" numFmtId="3" xfId="0" applyAlignment="1" applyFont="1" applyNumberFormat="1">
      <alignment horizontal="center" readingOrder="0"/>
    </xf>
    <xf borderId="0" fillId="15" fontId="13" numFmtId="0" xfId="0" applyAlignment="1" applyFont="1">
      <alignment horizontal="center" readingOrder="0"/>
    </xf>
    <xf borderId="0" fillId="0" fontId="13" numFmtId="172" xfId="0" applyAlignment="1" applyFont="1" applyNumberFormat="1">
      <alignment horizontal="center" readingOrder="0"/>
    </xf>
    <xf borderId="0" fillId="0" fontId="13" numFmtId="0" xfId="0" applyAlignment="1" applyFont="1">
      <alignment horizontal="center" readingOrder="0"/>
    </xf>
    <xf borderId="0" fillId="13" fontId="50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3" fontId="50" numFmtId="0" xfId="0" applyAlignment="1" applyFont="1">
      <alignment horizontal="left" readingOrder="0" shrinkToFit="0" wrapText="0"/>
    </xf>
    <xf borderId="0" fillId="13" fontId="51" numFmtId="0" xfId="0" applyAlignment="1" applyFont="1">
      <alignment horizontal="left" readingOrder="0"/>
    </xf>
    <xf borderId="0" fillId="13" fontId="52" numFmtId="0" xfId="0" applyAlignment="1" applyFont="1">
      <alignment horizontal="left" readingOrder="0"/>
    </xf>
    <xf borderId="0" fillId="0" fontId="50" numFmtId="0" xfId="0" applyAlignment="1" applyFont="1">
      <alignment horizontal="center" readingOrder="0" shrinkToFit="0" wrapText="1"/>
    </xf>
    <xf borderId="0" fillId="13" fontId="50" numFmtId="0" xfId="0" applyAlignment="1" applyFont="1">
      <alignment horizontal="center" readingOrder="0" shrinkToFit="0" wrapText="1"/>
    </xf>
    <xf borderId="0" fillId="0" fontId="50" numFmtId="3" xfId="0" applyAlignment="1" applyFont="1" applyNumberFormat="1">
      <alignment horizontal="center" readingOrder="0"/>
    </xf>
    <xf borderId="0" fillId="13" fontId="50" numFmtId="172" xfId="0" applyAlignment="1" applyFont="1" applyNumberFormat="1">
      <alignment horizontal="center" readingOrder="0" shrinkToFit="0" wrapText="1"/>
    </xf>
    <xf borderId="0" fillId="0" fontId="50" numFmtId="0" xfId="0" applyAlignment="1" applyFont="1">
      <alignment horizontal="center" readingOrder="0"/>
    </xf>
    <xf borderId="0" fillId="0" fontId="49" numFmtId="0" xfId="0" applyAlignment="1" applyFont="1">
      <alignment horizontal="right" readingOrder="0"/>
    </xf>
    <xf borderId="0" fillId="0" fontId="13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5" fontId="53" numFmtId="0" xfId="0" applyAlignment="1" applyFont="1">
      <alignment horizontal="left" readingOrder="0" shrinkToFit="0" wrapText="0"/>
    </xf>
    <xf borderId="0" fillId="5" fontId="0" numFmtId="0" xfId="0" applyAlignment="1" applyFont="1">
      <alignment horizontal="left" readingOrder="0" shrinkToFit="0" wrapText="1"/>
    </xf>
    <xf borderId="0" fillId="0" fontId="13" numFmtId="3" xfId="0" applyFont="1" applyNumberFormat="1"/>
    <xf borderId="0" fillId="3" fontId="1" numFmtId="3" xfId="0" applyFont="1" applyNumberFormat="1"/>
    <xf borderId="0" fillId="0" fontId="1" numFmtId="3" xfId="0" applyFont="1" applyNumberFormat="1"/>
    <xf borderId="0" fillId="3" fontId="1" numFmtId="172" xfId="0" applyFont="1" applyNumberFormat="1"/>
    <xf borderId="0" fillId="0" fontId="49" numFmtId="3" xfId="0" applyFont="1" applyNumberFormat="1"/>
    <xf borderId="0" fillId="5" fontId="0" numFmtId="171" xfId="0" applyAlignment="1" applyFont="1" applyNumberFormat="1">
      <alignment horizontal="left" readingOrder="0" shrinkToFit="0" wrapText="1"/>
    </xf>
    <xf borderId="0" fillId="0" fontId="49" numFmtId="3" xfId="0" applyAlignment="1" applyFont="1" applyNumberFormat="1">
      <alignment readingOrder="0"/>
    </xf>
    <xf borderId="0" fillId="0" fontId="13" numFmtId="172" xfId="0" applyAlignment="1" applyFont="1" applyNumberFormat="1">
      <alignment readingOrder="0"/>
    </xf>
    <xf borderId="0" fillId="0" fontId="49" numFmtId="0" xfId="0" applyAlignment="1" applyFont="1">
      <alignment readingOrder="0"/>
    </xf>
    <xf borderId="0" fillId="0" fontId="54" numFmtId="0" xfId="0" applyAlignment="1" applyFont="1">
      <alignment horizontal="left" readingOrder="0" shrinkToFit="0" wrapText="0"/>
    </xf>
    <xf borderId="0" fillId="0" fontId="0" numFmtId="171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171" xfId="0" applyAlignment="1" applyFont="1" applyNumberFormat="1">
      <alignment horizontal="left"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5" fontId="13" numFmtId="0" xfId="0" applyAlignment="1" applyFont="1">
      <alignment horizontal="left" readingOrder="0"/>
    </xf>
    <xf borderId="0" fillId="5" fontId="13" numFmtId="0" xfId="0" applyAlignment="1" applyFont="1">
      <alignment readingOrder="0"/>
    </xf>
    <xf borderId="0" fillId="5" fontId="55" numFmtId="0" xfId="0" applyAlignment="1" applyFont="1">
      <alignment horizontal="left" readingOrder="0" shrinkToFit="0" wrapText="0"/>
    </xf>
    <xf borderId="0" fillId="5" fontId="0" numFmtId="171" xfId="0" applyAlignment="1" applyFont="1" applyNumberFormat="1">
      <alignment horizontal="left" readingOrder="0"/>
    </xf>
    <xf borderId="0" fillId="5" fontId="0" numFmtId="0" xfId="0" applyAlignment="1" applyFont="1">
      <alignment horizontal="left" readingOrder="0"/>
    </xf>
    <xf borderId="0" fillId="5" fontId="13" numFmtId="0" xfId="0" applyFont="1"/>
    <xf borderId="0" fillId="5" fontId="49" numFmtId="0" xfId="0" applyAlignment="1" applyFont="1">
      <alignment readingOrder="0"/>
    </xf>
    <xf borderId="0" fillId="5" fontId="13" numFmtId="3" xfId="0" applyFont="1" applyNumberFormat="1"/>
    <xf borderId="0" fillId="5" fontId="13" numFmtId="172" xfId="0" applyAlignment="1" applyFont="1" applyNumberFormat="1">
      <alignment readingOrder="0"/>
    </xf>
    <xf borderId="0" fillId="5" fontId="49" numFmtId="0" xfId="0" applyFont="1"/>
    <xf borderId="0" fillId="12" fontId="13" numFmtId="0" xfId="0" applyAlignment="1" applyFont="1">
      <alignment horizontal="left" readingOrder="0"/>
    </xf>
    <xf borderId="0" fillId="12" fontId="13" numFmtId="0" xfId="0" applyAlignment="1" applyFont="1">
      <alignment readingOrder="0"/>
    </xf>
    <xf borderId="0" fillId="12" fontId="56" numFmtId="0" xfId="0" applyAlignment="1" applyFont="1">
      <alignment horizontal="left" readingOrder="0" shrinkToFit="0" wrapText="0"/>
    </xf>
    <xf borderId="0" fillId="12" fontId="0" numFmtId="171" xfId="0" applyAlignment="1" applyFont="1" applyNumberFormat="1">
      <alignment horizontal="left" readingOrder="0"/>
    </xf>
    <xf borderId="0" fillId="12" fontId="0" numFmtId="0" xfId="0" applyAlignment="1" applyFont="1">
      <alignment horizontal="left" readingOrder="0"/>
    </xf>
    <xf borderId="0" fillId="12" fontId="13" numFmtId="0" xfId="0" applyFont="1"/>
    <xf borderId="0" fillId="12" fontId="49" numFmtId="0" xfId="0" applyAlignment="1" applyFont="1">
      <alignment readingOrder="0"/>
    </xf>
    <xf borderId="0" fillId="12" fontId="13" numFmtId="3" xfId="0" applyFont="1" applyNumberFormat="1"/>
    <xf borderId="0" fillId="12" fontId="49" numFmtId="0" xfId="0" applyFont="1"/>
    <xf borderId="0" fillId="0" fontId="57" numFmtId="0" xfId="0" applyAlignment="1" applyFont="1">
      <alignment horizontal="left" readingOrder="0" shrinkToFit="0" wrapText="0"/>
    </xf>
    <xf borderId="0" fillId="0" fontId="0" numFmtId="171" xfId="0" applyAlignment="1" applyFont="1" applyNumberForma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171" xfId="0" applyAlignment="1" applyFont="1" applyNumberFormat="1">
      <alignment horizontal="left"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2" fontId="49" numFmtId="0" xfId="0" applyFont="1"/>
    <xf borderId="0" fillId="2" fontId="13" numFmtId="0" xfId="0" applyFont="1"/>
    <xf borderId="0" fillId="2" fontId="50" numFmtId="0" xfId="0" applyAlignment="1" applyFont="1">
      <alignment horizontal="left" readingOrder="0" shrinkToFit="0" wrapText="0"/>
    </xf>
    <xf borderId="0" fillId="2" fontId="0" numFmtId="0" xfId="0" applyAlignment="1" applyFont="1">
      <alignment horizontal="left"/>
    </xf>
    <xf borderId="0" fillId="2" fontId="13" numFmtId="3" xfId="0" applyFont="1" applyNumberFormat="1"/>
    <xf borderId="0" fillId="16" fontId="13" numFmtId="0" xfId="0" applyAlignment="1" applyFill="1" applyFont="1">
      <alignment readingOrder="0"/>
    </xf>
    <xf borderId="0" fillId="16" fontId="58" numFmtId="0" xfId="0" applyAlignment="1" applyFont="1">
      <alignment horizontal="left" readingOrder="0" shrinkToFit="0" wrapText="0"/>
    </xf>
    <xf borderId="0" fillId="16" fontId="0" numFmtId="171" xfId="0" applyAlignment="1" applyFont="1" applyNumberFormat="1">
      <alignment horizontal="left" readingOrder="0"/>
    </xf>
    <xf borderId="0" fillId="16" fontId="0" numFmtId="0" xfId="0" applyAlignment="1" applyFont="1">
      <alignment horizontal="left" readingOrder="0"/>
    </xf>
    <xf borderId="0" fillId="16" fontId="13" numFmtId="0" xfId="0" applyFont="1"/>
    <xf borderId="0" fillId="16" fontId="49" numFmtId="0" xfId="0" applyFont="1"/>
    <xf borderId="0" fillId="16" fontId="13" numFmtId="3" xfId="0" applyFont="1" applyNumberFormat="1"/>
    <xf borderId="0" fillId="16" fontId="13" numFmtId="172" xfId="0" applyAlignment="1" applyFont="1" applyNumberFormat="1">
      <alignment readingOrder="0"/>
    </xf>
    <xf borderId="0" fillId="17" fontId="13" numFmtId="0" xfId="0" applyAlignment="1" applyFill="1" applyFont="1">
      <alignment readingOrder="0"/>
    </xf>
    <xf borderId="0" fillId="17" fontId="59" numFmtId="0" xfId="0" applyAlignment="1" applyFont="1">
      <alignment horizontal="left" readingOrder="0" shrinkToFit="0" wrapText="0"/>
    </xf>
    <xf borderId="0" fillId="17" fontId="0" numFmtId="171" xfId="0" applyAlignment="1" applyFont="1" applyNumberFormat="1">
      <alignment horizontal="left" readingOrder="0"/>
    </xf>
    <xf borderId="0" fillId="17" fontId="0" numFmtId="0" xfId="0" applyAlignment="1" applyFont="1">
      <alignment horizontal="left" readingOrder="0"/>
    </xf>
    <xf borderId="0" fillId="17" fontId="13" numFmtId="0" xfId="0" applyFont="1"/>
    <xf borderId="0" fillId="17" fontId="49" numFmtId="0" xfId="0" applyFont="1"/>
    <xf borderId="0" fillId="17" fontId="13" numFmtId="3" xfId="0" applyFont="1" applyNumberFormat="1"/>
    <xf borderId="0" fillId="17" fontId="13" numFmtId="172" xfId="0" applyAlignment="1" applyFont="1" applyNumberFormat="1">
      <alignment readingOrder="0"/>
    </xf>
    <xf borderId="0" fillId="12" fontId="13" numFmtId="172" xfId="0" applyAlignment="1" applyFont="1" applyNumberFormat="1">
      <alignment readingOrder="0"/>
    </xf>
    <xf borderId="0" fillId="5" fontId="0" numFmtId="171" xfId="0" applyAlignment="1" applyFont="1" applyNumberFormat="1">
      <alignment horizontal="left" readingOrder="0"/>
    </xf>
    <xf borderId="0" fillId="5" fontId="0" numFmtId="0" xfId="0" applyAlignment="1" applyFont="1">
      <alignment horizontal="left" readingOrder="0"/>
    </xf>
    <xf borderId="0" fillId="5" fontId="60" numFmtId="0" xfId="0" applyAlignment="1" applyFont="1">
      <alignment horizontal="left" readingOrder="0" shrinkToFit="0" wrapText="0"/>
    </xf>
    <xf borderId="0" fillId="0" fontId="0" numFmtId="173" xfId="0" applyAlignment="1" applyFont="1" applyNumberFormat="1">
      <alignment horizontal="left" readingOrder="0"/>
    </xf>
    <xf borderId="0" fillId="5" fontId="61" numFmtId="0" xfId="0" applyAlignment="1" applyFont="1">
      <alignment shrinkToFit="0" vertical="bottom" wrapText="0"/>
    </xf>
    <xf borderId="0" fillId="5" fontId="62" numFmtId="0" xfId="0" applyAlignment="1" applyFont="1">
      <alignment readingOrder="0" shrinkToFit="0" vertical="bottom" wrapText="0"/>
    </xf>
    <xf borderId="0" fillId="5" fontId="0" numFmtId="174" xfId="0" applyAlignment="1" applyFont="1" applyNumberFormat="1">
      <alignment horizontal="left" vertical="bottom"/>
    </xf>
    <xf borderId="0" fillId="5" fontId="63" numFmtId="0" xfId="0" applyAlignment="1" applyFont="1">
      <alignment shrinkToFit="0" wrapText="0"/>
    </xf>
    <xf borderId="0" fillId="5" fontId="0" numFmtId="174" xfId="0" applyAlignment="1" applyFont="1" applyNumberFormat="1">
      <alignment horizontal="left" shrinkToFit="0" wrapText="1"/>
    </xf>
    <xf borderId="0" fillId="0" fontId="64" numFmtId="0" xfId="0" applyAlignment="1" applyFont="1">
      <alignment vertical="bottom"/>
    </xf>
    <xf borderId="0" fillId="0" fontId="0" numFmtId="174" xfId="0" applyAlignment="1" applyFont="1" applyNumberFormat="1">
      <alignment horizontal="left" vertical="bottom"/>
    </xf>
    <xf borderId="0" fillId="0" fontId="0" numFmtId="174" xfId="0" applyAlignment="1" applyFont="1" applyNumberFormat="1">
      <alignment horizontal="left" readingOrder="0"/>
    </xf>
    <xf borderId="0" fillId="0" fontId="65" numFmtId="0" xfId="0" applyAlignment="1" applyFont="1">
      <alignment horizontal="left" readingOrder="0" shrinkToFit="0" wrapText="0"/>
    </xf>
    <xf borderId="0" fillId="5" fontId="66" numFmtId="0" xfId="0" applyFont="1"/>
    <xf borderId="0" fillId="5" fontId="0" numFmtId="174" xfId="0" applyAlignment="1" applyFont="1" applyNumberFormat="1">
      <alignment horizontal="left" readingOrder="0" shrinkToFit="0" wrapText="1"/>
    </xf>
    <xf borderId="0" fillId="5" fontId="67" numFmtId="0" xfId="0" applyAlignment="1" applyFont="1">
      <alignment readingOrder="0" shrinkToFit="0" wrapText="0"/>
    </xf>
    <xf borderId="0" fillId="0" fontId="0" numFmtId="174" xfId="0" applyAlignment="1" applyFont="1" applyNumberFormat="1">
      <alignment horizontal="left"/>
    </xf>
    <xf borderId="0" fillId="0" fontId="68" numFmtId="0" xfId="0" applyAlignment="1" applyFont="1">
      <alignment readingOrder="0" vertical="bottom"/>
    </xf>
    <xf borderId="0" fillId="5" fontId="13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readingOrder="0" shrinkToFit="0" wrapText="1"/>
    </xf>
    <xf borderId="0" fillId="18" fontId="13" numFmtId="0" xfId="0" applyAlignment="1" applyFill="1" applyFont="1">
      <alignment readingOrder="0"/>
    </xf>
    <xf borderId="0" fillId="18" fontId="69" numFmtId="0" xfId="0" applyAlignment="1" applyFont="1">
      <alignment horizontal="left" readingOrder="0" shrinkToFit="0" wrapText="0"/>
    </xf>
    <xf borderId="0" fillId="18" fontId="0" numFmtId="171" xfId="0" applyAlignment="1" applyFont="1" applyNumberFormat="1">
      <alignment horizontal="left" readingOrder="0"/>
    </xf>
    <xf borderId="0" fillId="18" fontId="0" numFmtId="0" xfId="0" applyAlignment="1" applyFont="1">
      <alignment horizontal="left" readingOrder="0"/>
    </xf>
    <xf borderId="0" fillId="18" fontId="13" numFmtId="0" xfId="0" applyFont="1"/>
    <xf borderId="0" fillId="18" fontId="49" numFmtId="0" xfId="0" applyFont="1"/>
    <xf borderId="0" fillId="18" fontId="13" numFmtId="3" xfId="0" applyFont="1" applyNumberFormat="1"/>
    <xf borderId="0" fillId="18" fontId="13" numFmtId="172" xfId="0" applyAlignment="1" applyFont="1" applyNumberFormat="1">
      <alignment readingOrder="0"/>
    </xf>
    <xf borderId="0" fillId="18" fontId="0" numFmtId="0" xfId="0" applyAlignment="1" applyFont="1">
      <alignment readingOrder="0"/>
    </xf>
    <xf borderId="0" fillId="18" fontId="70" numFmtId="0" xfId="0" applyAlignment="1" applyFont="1">
      <alignment horizontal="left" readingOrder="0" shrinkToFit="0" wrapText="0"/>
    </xf>
    <xf borderId="0" fillId="18" fontId="0" numFmtId="0" xfId="0" applyFont="1"/>
    <xf borderId="0" fillId="18" fontId="71" numFmtId="0" xfId="0" applyFont="1"/>
    <xf borderId="0" fillId="18" fontId="0" numFmtId="3" xfId="0" applyFont="1" applyNumberFormat="1"/>
    <xf borderId="0" fillId="18" fontId="0" numFmtId="172" xfId="0" applyAlignment="1" applyFont="1" applyNumberFormat="1">
      <alignment readingOrder="0"/>
    </xf>
    <xf borderId="0" fillId="0" fontId="49" numFmtId="172" xfId="0" applyFont="1" applyNumberFormat="1"/>
    <xf borderId="0" fillId="0" fontId="13" numFmtId="0" xfId="0" applyAlignment="1" applyFont="1">
      <alignment vertical="bottom"/>
    </xf>
    <xf borderId="0" fillId="0" fontId="72" numFmtId="0" xfId="0" applyAlignment="1" applyFont="1">
      <alignment shrinkToFit="0" vertical="bottom" wrapText="0"/>
    </xf>
    <xf borderId="0" fillId="0" fontId="0" numFmtId="171" xfId="0" applyAlignment="1" applyFont="1" applyNumberFormat="1">
      <alignment horizontal="left" vertical="bottom"/>
    </xf>
    <xf borderId="0" fillId="0" fontId="0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0" fontId="73" numFmtId="0" xfId="0" applyAlignment="1" applyFont="1">
      <alignment horizontal="right" vertical="bottom"/>
    </xf>
    <xf borderId="0" fillId="0" fontId="13" numFmtId="3" xfId="0" applyAlignment="1" applyFont="1" applyNumberFormat="1">
      <alignment horizontal="right" vertical="bottom"/>
    </xf>
    <xf borderId="0" fillId="0" fontId="73" numFmtId="172" xfId="0" applyAlignment="1" applyFont="1" applyNumberFormat="1">
      <alignment horizontal="right" vertical="bottom"/>
    </xf>
    <xf borderId="0" fillId="0" fontId="73" numFmtId="0" xfId="0" applyAlignment="1" applyFont="1">
      <alignment vertical="bottom"/>
    </xf>
    <xf borderId="0" fillId="0" fontId="13" numFmtId="3" xfId="0" applyAlignment="1" applyFont="1" applyNumberFormat="1">
      <alignment vertical="bottom"/>
    </xf>
    <xf borderId="0" fillId="13" fontId="10" numFmtId="0" xfId="0" applyAlignment="1" applyFont="1">
      <alignment readingOrder="0"/>
    </xf>
    <xf borderId="0" fillId="13" fontId="3" numFmtId="0" xfId="0" applyAlignment="1" applyFont="1">
      <alignment readingOrder="0"/>
    </xf>
    <xf borderId="0" fillId="13" fontId="10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74" numFmtId="0" xfId="0" applyAlignment="1" applyFont="1">
      <alignment readingOrder="0" shrinkToFit="0" wrapText="0"/>
    </xf>
    <xf borderId="0" fillId="0" fontId="3" numFmtId="3" xfId="0" applyAlignment="1" applyFont="1" applyNumberFormat="1">
      <alignment readingOrder="0"/>
    </xf>
    <xf borderId="0" fillId="0" fontId="75" numFmtId="0" xfId="0" applyAlignment="1" applyFont="1">
      <alignment horizontal="left" readingOrder="0" shrinkToFit="0" wrapText="0"/>
    </xf>
    <xf borderId="0" fillId="0" fontId="76" numFmtId="0" xfId="0" applyAlignment="1" applyFont="1">
      <alignment horizontal="left" readingOrder="0" shrinkToFit="0" wrapText="0"/>
    </xf>
    <xf borderId="0" fillId="0" fontId="77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5" fontId="78" numFmtId="0" xfId="0" applyFont="1"/>
    <xf borderId="0" fillId="0" fontId="10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0"/>
    </xf>
    <xf borderId="0" fillId="0" fontId="79" numFmtId="0" xfId="0" applyAlignment="1" applyFont="1">
      <alignment horizontal="center" readingOrder="0" vertical="top"/>
    </xf>
    <xf borderId="0" fillId="0" fontId="80" numFmtId="0" xfId="0" applyAlignment="1" applyFont="1">
      <alignment horizontal="left" vertical="top"/>
    </xf>
    <xf borderId="0" fillId="0" fontId="80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80" numFmtId="3" xfId="0" applyAlignment="1" applyFont="1" applyNumberFormat="1">
      <alignment horizontal="left" readingOrder="0" vertical="top"/>
    </xf>
    <xf borderId="0" fillId="0" fontId="81" numFmtId="3" xfId="0" applyAlignment="1" applyFont="1" applyNumberFormat="1">
      <alignment horizontal="right" vertical="top"/>
    </xf>
    <xf borderId="1" fillId="8" fontId="79" numFmtId="0" xfId="0" applyAlignment="1" applyBorder="1" applyFont="1">
      <alignment horizontal="left" readingOrder="0" shrinkToFit="0" vertical="top" wrapText="1"/>
    </xf>
    <xf borderId="1" fillId="2" fontId="79" numFmtId="0" xfId="0" applyAlignment="1" applyBorder="1" applyFont="1">
      <alignment horizontal="right" readingOrder="0" shrinkToFit="0" vertical="top" wrapText="1"/>
    </xf>
    <xf borderId="1" fillId="5" fontId="79" numFmtId="0" xfId="0" applyAlignment="1" applyBorder="1" applyFont="1">
      <alignment horizontal="left" readingOrder="0" shrinkToFit="0" vertical="top" wrapText="1"/>
    </xf>
    <xf borderId="0" fillId="0" fontId="80" numFmtId="0" xfId="0" applyAlignment="1" applyFont="1">
      <alignment horizontal="left" shrinkToFit="0" vertical="top" wrapText="1"/>
    </xf>
    <xf borderId="1" fillId="0" fontId="80" numFmtId="0" xfId="0" applyAlignment="1" applyBorder="1" applyFont="1">
      <alignment horizontal="left"/>
    </xf>
    <xf borderId="1" fillId="5" fontId="82" numFmtId="0" xfId="0" applyAlignment="1" applyBorder="1" applyFont="1">
      <alignment horizontal="left"/>
    </xf>
    <xf borderId="1" fillId="5" fontId="82" numFmtId="3" xfId="0" applyAlignment="1" applyBorder="1" applyFont="1" applyNumberFormat="1">
      <alignment horizontal="left"/>
    </xf>
    <xf borderId="1" fillId="0" fontId="80" numFmtId="3" xfId="0" applyAlignment="1" applyBorder="1" applyFont="1" applyNumberFormat="1">
      <alignment horizontal="left"/>
    </xf>
    <xf borderId="0" fillId="0" fontId="80" numFmtId="0" xfId="0" applyAlignment="1" applyFont="1">
      <alignment horizontal="left" readingOrder="0"/>
    </xf>
    <xf borderId="0" fillId="0" fontId="80" numFmtId="0" xfId="0" applyAlignment="1" applyFont="1">
      <alignment horizontal="left"/>
    </xf>
    <xf borderId="1" fillId="0" fontId="80" numFmtId="0" xfId="0" applyAlignment="1" applyBorder="1" applyFont="1">
      <alignment horizontal="left" readingOrder="0" vertical="top"/>
    </xf>
    <xf borderId="1" fillId="0" fontId="80" numFmtId="0" xfId="0" applyAlignment="1" applyBorder="1" applyFont="1">
      <alignment horizontal="left" vertical="top"/>
    </xf>
    <xf borderId="1" fillId="5" fontId="82" numFmtId="0" xfId="0" applyAlignment="1" applyBorder="1" applyFont="1">
      <alignment horizontal="left" vertical="top"/>
    </xf>
    <xf borderId="1" fillId="5" fontId="82" numFmtId="3" xfId="0" applyAlignment="1" applyBorder="1" applyFont="1" applyNumberFormat="1">
      <alignment horizontal="left" vertical="top"/>
    </xf>
    <xf borderId="1" fillId="0" fontId="80" numFmtId="3" xfId="0" applyAlignment="1" applyBorder="1" applyFont="1" applyNumberFormat="1">
      <alignment horizontal="left" vertical="top"/>
    </xf>
    <xf borderId="1" fillId="0" fontId="80" numFmtId="3" xfId="0" applyAlignment="1" applyBorder="1" applyFont="1" applyNumberFormat="1">
      <alignment horizontal="right" vertical="top"/>
    </xf>
    <xf borderId="1" fillId="0" fontId="80" numFmtId="3" xfId="0" applyAlignment="1" applyBorder="1" applyFont="1" applyNumberFormat="1">
      <alignment horizontal="right"/>
    </xf>
    <xf borderId="0" fillId="13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wrapText="0"/>
    </xf>
    <xf borderId="0" fillId="0" fontId="7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15" fontId="3" numFmtId="0" xfId="0" applyAlignment="1" applyFont="1">
      <alignment horizontal="center" readingOrder="0"/>
    </xf>
    <xf borderId="0" fillId="15" fontId="3" numFmtId="3" xfId="0" applyAlignment="1" applyFont="1" applyNumberFormat="1">
      <alignment horizontal="center" readingOrder="0"/>
    </xf>
    <xf borderId="0" fillId="0" fontId="3" numFmtId="172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13" fontId="2" numFmtId="0" xfId="0" applyAlignment="1" applyFont="1">
      <alignment readingOrder="0"/>
    </xf>
    <xf borderId="0" fillId="13" fontId="2" numFmtId="0" xfId="0" applyAlignment="1" applyFont="1">
      <alignment horizontal="left" readingOrder="0" shrinkToFit="0" wrapText="0"/>
    </xf>
    <xf borderId="0" fillId="13" fontId="8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13" fontId="2" numFmtId="0" xfId="0" applyAlignment="1" applyFont="1">
      <alignment horizontal="center" readingOrder="0" shrinkToFit="0" wrapText="1"/>
    </xf>
    <xf borderId="0" fillId="0" fontId="2" numFmtId="3" xfId="0" applyAlignment="1" applyFont="1" applyNumberFormat="1">
      <alignment horizontal="center" readingOrder="0"/>
    </xf>
    <xf borderId="0" fillId="13" fontId="2" numFmtId="172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5" fontId="84" numFmtId="0" xfId="0" applyAlignment="1" applyFont="1">
      <alignment horizontal="left" readingOrder="0" shrinkToFit="0" wrapText="0"/>
    </xf>
    <xf borderId="0" fillId="5" fontId="7" numFmtId="0" xfId="0" applyAlignment="1" applyFont="1">
      <alignment horizontal="left" readingOrder="0" shrinkToFit="0" wrapText="1"/>
    </xf>
    <xf borderId="0" fillId="3" fontId="2" numFmtId="3" xfId="0" applyFont="1" applyNumberFormat="1"/>
    <xf borderId="0" fillId="0" fontId="2" numFmtId="3" xfId="0" applyFont="1" applyNumberFormat="1"/>
    <xf borderId="0" fillId="3" fontId="2" numFmtId="172" xfId="0" applyFont="1" applyNumberFormat="1"/>
    <xf borderId="0" fillId="5" fontId="7" numFmtId="171" xfId="0" applyAlignment="1" applyFont="1" applyNumberFormat="1">
      <alignment horizontal="left" readingOrder="0" shrinkToFit="0" wrapText="1"/>
    </xf>
    <xf borderId="0" fillId="0" fontId="3" numFmtId="172" xfId="0" applyAlignment="1" applyFont="1" applyNumberFormat="1">
      <alignment readingOrder="0"/>
    </xf>
    <xf borderId="0" fillId="0" fontId="7" numFmtId="171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171" xfId="0" applyAlignment="1" applyFont="1" applyNumberForma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5" fontId="85" numFmtId="0" xfId="0" applyAlignment="1" applyFont="1">
      <alignment horizontal="left" readingOrder="0" shrinkToFit="0" wrapText="0"/>
    </xf>
    <xf borderId="0" fillId="5" fontId="7" numFmtId="0" xfId="0" applyAlignment="1" applyFont="1">
      <alignment horizontal="left" readingOrder="0"/>
    </xf>
    <xf borderId="0" fillId="5" fontId="3" numFmtId="3" xfId="0" applyFont="1" applyNumberFormat="1"/>
    <xf borderId="0" fillId="5" fontId="3" numFmtId="0" xfId="0" applyAlignment="1" applyFont="1">
      <alignment horizontal="right" readingOrder="0"/>
    </xf>
    <xf borderId="0" fillId="0" fontId="10" numFmtId="172" xfId="0" applyAlignment="1" applyFont="1" applyNumberFormat="1">
      <alignment readingOrder="0"/>
    </xf>
    <xf borderId="0" fillId="12" fontId="3" numFmtId="0" xfId="0" applyAlignment="1" applyFont="1">
      <alignment horizontal="right" readingOrder="0"/>
    </xf>
    <xf borderId="0" fillId="12" fontId="3" numFmtId="0" xfId="0" applyAlignment="1" applyFont="1">
      <alignment horizontal="left" readingOrder="0"/>
    </xf>
    <xf borderId="0" fillId="12" fontId="3" numFmtId="0" xfId="0" applyAlignment="1" applyFont="1">
      <alignment readingOrder="0"/>
    </xf>
    <xf borderId="0" fillId="12" fontId="86" numFmtId="0" xfId="0" applyAlignment="1" applyFont="1">
      <alignment horizontal="left" readingOrder="0" shrinkToFit="0" wrapText="0"/>
    </xf>
    <xf borderId="0" fillId="12" fontId="7" numFmtId="171" xfId="0" applyAlignment="1" applyFont="1" applyNumberFormat="1">
      <alignment horizontal="left" readingOrder="0"/>
    </xf>
    <xf borderId="0" fillId="12" fontId="7" numFmtId="0" xfId="0" applyAlignment="1" applyFont="1">
      <alignment horizontal="left" readingOrder="0"/>
    </xf>
    <xf borderId="0" fillId="12" fontId="3" numFmtId="3" xfId="0" applyFont="1" applyNumberFormat="1"/>
    <xf borderId="0" fillId="0" fontId="7" numFmtId="171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171" xfId="0" applyAlignment="1" applyFont="1" applyNumberForma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5" fontId="3" numFmtId="172" xfId="0" applyAlignment="1" applyFont="1" applyNumberFormat="1">
      <alignment readingOrder="0"/>
    </xf>
    <xf borderId="0" fillId="2" fontId="3" numFmtId="0" xfId="0" applyFont="1"/>
    <xf borderId="0" fillId="2" fontId="87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/>
    </xf>
    <xf borderId="0" fillId="2" fontId="3" numFmtId="3" xfId="0" applyFont="1" applyNumberFormat="1"/>
    <xf borderId="0" fillId="5" fontId="7" numFmtId="171" xfId="0" applyAlignment="1" applyFont="1" applyNumberFormat="1">
      <alignment horizontal="left" readingOrder="0"/>
    </xf>
    <xf borderId="0" fillId="12" fontId="3" numFmtId="172" xfId="0" applyAlignment="1" applyFont="1" applyNumberFormat="1">
      <alignment readingOrder="0"/>
    </xf>
    <xf borderId="0" fillId="5" fontId="7" numFmtId="171" xfId="0" applyAlignment="1" applyFont="1" applyNumberFormat="1">
      <alignment horizontal="left" readingOrder="0"/>
    </xf>
    <xf borderId="0" fillId="5" fontId="7" numFmtId="0" xfId="0" applyAlignment="1" applyFont="1">
      <alignment horizontal="left" readingOrder="0"/>
    </xf>
    <xf borderId="0" fillId="5" fontId="88" numFmtId="0" xfId="0" applyAlignment="1" applyFont="1">
      <alignment horizontal="left" readingOrder="0" shrinkToFit="0" wrapText="0"/>
    </xf>
    <xf borderId="0" fillId="0" fontId="7" numFmtId="173" xfId="0" applyAlignment="1" applyFont="1" applyNumberFormat="1">
      <alignment horizontal="left" readingOrder="0"/>
    </xf>
    <xf borderId="0" fillId="5" fontId="89" numFmtId="0" xfId="0" applyAlignment="1" applyFont="1">
      <alignment shrinkToFit="0" vertical="bottom" wrapText="0"/>
    </xf>
    <xf borderId="0" fillId="5" fontId="90" numFmtId="0" xfId="0" applyAlignment="1" applyFont="1">
      <alignment readingOrder="0" shrinkToFit="0" vertical="bottom" wrapText="0"/>
    </xf>
    <xf borderId="0" fillId="5" fontId="91" numFmtId="0" xfId="0" applyAlignment="1" applyFont="1">
      <alignment shrinkToFit="0" vertical="bottom" wrapText="0"/>
    </xf>
    <xf borderId="0" fillId="5" fontId="28" numFmtId="173" xfId="0" applyAlignment="1" applyFont="1" applyNumberFormat="1">
      <alignment horizontal="right" vertical="bottom"/>
    </xf>
    <xf borderId="0" fillId="5" fontId="92" numFmtId="0" xfId="0" applyAlignment="1" applyFont="1">
      <alignment shrinkToFit="0" wrapText="0"/>
    </xf>
    <xf borderId="0" fillId="5" fontId="28" numFmtId="175" xfId="0" applyAlignment="1" applyFont="1" applyNumberFormat="1">
      <alignment shrinkToFit="0" wrapText="1"/>
    </xf>
    <xf borderId="0" fillId="5" fontId="28" numFmtId="173" xfId="0" applyAlignment="1" applyFont="1" applyNumberFormat="1">
      <alignment shrinkToFit="0" wrapText="1"/>
    </xf>
    <xf borderId="0" fillId="0" fontId="93" numFmtId="0" xfId="0" applyAlignment="1" applyFont="1">
      <alignment vertical="bottom"/>
    </xf>
    <xf borderId="0" fillId="0" fontId="7" numFmtId="173" xfId="0" applyAlignment="1" applyFont="1" applyNumberFormat="1">
      <alignment horizontal="right" vertical="bottom"/>
    </xf>
    <xf borderId="0" fillId="0" fontId="94" numFmtId="0" xfId="0" applyAlignment="1" applyFont="1">
      <alignment horizontal="left" readingOrder="0" shrinkToFit="0" wrapText="0"/>
    </xf>
    <xf borderId="0" fillId="5" fontId="95" numFmtId="0" xfId="0" applyFont="1"/>
    <xf borderId="0" fillId="5" fontId="28" numFmtId="173" xfId="0" applyAlignment="1" applyFont="1" applyNumberFormat="1">
      <alignment readingOrder="0" shrinkToFit="0" wrapText="1"/>
    </xf>
    <xf borderId="0" fillId="5" fontId="96" numFmtId="0" xfId="0" applyAlignment="1" applyFont="1">
      <alignment readingOrder="0" shrinkToFit="0" wrapText="0"/>
    </xf>
    <xf borderId="0" fillId="5" fontId="97" numFmtId="0" xfId="0" applyFont="1"/>
    <xf borderId="0" fillId="5" fontId="7" numFmtId="173" xfId="0" applyAlignment="1" applyFont="1" applyNumberFormat="1">
      <alignment shrinkToFit="0" wrapText="1"/>
    </xf>
    <xf borderId="0" fillId="0" fontId="98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14" fontId="10" numFmtId="172" xfId="0" applyAlignment="1" applyFont="1" applyNumberFormat="1">
      <alignment readingOrder="0"/>
    </xf>
    <xf borderId="0" fillId="14" fontId="3" numFmtId="172" xfId="0" applyAlignment="1" applyFont="1" applyNumberFormat="1">
      <alignment readingOrder="0"/>
    </xf>
    <xf borderId="0" fillId="0" fontId="3" numFmtId="172" xfId="0" applyFont="1" applyNumberFormat="1"/>
    <xf borderId="0" fillId="0" fontId="99" numFmtId="3" xfId="0" applyFont="1" applyNumberFormat="1"/>
    <xf borderId="0" fillId="0" fontId="99" numFmtId="3" xfId="0" applyAlignment="1" applyFont="1" applyNumberFormat="1">
      <alignment shrinkToFit="0" wrapText="1"/>
    </xf>
    <xf borderId="0" fillId="0" fontId="100" numFmtId="3" xfId="0" applyAlignment="1" applyFont="1" applyNumberFormat="1">
      <alignment readingOrder="0"/>
    </xf>
    <xf borderId="1" fillId="13" fontId="99" numFmtId="3" xfId="0" applyAlignment="1" applyBorder="1" applyFont="1" applyNumberFormat="1">
      <alignment readingOrder="0"/>
    </xf>
    <xf borderId="1" fillId="0" fontId="100" numFmtId="3" xfId="0" applyAlignment="1" applyBorder="1" applyFont="1" applyNumberFormat="1">
      <alignment readingOrder="0"/>
    </xf>
    <xf borderId="1" fillId="0" fontId="99" numFmtId="3" xfId="0" applyAlignment="1" applyBorder="1" applyFont="1" applyNumberFormat="1">
      <alignment readingOrder="0"/>
    </xf>
    <xf borderId="1" fillId="0" fontId="101" numFmtId="9" xfId="0" applyBorder="1" applyFont="1" applyNumberFormat="1"/>
    <xf borderId="1" fillId="0" fontId="101" numFmtId="3" xfId="0" applyBorder="1" applyFont="1" applyNumberFormat="1"/>
    <xf borderId="0" fillId="0" fontId="100" numFmtId="3" xfId="0" applyFont="1" applyNumberFormat="1"/>
    <xf borderId="0" fillId="0" fontId="99" numFmtId="3" xfId="0" applyAlignment="1" applyFont="1" applyNumberFormat="1">
      <alignment readingOrder="0"/>
    </xf>
    <xf borderId="1" fillId="13" fontId="100" numFmtId="3" xfId="0" applyAlignment="1" applyBorder="1" applyFont="1" applyNumberFormat="1">
      <alignment horizontal="right" readingOrder="0"/>
    </xf>
    <xf borderId="1" fillId="13" fontId="100" numFmtId="3" xfId="0" applyAlignment="1" applyBorder="1" applyFont="1" applyNumberFormat="1">
      <alignment readingOrder="0"/>
    </xf>
    <xf borderId="1" fillId="13" fontId="100" numFmtId="0" xfId="0" applyAlignment="1" applyBorder="1" applyFont="1">
      <alignment readingOrder="0"/>
    </xf>
    <xf borderId="0" fillId="0" fontId="100" numFmtId="3" xfId="0" applyAlignment="1" applyFont="1" applyNumberFormat="1">
      <alignment readingOrder="0" shrinkToFit="0" wrapText="1"/>
    </xf>
    <xf borderId="1" fillId="0" fontId="99" numFmtId="0" xfId="0" applyAlignment="1" applyBorder="1" applyFont="1">
      <alignment readingOrder="0"/>
    </xf>
    <xf borderId="0" fillId="0" fontId="99" numFmtId="3" xfId="0" applyAlignment="1" applyFont="1" applyNumberForma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" TargetMode="External"/><Relationship Id="rId42" Type="http://schemas.openxmlformats.org/officeDocument/2006/relationships/hyperlink" Target="https://www.tiktok.com/@diemho2001/video/6985854256574172442?lang=vi-VN&amp;is_copy_url=0&amp;is_from_webapp=v1&amp;sender_device=pc&amp;sender_web_id=6982736742253446658" TargetMode="External"/><Relationship Id="rId41" Type="http://schemas.openxmlformats.org/officeDocument/2006/relationships/hyperlink" Target="https://www.facebook.com/phamoanh123123/posts/1431081510593491" TargetMode="External"/><Relationship Id="rId44" Type="http://schemas.openxmlformats.org/officeDocument/2006/relationships/hyperlink" Target="https://www.tiktok.com/@diemho2001/video/6986865973164887322?_d=secCgYIASAHKAESMgow9NJnTsj1sFLfv%2FND6tGFyVWNU4sRS1Ysgw6zbbs3%2FXQSp6nfjHKXZSear2%2BG7DQwGgA%3D&amp;checksum=fcd66aaad65073745e8bdc650f9b4df225dd157fc0b66091eea02573d7baf656&amp;language=vi&amp;mid=0&amp;preview_pb=0&amp;region=VN&amp;sec_user_id=MS4wLjABAAAAeUyqxr1lLghoR-BN_0fHPOJw_sBypPJQgRk-u3fD-jNvyGN7SgpJV_fqPKMSG6Nl&amp;share_app_id=1180&amp;share_item_id=6986865973164887322&amp;share_link_id=30E35354-5834-4BBE-815B-D9FD54DC332B&amp;source=h5_t&amp;timestamp=1626756519&amp;tt_from=copy&amp;u_code=dhj3d9i31j850i&amp;user_id=6943273166978712578&amp;utm_campaign=client_share&amp;utm_medium=ios&amp;utm_source=copy&amp;_r=1&amp;is_copy_url=0&amp;is_from_webapp=v1&amp;sender_device=pc&amp;sender_web_id=6983582057944237570" TargetMode="External"/><Relationship Id="rId43" Type="http://schemas.openxmlformats.org/officeDocument/2006/relationships/hyperlink" Target="https://www.tiktok.com/@diemho2001/video/6986142575874936090?lang=vi-VN&amp;is_copy_url=0&amp;is_from_webapp=v1&amp;sender_device=pc&amp;sender_web_id=6982736742253446658" TargetMode="External"/><Relationship Id="rId46" Type="http://schemas.openxmlformats.org/officeDocument/2006/relationships/hyperlink" Target="https://www.tiktok.com/@diemho2001/video/6987380795577077019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45" Type="http://schemas.openxmlformats.org/officeDocument/2006/relationships/hyperlink" Target="https://www.tiktok.com/@diemho2001/video/698735259099670453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07" Type="http://schemas.openxmlformats.org/officeDocument/2006/relationships/hyperlink" Target="https://www.facebook.com/100022227891749/posts/1003653740385546/" TargetMode="External"/><Relationship Id="rId106" Type="http://schemas.openxmlformats.org/officeDocument/2006/relationships/hyperlink" Target="https://www.facebook.com/100028527371304/videos/557859528559826" TargetMode="External"/><Relationship Id="rId105" Type="http://schemas.openxmlformats.org/officeDocument/2006/relationships/hyperlink" Target="https://www.facebook.com/tienanh.vu.334/videos/358632378979133" TargetMode="External"/><Relationship Id="rId104" Type="http://schemas.openxmlformats.org/officeDocument/2006/relationships/hyperlink" Target="https://www.facebook.com/100006045494111/videos/781616739195419" TargetMode="External"/><Relationship Id="rId109" Type="http://schemas.openxmlformats.org/officeDocument/2006/relationships/hyperlink" Target="https://www.tiktok.com/@toanprdsofficial?_" TargetMode="External"/><Relationship Id="rId108" Type="http://schemas.openxmlformats.org/officeDocument/2006/relationships/hyperlink" Target="https://www.tiktok.com/@bedangbae/video/6984029292141350170?is_copy_url=0&amp;is_from_webapp=v1&amp;sender_device=pc&amp;sender_web_id=6908929983101486593" TargetMode="External"/><Relationship Id="rId48" Type="http://schemas.openxmlformats.org/officeDocument/2006/relationships/hyperlink" Target="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7" Type="http://schemas.openxmlformats.org/officeDocument/2006/relationships/hyperlink" Target="https://www.tiktok.com/@ducvamy/video/6988410622690004251?lang=vi-VN&amp;is_copy_url=0&amp;is_from_webapp=v1&amp;sender_device=pc&amp;sender_web_id=6983582057944237570" TargetMode="External"/><Relationship Id="rId49" Type="http://schemas.openxmlformats.org/officeDocument/2006/relationships/hyperlink" Target="https://www.tiktok.com/@trangrung08/video/698613519547266178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3" Type="http://schemas.openxmlformats.org/officeDocument/2006/relationships/hyperlink" Target="https://www.instagram.com/p/CRqeQUYHT4r/?utm_medium=copy_link" TargetMode="External"/><Relationship Id="rId102" Type="http://schemas.openxmlformats.org/officeDocument/2006/relationships/hyperlink" Target="https://www.facebook.com/100061193164477/posts/210514170998354/" TargetMode="External"/><Relationship Id="rId101" Type="http://schemas.openxmlformats.org/officeDocument/2006/relationships/hyperlink" Target="https://www.facebook.com/100034376687766/videos/1011431982958642" TargetMode="External"/><Relationship Id="rId100" Type="http://schemas.openxmlformats.org/officeDocument/2006/relationships/hyperlink" Target="https://www.facebook.com/100004547253309/posts/1834003973427827/" TargetMode="External"/><Relationship Id="rId31" Type="http://schemas.openxmlformats.org/officeDocument/2006/relationships/hyperlink" Target="https://www.tiktok.com/@thokiwi98/video/6985501855975542042?_d=secCgYIASAHKAESMgowHiRbv8eLKwD%2BQnoG4m8EHitgHqDt86F53HC2UnAP6PJntUN4SNT%2FJLDP0cZeyr06GgA%3D&amp;checksum=36beed4c5d4240db22cf3edc8ef2588368eab64c615105924e2ab27abd5c73a1&amp;language=vi&amp;sec_uid=MS4wLjABAAAAJTc3KSMGA-khACplMn8imeBu2yBQMCJpURpEg5CLlfU&amp;sec_user_id=MS4wLjABAAAAJTc3KSMGA-khACplMn8imeBu2yBQMCJpURpEg5CLlfU&amp;share_app_id=1180&amp;share_author_id=66049450946&amp;share_link_id=0D1B8447-E5A7-4D81-8098-A1DC94D36D37&amp;tt_from=copy&amp;u_code=j93ll63c&amp;user_id=66049450946&amp;utm_campaign=client_share&amp;utm_medium=ios&amp;utm_source=copy&amp;source=h5_t&amp;_r=1&amp;is_copy_url=0&amp;is_from_webapp=v1&amp;sender_device=pc&amp;sender_web_id=6908929983101486593" TargetMode="External"/><Relationship Id="rId30" Type="http://schemas.openxmlformats.org/officeDocument/2006/relationships/hyperlink" Target="https://www.tiktok.com/@anhthuyet/video/6983641021737389338?lang=vi-VN&amp;is_copy_url=0&amp;is_from_webapp=v1&amp;sender_device=pc&amp;sender_web_id=6908929983101486593" TargetMode="External"/><Relationship Id="rId33" Type="http://schemas.openxmlformats.org/officeDocument/2006/relationships/hyperlink" Target="https://www.tiktok.com/@hth.1909/video/6987213734360010011?l=&amp;is_copy_url=0&amp;is_from_webapp=v1&amp;sender_device=pc&amp;sender_web_id=6908929983101486593" TargetMode="External"/><Relationship Id="rId32" Type="http://schemas.openxmlformats.org/officeDocument/2006/relationships/hyperlink" Target="https://www.tiktok.com/@moe1m77/video/6986165765447666971?_d=secCgYIASAHKAESMgowTxc5YNl78PPbPUA2qNwg1wewUvk5tzuHRprg1%2F0zb6DMFF2jJiN2Soj1vBr9VOfsGgA%3D&amp;checksum=3e6a71e50c865fbfdbb0b8418ca71de83e992295edf7815248dfae2d94b7f121&amp;language=vi&amp;mid=6965744857210047233&amp;preview_pb=0&amp;region=VN&amp;sec_user_id=MS4wLjABAAAA81gWzsQFklmyLoFrbaztSVBg0L5gJ42NwvzalWlU7aLKZTswJMJt-4JFK0OJpg_e&amp;share_app_id=1180&amp;share_item_id=6986165765447666971&amp;share_link_id=F4D77640-32B2-4BE5-BBFC-41B6C572355E&amp;source=h5_t&amp;timestamp=1626601847&amp;tt_from=copy&amp;u_code=d568f720f2f4h2&amp;user_id=6668121670345129985&amp;utm_campaign=client_share&amp;utm_medium=ios&amp;utm_source=copy&amp;_r=1&amp;is_copy_url=0&amp;is_from_webapp=v1&amp;sender_device=pc&amp;sender_web_id=6908929983101486593" TargetMode="External"/><Relationship Id="rId35" Type="http://schemas.openxmlformats.org/officeDocument/2006/relationships/hyperlink" Target="https://www.tiktok.com/@sunflizme/video/6986652181176831259?_d=secCgYIASAHKAESMgowpueaxnGYpa%2BBQarszjJ21jLRu8BPv3jtS7FIHXcGyDZQbkOmwK4IwdtxtUy5%2B%2F90GgA%3D&amp;checksum=c95279da84cb35ea6a7c08be092aa65b70ddce02a596c28eec8d230bf0026797&amp;language=vi&amp;mid=6986652167268567835&amp;preview_pb=0&amp;region=VN&amp;sec_user_id=MS4wLjABAAAA_7Qd1g5GTuF1Q376HGjNDL7HZIiPQniGA9zTAikABBmk5w4f9CyEPbxILEBKdMi-&amp;share_app_id=1180&amp;share_item_id=6986652181176831259&amp;share_link_id=862D5904-1568-4D8F-BE59-0DD40CD093E2&amp;source=h5_t&amp;timestamp=1627204585&amp;tt_from=copy&amp;u_code=d0f1b4hjljkh17&amp;user_id=6566826464812662785&amp;utm_campaign=client_share&amp;utm_medium=ios&amp;utm_source=copy&amp;_r=1&amp;is_copy_url=0&amp;is_from_webapp=v1&amp;sender_device=pc&amp;sender_web_id=6908929983101486593" TargetMode="External"/><Relationship Id="rId34" Type="http://schemas.openxmlformats.org/officeDocument/2006/relationships/hyperlink" Target="https://www.tiktok.com/@phun.anh/video/6985747312458976538?lang=vi-VN&amp;is_copy_url=0&amp;is_from_webapp=v1&amp;sender_device=pc&amp;sender_web_id=6908929983101486593" TargetMode="External"/><Relationship Id="rId37" Type="http://schemas.openxmlformats.org/officeDocument/2006/relationships/hyperlink" Target="https://www.tiktok.com/@behyblack/video/6985394076241661210?_d=secCgYIASAHKAESMgow%2FA%2FszchOjp2yf7BnmvZFr8A7x%2BmUZaUq1IchkrRAGzenAVkQENz7pmjFzIsE2s8XGgA%3D&amp;checksum=b473c9cd8350fe25c7439cbfe3bf6056e6338f85cf063faeb89e63297d3cf62e&amp;language=vi&amp;mid=6981680000911166234&amp;preview_pb=0&amp;region=VN&amp;sec_user_id=MS4wLjABAAAAXdzhdfP7wsW-4HwgkmUQ_f7rzSCx0E3JcmFiBNgMY_AWgpa3Wc-50ykKAujIsA_C&amp;share_app_id=1180&amp;share_item_id=6985394076241661210&amp;share_link_id=FFC7C8E8-6566-46A5-8A8C-07208371022B&amp;source=h5_t&amp;timestamp=1626414329&amp;tt_from=copy&amp;u_code=de89hlj7idh0j9&amp;user_id=6867305093860164610&amp;utm_campaign=client_share&amp;utm_medium=ios&amp;utm_source=copy&amp;_r=1&amp;is_copy_url=0&amp;is_from_webapp=v1&amp;sender_device=pc&amp;sender_web_id=6908929983101486593" TargetMode="External"/><Relationship Id="rId36" Type="http://schemas.openxmlformats.org/officeDocument/2006/relationships/hyperlink" Target="https://www.tiktok.com/@mango011101/video/6988452233641872666?" TargetMode="External"/><Relationship Id="rId39" Type="http://schemas.openxmlformats.org/officeDocument/2006/relationships/hyperlink" Target="https://www.instagram.com/p/CRrAiZdshb-/?utm_source=ig_web_copy_link" TargetMode="External"/><Relationship Id="rId38" Type="http://schemas.openxmlformats.org/officeDocument/2006/relationships/hyperlink" Target="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0" Type="http://schemas.openxmlformats.org/officeDocument/2006/relationships/hyperlink" Target="https://www.tiktok.com/@nhyyng/video/6987713962817228059?" TargetMode="External"/><Relationship Id="rId22" Type="http://schemas.openxmlformats.org/officeDocument/2006/relationships/hyperlink" Target="https://www.tiktok.com/@shoppingfamily_/video/6985609926110432538?_d=secCgYIASAHKAESMgowtYamxmZDIgnZU7XRWVqrS3RH%2FCIIMviGZRiBVLZV%2Fzbu9whn3sdHv9ggWXpTa%2FPaGgA%3D&amp;checksum=84c2a622fbdcbd4b2c979aacef25ab1075daa96ddceee0b0d7753c744c4e2ca4&amp;language=vi&amp;sec_uid=MS4wLjABAAAA1648Ocs_NEahtBlsFJzPF2ZMPiLaIIbON9uZHH2CGpiqEoqm7L3YDhVWoCX00FvU&amp;sec_user_id=MS4wLjABAAAA1648Ocs_NEahtBlsFJzPF2ZMPiLaIIbON9uZHH2CGpiqEoqm7L3YDhVWoCX00FvU&amp;share_app_id=1180&amp;share_author_id=6967232531502629890&amp;share_link_id=EE46C8C6-B7EF-4AF3-BE36-64017A05267B&amp;tt_from=copy&amp;u_code=dil6lf6m1km19l&amp;user_id=6967232531502629890&amp;utm_campaign=client_share&amp;utm_medium=ios&amp;utm_source=copy&amp;source=h5_t&amp;_r=1&amp;is_copy_url=0&amp;is_from_webapp=v1&amp;sender_device=pc&amp;sender_web_id=6908929983101486593" TargetMode="External"/><Relationship Id="rId21" Type="http://schemas.openxmlformats.org/officeDocument/2006/relationships/hyperlink" Target="https://www.tiktok.com/@thuyngann_16/video/6988304363961765146" TargetMode="External"/><Relationship Id="rId24" Type="http://schemas.openxmlformats.org/officeDocument/2006/relationships/hyperlink" Target="https://www.tiktok.com/@thianguyen2001/video/6984759162777439514?fbclid=IwAR2K88TH_6Pxwa31Ff96qvddJoh9dCU0fDhOpZGRrmFbW6yhW__kQWi3yLo&amp;is_copy_url=1&amp;is_from_webapp=v1" TargetMode="External"/><Relationship Id="rId23" Type="http://schemas.openxmlformats.org/officeDocument/2006/relationships/hyperlink" Target="https://www.facebook.com/100010053467105/posts/1588303668181400/?d=n" TargetMode="External"/><Relationship Id="rId26" Type="http://schemas.openxmlformats.org/officeDocument/2006/relationships/hyperlink" Target="https://www.tiktok.com/@mai_xuan_son/video/6985877587641896219?lang=vi-VN&amp;is_copy_url=0&amp;is_from_webapp=v1&amp;sender_device=pc&amp;sender_web_id=6908929983101486593" TargetMode="External"/><Relationship Id="rId25" Type="http://schemas.openxmlformats.org/officeDocument/2006/relationships/hyperlink" Target="https://www.tiktok.com/@qh.bland/video/6987723855364115739?" TargetMode="External"/><Relationship Id="rId28" Type="http://schemas.openxmlformats.org/officeDocument/2006/relationships/hyperlink" Target="https://www.tiktok.com/@soojin51296/video/6988474391059369243" TargetMode="External"/><Relationship Id="rId27" Type="http://schemas.openxmlformats.org/officeDocument/2006/relationships/hyperlink" Target="https://www.tiktok.com/@baongoc.1906/video/6985915344045083931?" TargetMode="External"/><Relationship Id="rId29" Type="http://schemas.openxmlformats.org/officeDocument/2006/relationships/hyperlink" Target="https://www.tiktok.com/@cu_bo32/video/6984019010870463771?lang=vi-VN&amp;is_copy_url=0&amp;is_from_webapp=v1&amp;sender_device=pc&amp;sender_web_id=6908929983101486593" TargetMode="External"/><Relationship Id="rId95" Type="http://schemas.openxmlformats.org/officeDocument/2006/relationships/hyperlink" Target="https://www.facebook.com/thanhhuyencp121/posts/2259366324202025" TargetMode="External"/><Relationship Id="rId94" Type="http://schemas.openxmlformats.org/officeDocument/2006/relationships/hyperlink" Target="https://www.tiktok.com/@10103anh/video/6988433610764324122?is_copy_url=0&amp;is_from_webapp=v1&amp;sender_device=pc&amp;sender_web_id=6983582057944237570" TargetMode="External"/><Relationship Id="rId97" Type="http://schemas.openxmlformats.org/officeDocument/2006/relationships/hyperlink" Target="https://www.facebook.com/luong.huyenkha/posts/994937047936105" TargetMode="External"/><Relationship Id="rId96" Type="http://schemas.openxmlformats.org/officeDocument/2006/relationships/hyperlink" Target="https://www.facebook.com/anhducdan/posts/3065189150436607" TargetMode="External"/><Relationship Id="rId11" Type="http://schemas.openxmlformats.org/officeDocument/2006/relationships/hyperlink" Target="https://www.tiktok.com/@meous99/video/6987701467926891802?_d=secCgYIASAHKAESMgoww4c%2F4jF8H47oo21JgKM9ReNS19gZkgLfCq%2FYUK1%2FDrr3am7%2F1c97Rw9xQgM8ft6UGgA%3D&amp;checksum=c5b52ac61858af11059a61501a13b5e168e1c376e8a0bc21ec1b7675536344cb&amp;language=vi&amp;sec_uid=MS4wLjABAAAAMkAV9tOe4fm3tzoewXXeJ-YJBCyK1shk9oUwiR_8oKo&amp;sec_user_id=MS4wLjABAAAALz8Zjdm7apkatzZUSaJFtX-sy5J3vYUABueGxmKIHIc&amp;share_app_id=1180&amp;share_author_id=66684589804&amp;share_link_id=2F0B2C05-F25F-49D1-9F21-BF93029F5F42&amp;tt_from=copy&amp;u_code=ja2k60kl&amp;user_id=66190585372&amp;utm_campaign=client_share&amp;utm_medium=ios&amp;utm_source=copy&amp;source=h5_t&amp;_r=1&amp;is_copy_url=1&amp;is_from_webapp=v1" TargetMode="External"/><Relationship Id="rId99" Type="http://schemas.openxmlformats.org/officeDocument/2006/relationships/hyperlink" Target="https://www.tiktok.com/@hoanglong86a/video/6987977038158187802?is_copy_url=0&amp;is_from_webapp=v1&amp;sender_device=pc&amp;sender_web_id=6908929983101486593" TargetMode="External"/><Relationship Id="rId10" Type="http://schemas.openxmlformats.org/officeDocument/2006/relationships/hyperlink" Target="https://www.tiktok.com/@letrunghoang/video/6988442276729015579?_d=secCgYIASAHKAESMgowOx68OTHxA4CZrxqs46V4vcHLvKEamFryQJmi%2Fzjlp0gOE3OQTjZ3L4w9Ta0PnSiUGgA%3D&amp;checksum=a3f419e6150936397358ea2957203f28eba78e7c3bfe301e21588d1e24e0b296&amp;language=vi&amp;sec_uid=MS4wLjABAAAAAv_Z_AYA4hWXZDTnK9nwYFFe5204aSJRtSRw4chlW7LAEp4gepfFSW8yGFxIwXF5&amp;sec_user_id=MS4wLjABAAAANJ4cBPMRXUZeMft-O1EOZkaZJE-jtz7DE3JEQMC6evd1fBVa6iIDTyu0mEBdj2GJ&amp;share_app_id=1180&amp;share_author_id=6507134431840698369&amp;share_link_id=A00206E0-D86F-4394-99F3-503D0FDF69C5&amp;tt_from=copy&amp;u_code=d0131i823m471l&amp;user_id=6553553032776220674&amp;utm_campaign=client_share&amp;utm_medium=ios&amp;utm_source=copy&amp;source=h5_t&amp;_r=1&amp;is_copy_url=1&amp;is_from_webapp=v1" TargetMode="External"/><Relationship Id="rId98" Type="http://schemas.openxmlformats.org/officeDocument/2006/relationships/hyperlink" Target="https://www.facebook.com/mushroom.cool88/posts/4240907052671021" TargetMode="External"/><Relationship Id="rId13" Type="http://schemas.openxmlformats.org/officeDocument/2006/relationships/hyperlink" Target="https://www.tiktok.com/@duchien118/video/6988762606756498714?_d=secCgYIASAHKAESMgowMJ0e%2FIZA0di8JlR3gxJaM8HSTYDaMKizfP%2FKgQBRn6Q0ZcfI40ABiE1MwZdAC7KrGgA%3D&amp;checksum=ee034f4f6cffe738039190afdbce267a4b62affcd70f35e162e7f68f5a2b3708&amp;language=vi&amp;sec_uid=MS4wLjABAAAAjMguOf26B88m9v0tK3wcapsUokIFCNWZqqOsiRfQ6dzRQ51ks9eu0uqu1oJJuZMK&amp;sec_user_id=MS4wLjABAAAALz8Zjdm7apkatzZUSaJFtX-sy5J3vYUABueGxmKIHIc&amp;share_app_id=1180&amp;share_author_id=6759214184482079746&amp;share_link_id=84A92DCE-9857-45E7-B506-C154626A8600&amp;tt_from=copy&amp;u_code=ja2k60kl&amp;user_id=66190585372&amp;utm_campaign=client_share&amp;utm_medium=ios&amp;utm_source=copy&amp;source=h5_t&amp;_r=1&amp;is_copy_url=1&amp;is_from_webapp=v1" TargetMode="External"/><Relationship Id="rId12" Type="http://schemas.openxmlformats.org/officeDocument/2006/relationships/hyperlink" Target="https://www.tiktok.com/@hoangtiendong/video/6988323926350892314?_d=secCgYIASAHKAESMgowK%2BY1KXOK2MkQHjMGN2XrgaKRB4uPJ2bMUFeEmE0hi8p%2FseVtsA42wHid%2Blv3pecFGgA%3D&amp;checksum=011d53393c36cfa71ce4276b1d9cced9d2bd2abac8e00d1fffafb9c526b6e58c&amp;language=vi&amp;sec_uid=MS4wLjABAAAAhBSEyQDfNGd9xNEGy906cxn-01a4Kx7_WJ1r9f8AhdI&amp;sec_user_id=MS4wLjABAAAANJ4cBPMRXUZeMft-O1EOZkaZJE-jtz7DE3JEQMC6evd1fBVa6iIDTyu0mEBdj2GJ&amp;share_app_id=1180&amp;share_author_id=64229914211&amp;share_link_id=162B7673-E743-4D00-8B58-D36411B935F0&amp;tt_from=copy&amp;u_code=d0131i823m471l&amp;user_id=6553553032776220674&amp;utm_campaign=client_share&amp;utm_medium=ios&amp;utm_source=copy&amp;source=h5_t&amp;_r=1&amp;is_copy_url=1&amp;is_from_webapp=v1" TargetMode="External"/><Relationship Id="rId91" Type="http://schemas.openxmlformats.org/officeDocument/2006/relationships/hyperlink" Target="https://www.facebook.com/100004254121912/posts/2036618319823286/?d=n" TargetMode="External"/><Relationship Id="rId90" Type="http://schemas.openxmlformats.org/officeDocument/2006/relationships/hyperlink" Target="https://www.facebook.com/thanh.duong.5220/videos/133547462228191" TargetMode="External"/><Relationship Id="rId93" Type="http://schemas.openxmlformats.org/officeDocument/2006/relationships/hyperlink" Target="https://www.facebook.com/thanhhuyen.bgvn/videos/338390987868753" TargetMode="External"/><Relationship Id="rId92" Type="http://schemas.openxmlformats.org/officeDocument/2006/relationships/hyperlink" Target="https://www.facebook.com/sakura.ha.vt/posts/3002325446670099" TargetMode="External"/><Relationship Id="rId15" Type="http://schemas.openxmlformats.org/officeDocument/2006/relationships/hyperlink" Target="https://www.facebook.com/100011773579602/posts/1295250114210762/?d=n" TargetMode="External"/><Relationship Id="rId110" Type="http://schemas.openxmlformats.org/officeDocument/2006/relationships/hyperlink" Target="https://www.facebook.com/100007162303421/posts/2947907982124583/" TargetMode="External"/><Relationship Id="rId14" Type="http://schemas.openxmlformats.org/officeDocument/2006/relationships/hyperlink" Target="https://www.tiktok.com/@xuanduong_0403/video/6988463245187222810?_d=secCgYIASAHKAESMgowXsGWyOBHAvVB0EYM349QWr1IQ4xAnptNkvTytlCiykK%2FX6jbFXE07o9grJ%2Be6nZOGgA%3D&amp;checksum=aeb968dca030c9f410db330b5a49a86cb493c9876a91759b9d87a53c09f63b16&amp;language=vi&amp;sec_uid=MS4wLjABAAAA6mKYOe1_ePGOOAPS6BbXUUIREnhY6H4qlFSXwoesCWpqmR36au4WPED1MsR4TLQL&amp;sec_user_id=MS4wLjABAAAANJ4cBPMRXUZeMft-O1EOZkaZJE-jtz7DE3JEQMC6evd1fBVa6iIDTyu0mEBdj2GJ&amp;share_app_id=1180&amp;share_author_id=6522678552285315073&amp;share_link_id=AC0F4C8A-57DF-4FF9-BB51-AC3567143A17&amp;tt_from=copy&amp;u_code=d0131i823m471l&amp;user_id=6553553032776220674&amp;utm_campaign=client_share&amp;utm_medium=ios&amp;utm_source=copy&amp;source=h5_t&amp;_r=1&amp;is_copy_url=1&amp;is_from_webapp=v1" TargetMode="External"/><Relationship Id="rId17" Type="http://schemas.openxmlformats.org/officeDocument/2006/relationships/hyperlink" Target="https://www.facebook.com/vuthiha89/posts/1956834161136593" TargetMode="External"/><Relationship Id="rId16" Type="http://schemas.openxmlformats.org/officeDocument/2006/relationships/hyperlink" Target="https://www.tiktok.com/@tuankiet.2000/video/6988459710299131162?is_copy_url=1&amp;is_from_webapp=v1" TargetMode="External"/><Relationship Id="rId19" Type="http://schemas.openxmlformats.org/officeDocument/2006/relationships/hyperlink" Target="https://www.facebook.com/nguyen.huyenthu.716/videos/2920449061508309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www.facebook.com/story.php?story_fbid=2107821152726732&amp;id=100004966026889" TargetMode="External"/><Relationship Id="rId113" Type="http://schemas.openxmlformats.org/officeDocument/2006/relationships/hyperlink" Target="https://www.tiktok.com/@minhthanglv/video/6988824990095363355?_d=secCgYIASAHKAESMgowFbPPgE32fhTz42Lq8K3RWe1tXvxGBZDuv7UI%2BiF%2BSf81FuFCgAeGU1QgbesUGRXHGgA%3D&amp;checksum=b97e5a703e7099273f44b3578221edbf0cc72916f8e9a63e14b0c4c4a6837e05&amp;language=vi&amp;mid=0&amp;preview_pb=0&amp;region=VN&amp;sec_user_id=MS4wLjABAAAAABekwvThZUGQbE5NijZsvDUhctuolhBhl4p5JjrhWV2rGi7c78umJCy7GLk5hHvI&amp;share_app_id=1180&amp;share_item_id=6988824990095363355&amp;share_link_id=E2F2EFC0-5BD3-4FA1-9D4A-FAE95C64A2B0&amp;source=h5_t&amp;timestamp=1627212689&amp;tt_from=copy&amp;u_code=cm3k9j600b480j&amp;user_id=6534262758954827777&amp;utm_campaign=client_share&amp;utm_medium=ios&amp;utm_source=copy&amp;_r=1&amp;is_copy_url=0&amp;is_from_webapp=v1&amp;sender_device=pc&amp;sender_web_id=6908929983101486593" TargetMode="External"/><Relationship Id="rId112" Type="http://schemas.openxmlformats.org/officeDocument/2006/relationships/hyperlink" Target="https://www.tiktok.com/@h21052001/video/6986880680403684635?is_copy_url=0&amp;is_from_webapp=v1&amp;sender_device=pc&amp;sender_web_id=6908929983101486593" TargetMode="External"/><Relationship Id="rId111" Type="http://schemas.openxmlformats.org/officeDocument/2006/relationships/hyperlink" Target="https://www.tiktok.com/@thinhnguyenart_official/video/6986805848148364570?is_copy_url=1&amp;is_from_webapp=v1" TargetMode="External"/><Relationship Id="rId84" Type="http://schemas.openxmlformats.org/officeDocument/2006/relationships/hyperlink" Target="https://www.facebook.com/Changchi.1604/videos/165010988924001" TargetMode="External"/><Relationship Id="rId83" Type="http://schemas.openxmlformats.org/officeDocument/2006/relationships/hyperlink" Target="https://m.facebook.com/story.php?story_fbid=1440472552996971&amp;id=100011027200400" TargetMode="External"/><Relationship Id="rId86" Type="http://schemas.openxmlformats.org/officeDocument/2006/relationships/hyperlink" Target="https://www.facebook.com/100005610043014/posts/1636713313192321/?d=n" TargetMode="External"/><Relationship Id="rId85" Type="http://schemas.openxmlformats.org/officeDocument/2006/relationships/hyperlink" Target="https://www.facebook.com/yen.ham.543/posts/3035758980040370" TargetMode="External"/><Relationship Id="rId88" Type="http://schemas.openxmlformats.org/officeDocument/2006/relationships/hyperlink" Target="https://m.facebook.com/story.php?story_fbid=2247410632062513&amp;id=100003807939102" TargetMode="External"/><Relationship Id="rId87" Type="http://schemas.openxmlformats.org/officeDocument/2006/relationships/hyperlink" Target="https://www.tiktok.com/@d.l9801/video/6985478364412824859" TargetMode="External"/><Relationship Id="rId89" Type="http://schemas.openxmlformats.org/officeDocument/2006/relationships/hyperlink" Target="https://vt.tiktok.com/ZGJBoCv5y/" TargetMode="External"/><Relationship Id="rId80" Type="http://schemas.openxmlformats.org/officeDocument/2006/relationships/hyperlink" Target="https://www.facebook.com/v.vieta.anh.h.hoang.5/posts/968755443900970" TargetMode="External"/><Relationship Id="rId82" Type="http://schemas.openxmlformats.org/officeDocument/2006/relationships/hyperlink" Target="https://www.facebook.com/permalink.php?story_fbid=1321921251536247&amp;id=100011551534575" TargetMode="External"/><Relationship Id="rId81" Type="http://schemas.openxmlformats.org/officeDocument/2006/relationships/hyperlink" Target="https://www.facebook.com/100004629070346/posts/2004499493047667/?d=n" TargetMode="External"/><Relationship Id="rId1" Type="http://schemas.openxmlformats.org/officeDocument/2006/relationships/hyperlink" Target="https://www.tiktok.com/@bthuy124/video/6985715429998185754?lang=vi-VN&amp;is_copy_url=1&amp;is_from_webapp=v1" TargetMode="External"/><Relationship Id="rId2" Type="http://schemas.openxmlformats.org/officeDocument/2006/relationships/hyperlink" Target="https://vt.tiktok.com/ZGJB2LgvP/" TargetMode="External"/><Relationship Id="rId3" Type="http://schemas.openxmlformats.org/officeDocument/2006/relationships/hyperlink" Target="https://vt.tiktok.com/ZGJB49SD8/" TargetMode="External"/><Relationship Id="rId4" Type="http://schemas.openxmlformats.org/officeDocument/2006/relationships/hyperlink" Target="https://m.facebook.com/story.php?story_fbid=4160803267368409&amp;id=100003163299957" TargetMode="External"/><Relationship Id="rId9" Type="http://schemas.openxmlformats.org/officeDocument/2006/relationships/hyperlink" Target="https://www.tiktok.com/@vansat97/video/6988390846999596314?_d=secCgYIASAHKAESMgowqBeATwfTmMY7smfDACBxBnuGui2XJXLvnIX%2BqAwfrZYhgFEsjrfuzIPgRKfUX1HOGgA%3D&amp;checksum=c01ce168093ca2cf61c96e8a8d8cd73de64ef92cc94261a710a4d20c375e6212&amp;language=vi&amp;sec_uid=MS4wLjABAAAANJ4cBPMRXUZeMft-O1EOZkaZJE-jtz7DE3JEQMC6evd1fBVa6iIDTyu0mEBdj2GJ&amp;sec_user_id=MS4wLjABAAAANJ4cBPMRXUZeMft-O1EOZkaZJE-jtz7DE3JEQMC6evd1fBVa6iIDTyu0mEBdj2GJ&amp;share_app_id=1180&amp;share_author_id=6553553032776220674&amp;share_link_id=CAAFC563-1DEF-4496-AD4F-6F0363499D35&amp;tt_from=copy&amp;u_code=d0131i823m471l&amp;user_id=6553553032776220674&amp;utm_campaign=client_share&amp;utm_medium=ios&amp;utm_source=copy&amp;source=h5_t&amp;_r=1&amp;is_copy_url=1&amp;is_from_webapp=v1" TargetMode="External"/><Relationship Id="rId5" Type="http://schemas.openxmlformats.org/officeDocument/2006/relationships/hyperlink" Target="https://www.facebook.com/100010592763690/posts/2391267727902963/?d=n" TargetMode="External"/><Relationship Id="rId6" Type="http://schemas.openxmlformats.org/officeDocument/2006/relationships/hyperlink" Target="https://www.tiktok.com/@hoangthi_phuongthao/video/6984748327371820314?_d=secCgYIASAHKAESMgowd1dvGTkJG32KmQCgO%2ByvWLHzjjHGpPKaZnnESWZMvNNx6%2BOEnc%2B9%2BysZab8qvh4RGgA%3D&amp;checksum=80eda8f8f0f733393e4758ee68e6f0a8ea3d2a08ccc35526d593577970f8671d&amp;language=vi&amp;mid=6984748338151181083&amp;preview_pb=0&amp;region=VN&amp;sec_user_id=MS4wLjABAAAA0JcEpwqqLiwBAdON3xyKt9l36DK0e-Xx6uvcGzZpLjcy2GJb9iJDbm4FBlqnA4zO&amp;share_app_id=1180&amp;share_item_id=6984748327371820314&amp;share_link_id=292572D8-5D54-494E-9559-0439409C080B&amp;source=h5_t&amp;timestamp=1626263573&amp;tt_from=copy&amp;u_code=d19ca7a5a9b128&amp;user_id=6583478330120847362&amp;utm_campaign=client_share&amp;utm_medium=ios&amp;utm_source=copy&amp;_r=1&amp;is_copy_url=1&amp;is_from_webapp=v1" TargetMode="External"/><Relationship Id="rId7" Type="http://schemas.openxmlformats.org/officeDocument/2006/relationships/hyperlink" Target="https://www.facebook.com/duchai912000/videos/928223241091207" TargetMode="External"/><Relationship Id="rId8" Type="http://schemas.openxmlformats.org/officeDocument/2006/relationships/hyperlink" Target="https://www.tiktok.com/@haiphongphoto.x/video/6987339900899036443?_d=secCgYIASAHKAESMgowbTGVoyyNWI3vtlVDTj9HPa24FNqUXyV4fRxCeAdUQziwV8qrEyZxIL6bnGG46hdIGgA%3D&amp;checksum=a900be08323e5e1c3c6e15c69323ac3e73875a904f74ad75980c8a06976f2cc0&amp;language=vi&amp;sec_uid=MS4wLjABAAAAYQa-pBuSiAreEjBgoVBMEfk58HWUMu3iNiCKwkPN9mysUC97kMXgNMzbRV0nQ2_l&amp;sec_user_id=MS4wLjABAAAAjXSEOjJZ0nqOsItBWcn0yU-W8Nz9f29tkYY87xia1m1Zi9Q5H2ikv26BggUCl_h6&amp;share_app_id=1180&amp;share_author_id=6922506886346376193&amp;share_link_id=78CC6102-04AA-4F28-B937-86EE1A56B8A1&amp;tt_from=copy&amp;u_code=d1hb7hg7814027&amp;user_id=6591054782034640897&amp;utm_campaign=client_share&amp;utm_medium=ios&amp;utm_source=copy&amp;source=h5_t&amp;_r=1&amp;is_copy_url=1&amp;is_from_webapp=v1" TargetMode="External"/><Relationship Id="rId73" Type="http://schemas.openxmlformats.org/officeDocument/2006/relationships/hyperlink" Target="https://www.tiktok.com/@_hvqt_/video/6988284628704464155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72" Type="http://schemas.openxmlformats.org/officeDocument/2006/relationships/hyperlink" Target="https://www.tiktok.com/@_hvqt_/video/6987921745013493018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75" Type="http://schemas.openxmlformats.org/officeDocument/2006/relationships/hyperlink" Target="https://www.instagram.com/p/CRq00EtpKHJ/?utm_source=ig_web_copy_link" TargetMode="External"/><Relationship Id="rId74" Type="http://schemas.openxmlformats.org/officeDocument/2006/relationships/hyperlink" Target="https://www.tiktok.com/@dinhtrangthao03/video/6986220375331966235?lang=vi-VN&amp;is_copy_url=0&amp;is_from_webapp=v1&amp;sender_device=pc&amp;sender_web_id=6983582057944237570" TargetMode="External"/><Relationship Id="rId77" Type="http://schemas.openxmlformats.org/officeDocument/2006/relationships/hyperlink" Target="https://www.facebook.com/permalink.php?story_fbid=548058952903927&amp;id=100030994816568" TargetMode="External"/><Relationship Id="rId76" Type="http://schemas.openxmlformats.org/officeDocument/2006/relationships/hyperlink" Target="https://www.tiktok.com/@dinhtrangthao03/video/6986965664674221338?lang=vi-VN&amp;is_copy_url=0&amp;is_from_webapp=v1&amp;sender_device=pc&amp;sender_web_id=6983582057944237570" TargetMode="External"/><Relationship Id="rId79" Type="http://schemas.openxmlformats.org/officeDocument/2006/relationships/hyperlink" Target="https://www.tiktok.com/@trungke.ontiktok/video/6988082977817382170?lang=vi-VN&amp;is_copy_url=0&amp;is_from_webapp=v1&amp;sender_device=pc&amp;sender_web_id=6982736742253446658" TargetMode="External"/><Relationship Id="rId78" Type="http://schemas.openxmlformats.org/officeDocument/2006/relationships/hyperlink" Target="https://www.tiktok.com/@dinhtrangthao03/video/6987710639842004250?lang=vi-VN&amp;is_copy_url=0&amp;is_from_webapp=v1&amp;sender_device=pc&amp;sender_web_id=6982736742253446658" TargetMode="External"/><Relationship Id="rId71" Type="http://schemas.openxmlformats.org/officeDocument/2006/relationships/hyperlink" Target="https://www.tiktok.com/@_hvqt_/video/698727529236460674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70" Type="http://schemas.openxmlformats.org/officeDocument/2006/relationships/hyperlink" Target="https://www.tiktok.com/@_hvqt_/video/6986940501475855642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2" Type="http://schemas.openxmlformats.org/officeDocument/2006/relationships/hyperlink" Target="https://www.tiktok.com/@truongvihihi/video/698796700757236457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1" Type="http://schemas.openxmlformats.org/officeDocument/2006/relationships/hyperlink" Target="https://www.tiktok.com/@truongvihihi/video/698760243202923241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4" Type="http://schemas.openxmlformats.org/officeDocument/2006/relationships/hyperlink" Target="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3" Type="http://schemas.openxmlformats.org/officeDocument/2006/relationships/hyperlink" Target="https://www.tiktok.com/@truongvihihi/video/698833826973378485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6" Type="http://schemas.openxmlformats.org/officeDocument/2006/relationships/hyperlink" Target="https://www.tiktok.com/@tolathule/video/698836598451187228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5" Type="http://schemas.openxmlformats.org/officeDocument/2006/relationships/hyperlink" Target="https://www.tiktok.com/@tolathule/video/6988004214760869146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8" Type="http://schemas.openxmlformats.org/officeDocument/2006/relationships/hyperlink" Target="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7" Type="http://schemas.openxmlformats.org/officeDocument/2006/relationships/hyperlink" Target="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0" Type="http://schemas.openxmlformats.org/officeDocument/2006/relationships/hyperlink" Target="https://www.tiktok.com/@truongvihihi/video/6986965369126800666?lang=vi-VN&amp;is_copy_url=0&amp;is_from_webapp=v1&amp;sender_device=pc&amp;sender_web_id=6983582057944237570" TargetMode="External"/><Relationship Id="rId69" Type="http://schemas.openxmlformats.org/officeDocument/2006/relationships/hyperlink" Target="https://www.tiktok.com/@_hvqt_/video/698649681329345666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1" Type="http://schemas.openxmlformats.org/officeDocument/2006/relationships/hyperlink" Target="https://www.tiktok.com/@trangrung08/video/698691186544823836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50" Type="http://schemas.openxmlformats.org/officeDocument/2006/relationships/hyperlink" Target="https://www.tiktok.com/@trangrung08/video/6986548298593078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53" Type="http://schemas.openxmlformats.org/officeDocument/2006/relationships/hyperlink" Target="https://www.tiktok.com/@trangrung08/video/6988324224867798299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2" Type="http://schemas.openxmlformats.org/officeDocument/2006/relationships/hyperlink" Target="https://www.tiktok.com/@trangrung08/video/698797118569477250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55" Type="http://schemas.openxmlformats.org/officeDocument/2006/relationships/hyperlink" Target="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4" Type="http://schemas.openxmlformats.org/officeDocument/2006/relationships/hyperlink" Target="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7" Type="http://schemas.openxmlformats.org/officeDocument/2006/relationships/hyperlink" Target="https://www.tiktok.com/@truongvihihi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" TargetMode="External"/><Relationship Id="rId56" Type="http://schemas.openxmlformats.org/officeDocument/2006/relationships/hyperlink" Target="https://www.facebook.com/dthy.1010/posts/525501608686266" TargetMode="External"/><Relationship Id="rId59" Type="http://schemas.openxmlformats.org/officeDocument/2006/relationships/hyperlink" Target="https://www.tiktok.com/@truongvihihi/video/6986581662444424475?lang=vi-VN&amp;is_copy_url=0&amp;is_from_webapp=v1&amp;sender_device=pc&amp;sender_web_id=6983582057944237570" TargetMode="External"/><Relationship Id="rId58" Type="http://schemas.openxmlformats.org/officeDocument/2006/relationships/hyperlink" Target="https://www.tiktok.com/@truongvihihi/video/6986123091936120090?lang=vi-VN&amp;is_copy_url=0&amp;is_from_webapp=v1&amp;sender_device=pc&amp;sender_web_id=6983582057944237570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vt.tiktok.com/ZGJB5o5y3/" TargetMode="External"/><Relationship Id="rId194" Type="http://schemas.openxmlformats.org/officeDocument/2006/relationships/hyperlink" Target="https://vt.tiktok.com/ZGJkAqEVM/" TargetMode="External"/><Relationship Id="rId193" Type="http://schemas.openxmlformats.org/officeDocument/2006/relationships/hyperlink" Target="https://yody.vn/?affcode=INFHUONG558" TargetMode="External"/><Relationship Id="rId192" Type="http://schemas.openxmlformats.org/officeDocument/2006/relationships/hyperlink" Target="https://vt.tiktok.com/ZGJBmP2Y4/" TargetMode="External"/><Relationship Id="rId191" Type="http://schemas.openxmlformats.org/officeDocument/2006/relationships/hyperlink" Target="https://yody.vn/?affcode=INFTRANG535" TargetMode="External"/><Relationship Id="rId187" Type="http://schemas.openxmlformats.org/officeDocument/2006/relationships/hyperlink" Target="https://yody.vn/?affcode=INFDUONG685" TargetMode="External"/><Relationship Id="rId186" Type="http://schemas.openxmlformats.org/officeDocument/2006/relationships/hyperlink" Target="https://vt.tiktok.com/ZGJkAWnVX/" TargetMode="External"/><Relationship Id="rId185" Type="http://schemas.openxmlformats.org/officeDocument/2006/relationships/hyperlink" Target="https://yody.vn/?affcode=INFQUYNH688" TargetMode="External"/><Relationship Id="rId184" Type="http://schemas.openxmlformats.org/officeDocument/2006/relationships/hyperlink" Target="https://vt.tiktok.com/ZGJkA4NaK/" TargetMode="External"/><Relationship Id="rId189" Type="http://schemas.openxmlformats.org/officeDocument/2006/relationships/hyperlink" Target="https://yody.vn/?affcode=INFNHAT557" TargetMode="External"/><Relationship Id="rId188" Type="http://schemas.openxmlformats.org/officeDocument/2006/relationships/hyperlink" Target="https://vt.tiktok.com/ZGJBxjvng/" TargetMode="External"/><Relationship Id="rId183" Type="http://schemas.openxmlformats.org/officeDocument/2006/relationships/hyperlink" Target="https://yody.vn/?affcode=INFTUAN899" TargetMode="External"/><Relationship Id="rId182" Type="http://schemas.openxmlformats.org/officeDocument/2006/relationships/hyperlink" Target="https://vt.tiktok.com/ZGJkAX2D2/" TargetMode="External"/><Relationship Id="rId181" Type="http://schemas.openxmlformats.org/officeDocument/2006/relationships/hyperlink" Target="https://yody.vn/?affcode=INFTHANH071" TargetMode="External"/><Relationship Id="rId180" Type="http://schemas.openxmlformats.org/officeDocument/2006/relationships/hyperlink" Target="https://vt.tiktok.com/ZGJBoE4Bm/" TargetMode="External"/><Relationship Id="rId176" Type="http://schemas.openxmlformats.org/officeDocument/2006/relationships/hyperlink" Target="https://vt.tiktok.com/ZGJkAtGfq/" TargetMode="External"/><Relationship Id="rId297" Type="http://schemas.openxmlformats.org/officeDocument/2006/relationships/hyperlink" Target="https://vt.tiktok.com/ZGJBxbPMR/" TargetMode="External"/><Relationship Id="rId175" Type="http://schemas.openxmlformats.org/officeDocument/2006/relationships/hyperlink" Target="https://yody.vn/?affcode=INFHOANG458" TargetMode="External"/><Relationship Id="rId296" Type="http://schemas.openxmlformats.org/officeDocument/2006/relationships/hyperlink" Target="https://yody.vn/?affcode=INFTRUNG761" TargetMode="External"/><Relationship Id="rId174" Type="http://schemas.openxmlformats.org/officeDocument/2006/relationships/hyperlink" Target="https://vt.tiktok.com/ZGJkAgYx2/" TargetMode="External"/><Relationship Id="rId295" Type="http://schemas.openxmlformats.org/officeDocument/2006/relationships/hyperlink" Target="https://www.tiktok.com/@trungke.ontiktok?lang=vi-VN" TargetMode="External"/><Relationship Id="rId173" Type="http://schemas.openxmlformats.org/officeDocument/2006/relationships/hyperlink" Target="https://yody.vn/?affcode=INFANH537" TargetMode="External"/><Relationship Id="rId294" Type="http://schemas.openxmlformats.org/officeDocument/2006/relationships/hyperlink" Target="http://yody.vn/?affcode=INFMY812" TargetMode="External"/><Relationship Id="rId179" Type="http://schemas.openxmlformats.org/officeDocument/2006/relationships/hyperlink" Target="https://yody.vn/?affcode=INFMEN819" TargetMode="External"/><Relationship Id="rId178" Type="http://schemas.openxmlformats.org/officeDocument/2006/relationships/hyperlink" Target="https://vt.tiktok.com/ZGJBaL98e/" TargetMode="External"/><Relationship Id="rId299" Type="http://schemas.openxmlformats.org/officeDocument/2006/relationships/hyperlink" Target="https://www.tiktok.com/@quely94" TargetMode="External"/><Relationship Id="rId177" Type="http://schemas.openxmlformats.org/officeDocument/2006/relationships/hyperlink" Target="https://yody.vn/?affcode=INFDUY489" TargetMode="External"/><Relationship Id="rId298" Type="http://schemas.openxmlformats.org/officeDocument/2006/relationships/hyperlink" Target="https://yody.vn/?affcode=INFPHONG828" TargetMode="External"/><Relationship Id="rId198" Type="http://schemas.openxmlformats.org/officeDocument/2006/relationships/hyperlink" Target="https://vt.tiktok.com/ZGJkSB27u/" TargetMode="External"/><Relationship Id="rId197" Type="http://schemas.openxmlformats.org/officeDocument/2006/relationships/hyperlink" Target="https://yody.vn/?affcode=INFDONG741" TargetMode="External"/><Relationship Id="rId196" Type="http://schemas.openxmlformats.org/officeDocument/2006/relationships/hyperlink" Target="https://vt.tiktok.com/ZGJkAC9Gt/" TargetMode="External"/><Relationship Id="rId195" Type="http://schemas.openxmlformats.org/officeDocument/2006/relationships/hyperlink" Target="https://yody.vn/?affcode=INFQUYEN983" TargetMode="External"/><Relationship Id="rId199" Type="http://schemas.openxmlformats.org/officeDocument/2006/relationships/hyperlink" Target="https://yody.vn/?affcode=INFPHUONG332" TargetMode="External"/><Relationship Id="rId150" Type="http://schemas.openxmlformats.org/officeDocument/2006/relationships/hyperlink" Target="http://yody.vn/?affcode=INFMINH737" TargetMode="External"/><Relationship Id="rId271" Type="http://schemas.openxmlformats.org/officeDocument/2006/relationships/hyperlink" Target="https://www.facebook.com/DungNhi.04" TargetMode="External"/><Relationship Id="rId392" Type="http://schemas.openxmlformats.org/officeDocument/2006/relationships/hyperlink" Target="https://www.facebook.com/ntoanh200894" TargetMode="External"/><Relationship Id="rId270" Type="http://schemas.openxmlformats.org/officeDocument/2006/relationships/hyperlink" Target="http://yody.vn/?affcode=INFDUNG942" TargetMode="External"/><Relationship Id="rId391" Type="http://schemas.openxmlformats.org/officeDocument/2006/relationships/hyperlink" Target="https://yody.vn/?affcode=INFVUNG495" TargetMode="External"/><Relationship Id="rId390" Type="http://schemas.openxmlformats.org/officeDocument/2006/relationships/hyperlink" Target="https://www.facebook.com/Habeauty.95" TargetMode="External"/><Relationship Id="rId1" Type="http://schemas.openxmlformats.org/officeDocument/2006/relationships/hyperlink" Target="https://www.facebook.com/mcphuonghoa" TargetMode="External"/><Relationship Id="rId2" Type="http://schemas.openxmlformats.org/officeDocument/2006/relationships/hyperlink" Target="http://yody.vn/?affcode=INFHOA777" TargetMode="External"/><Relationship Id="rId3" Type="http://schemas.openxmlformats.org/officeDocument/2006/relationships/hyperlink" Target="https://www.facebook.com/nguyen.huyenthu.716" TargetMode="External"/><Relationship Id="rId149" Type="http://schemas.openxmlformats.org/officeDocument/2006/relationships/hyperlink" Target="https://www.tiktok.com/@lx.minh00?lang=vi-VN&amp;is_copy_url=1&amp;is_from_webapp=v1" TargetMode="External"/><Relationship Id="rId4" Type="http://schemas.openxmlformats.org/officeDocument/2006/relationships/hyperlink" Target="http://yody.vn/?affcode=INFHUYEN641" TargetMode="External"/><Relationship Id="rId148" Type="http://schemas.openxmlformats.org/officeDocument/2006/relationships/hyperlink" Target="https://yody.vn/?affcode=INFHANH558" TargetMode="External"/><Relationship Id="rId269" Type="http://schemas.openxmlformats.org/officeDocument/2006/relationships/hyperlink" Target="https://www.tiktok.com/@vandung200?lang=vi-VN" TargetMode="External"/><Relationship Id="rId9" Type="http://schemas.openxmlformats.org/officeDocument/2006/relationships/hyperlink" Target="https://yody.vn/?affcode=INFDAI376" TargetMode="External"/><Relationship Id="rId143" Type="http://schemas.openxmlformats.org/officeDocument/2006/relationships/hyperlink" Target="https://yody.vn/?affcode=INFTHUY768" TargetMode="External"/><Relationship Id="rId264" Type="http://schemas.openxmlformats.org/officeDocument/2006/relationships/hyperlink" Target="http://yody.vn/?affcode=INFCHUNG245" TargetMode="External"/><Relationship Id="rId385" Type="http://schemas.openxmlformats.org/officeDocument/2006/relationships/hyperlink" Target="http://yody.vn/?affcode=INFPHUONG456" TargetMode="External"/><Relationship Id="rId142" Type="http://schemas.openxmlformats.org/officeDocument/2006/relationships/hyperlink" Target="https://www.facebook.com/profile.php?id=100004254121912" TargetMode="External"/><Relationship Id="rId263" Type="http://schemas.openxmlformats.org/officeDocument/2006/relationships/hyperlink" Target="https://www.tiktok.com/@chungtunn?lang=vi-VN" TargetMode="External"/><Relationship Id="rId384" Type="http://schemas.openxmlformats.org/officeDocument/2006/relationships/hyperlink" Target="https://www.facebook.com/LamMinhPhuong.0104s" TargetMode="External"/><Relationship Id="rId141" Type="http://schemas.openxmlformats.org/officeDocument/2006/relationships/hyperlink" Target="https://yody.vn/?affcode=INFTHANH287" TargetMode="External"/><Relationship Id="rId262" Type="http://schemas.openxmlformats.org/officeDocument/2006/relationships/hyperlink" Target="http://yody.vn/?affcode=INFKHANG589" TargetMode="External"/><Relationship Id="rId383" Type="http://schemas.openxmlformats.org/officeDocument/2006/relationships/hyperlink" Target="https://yody.vn/?affcode=INFHA277" TargetMode="External"/><Relationship Id="rId140" Type="http://schemas.openxmlformats.org/officeDocument/2006/relationships/hyperlink" Target="mailto:mjsa06@gmail.com" TargetMode="External"/><Relationship Id="rId261" Type="http://schemas.openxmlformats.org/officeDocument/2006/relationships/hyperlink" Target="https://www.tiktok.com/@vykhang0103?lang=vi-VN" TargetMode="External"/><Relationship Id="rId382" Type="http://schemas.openxmlformats.org/officeDocument/2006/relationships/hyperlink" Target="https://www.tiktok.com/@haxinhgai..95?fbclid=IwAR3He4bA6prCvdaABHfFgfPqhI7SNETeJewnkaDEkIxCTW9mOsGXJMKVKPk" TargetMode="External"/><Relationship Id="rId5" Type="http://schemas.openxmlformats.org/officeDocument/2006/relationships/hyperlink" Target="https://www.tiktok.com/@nhyyng?_d=secCgYIASAHKAESMgowfeS8ErUpyisHWSH6uV%2BUdgu0qqLNXB6M50krjTTs2GFzU3siIcXxcVN3WhFDmzNnGgA%3D&amp;checksum=3b1d6a9be01f2350d851c5fc34c230c35b736735a3016ca432fc5f5cd01aa3ed&amp;language=vi&amp;sec_uid=MS4wLjABAAAAs-jdK933W_o7DoBTycuTknnmGvxoLsDT1Rqqgx24Ckh2PEQ_utnXAxDH1imFoBw_&amp;sec_user_id=MS4wLjABAAAAs-jdK933W_o7DoBTycuTknnmGvxoLsDT1Rqqgx24Ckh2PEQ_utnXAxDH1imFoBw_&amp;share_app_id=1180&amp;share_author_id=6539003941504876545&amp;share_link_id=2CDBEFA1-7EAC-466C-9A5F-AC18F4B96866&amp;tt_from=copy&amp;u_code=cm8jk363jhckce&amp;user_id=6539003941504876545&amp;utm_campaign=client_share&amp;utm_medium=ios&amp;utm_source=copy&amp;source=h5_t&amp;_r=1" TargetMode="External"/><Relationship Id="rId147" Type="http://schemas.openxmlformats.org/officeDocument/2006/relationships/hyperlink" Target="https://www.facebook.com/sakura.ha.vt" TargetMode="External"/><Relationship Id="rId268" Type="http://schemas.openxmlformats.org/officeDocument/2006/relationships/hyperlink" Target="http://yody.vn/?affcode=INFLYS047" TargetMode="External"/><Relationship Id="rId389" Type="http://schemas.openxmlformats.org/officeDocument/2006/relationships/hyperlink" Target="https://yody.vn/?affcode=INFNHAT993" TargetMode="External"/><Relationship Id="rId6" Type="http://schemas.openxmlformats.org/officeDocument/2006/relationships/hyperlink" Target="http://yody.vn/?affcode=INFNHI376" TargetMode="External"/><Relationship Id="rId146" Type="http://schemas.openxmlformats.org/officeDocument/2006/relationships/hyperlink" Target="https://yody.vn/?affcode=INFBAC560" TargetMode="External"/><Relationship Id="rId267" Type="http://schemas.openxmlformats.org/officeDocument/2006/relationships/hyperlink" Target="https://www.tiktok.com/@fit.kiss?lang=vi-VN" TargetMode="External"/><Relationship Id="rId388" Type="http://schemas.openxmlformats.org/officeDocument/2006/relationships/hyperlink" Target="https://www.facebook.com/kit.iu.iu" TargetMode="External"/><Relationship Id="rId7" Type="http://schemas.openxmlformats.org/officeDocument/2006/relationships/hyperlink" Target="https://www.facebook.com/dangducdai69" TargetMode="External"/><Relationship Id="rId145" Type="http://schemas.openxmlformats.org/officeDocument/2006/relationships/hyperlink" Target="mailto:Luuthetrang@gmail.com" TargetMode="External"/><Relationship Id="rId266" Type="http://schemas.openxmlformats.org/officeDocument/2006/relationships/hyperlink" Target="http://yody.vn/?affcode=INFCHI434" TargetMode="External"/><Relationship Id="rId387" Type="http://schemas.openxmlformats.org/officeDocument/2006/relationships/hyperlink" Target="http://yody.vn/?affcode=INFDIEP502" TargetMode="External"/><Relationship Id="rId8" Type="http://schemas.openxmlformats.org/officeDocument/2006/relationships/hyperlink" Target="mailto:dangducanh55556666@gmail.com" TargetMode="External"/><Relationship Id="rId144" Type="http://schemas.openxmlformats.org/officeDocument/2006/relationships/hyperlink" Target="https://www.tiktok.com/@nhb1805?" TargetMode="External"/><Relationship Id="rId265" Type="http://schemas.openxmlformats.org/officeDocument/2006/relationships/hyperlink" Target="https://www.tiktok.com/@anhbodoi77?lang=vi-VN" TargetMode="External"/><Relationship Id="rId386" Type="http://schemas.openxmlformats.org/officeDocument/2006/relationships/hyperlink" Target="https://www.tiktok.com/@monkeyvlogg?_d=secCgYIASAHKAESMgowxt8nECS0am8%2FTKAjZgrwcwKGc2gE%2BOgwPSfA8JPOM9pE05sdXB6zCHeAg%2FCJdWVdGgA%3D&amp;checksum=1ca8d8281a0006a18671790fae9d8b5383abeaaa888c0185b6850481cb9f9415&amp;language=vi&amp;sec_uid=MS4wLjABAAAANzSkK4wKhlKq7KQpOZkOEIWcxzlR0iJVmo309ysVhS1ikLQ-xh8fWnPmtNkK_b9D&amp;sec_user_id=MS4wLjABAAAAfiRazTBRJ8DlBmrnPNjVPMHomJUeGA8VPCESc861FJoQmc8CfmAJo7wjBBkz39Z7&amp;share_app_id=1180&amp;share_author_id=6849273435660780545&amp;share_link_id=6B27ED5B-332A-43F5-89D4-F7AABDA1B163&amp;tt_from=messenger&amp;u_code=dci0l5elgf069a&amp;user_id=6832637040645080066&amp;utm_campaign=client_share&amp;utm_medium=ios&amp;utm_source=messenger&amp;source=h5_t&amp;_r=1" TargetMode="External"/><Relationship Id="rId260" Type="http://schemas.openxmlformats.org/officeDocument/2006/relationships/hyperlink" Target="http://yody.vn/?affcode=INFHONG042" TargetMode="External"/><Relationship Id="rId381" Type="http://schemas.openxmlformats.org/officeDocument/2006/relationships/hyperlink" Target="https://www.facebook.com/hatrinh.ha95" TargetMode="External"/><Relationship Id="rId380" Type="http://schemas.openxmlformats.org/officeDocument/2006/relationships/hyperlink" Target="https://yody.vn/?affcode=INFPHUONG002" TargetMode="External"/><Relationship Id="rId139" Type="http://schemas.openxmlformats.org/officeDocument/2006/relationships/hyperlink" Target="https://www.facebook.com/thanh.duong.5220" TargetMode="External"/><Relationship Id="rId138" Type="http://schemas.openxmlformats.org/officeDocument/2006/relationships/hyperlink" Target="https://yody.vn/?affcode=INFDUNG768" TargetMode="External"/><Relationship Id="rId259" Type="http://schemas.openxmlformats.org/officeDocument/2006/relationships/hyperlink" Target="https://www.tiktok.com/@choul2002?lang=vi-VN" TargetMode="External"/><Relationship Id="rId137" Type="http://schemas.openxmlformats.org/officeDocument/2006/relationships/hyperlink" Target="https://www.tiktok.com/@hi.am.gnud" TargetMode="External"/><Relationship Id="rId258" Type="http://schemas.openxmlformats.org/officeDocument/2006/relationships/hyperlink" Target="http://yody.vn/?affcode=INFLIEM753" TargetMode="External"/><Relationship Id="rId379" Type="http://schemas.openxmlformats.org/officeDocument/2006/relationships/hyperlink" Target="https://www.facebook.com/huyenlinh.2611" TargetMode="External"/><Relationship Id="rId132" Type="http://schemas.openxmlformats.org/officeDocument/2006/relationships/hyperlink" Target="https://yody.vn/?affcode=INFLUONG135" TargetMode="External"/><Relationship Id="rId253" Type="http://schemas.openxmlformats.org/officeDocument/2006/relationships/hyperlink" Target="https://www.tiktok.com/@ahihiquyenday?lang=vi-VN&amp;fbclid=IwAR1OcqMXlBeLquV_ASqxpA4xNnVjN877h_5w896cPMiy3GTLmCtTDeUlygo" TargetMode="External"/><Relationship Id="rId374" Type="http://schemas.openxmlformats.org/officeDocument/2006/relationships/hyperlink" Target="https://yody.vn/?affcode=INFNGHI944" TargetMode="External"/><Relationship Id="rId495" Type="http://schemas.openxmlformats.org/officeDocument/2006/relationships/hyperlink" Target="https://www.facebook.com/thaoemxinh24" TargetMode="External"/><Relationship Id="rId131" Type="http://schemas.openxmlformats.org/officeDocument/2006/relationships/hyperlink" Target="https://www.tiktok.com/@d.l9801" TargetMode="External"/><Relationship Id="rId252" Type="http://schemas.openxmlformats.org/officeDocument/2006/relationships/hyperlink" Target="http://yody.vn/?affcode=INFTRANG665" TargetMode="External"/><Relationship Id="rId373" Type="http://schemas.openxmlformats.org/officeDocument/2006/relationships/hyperlink" Target="https://www.tiktok.com/@nvtnghi1409?lang=vi-VN" TargetMode="External"/><Relationship Id="rId494" Type="http://schemas.openxmlformats.org/officeDocument/2006/relationships/hyperlink" Target="http://yody.vn/?affcode=INFDIEM949" TargetMode="External"/><Relationship Id="rId130" Type="http://schemas.openxmlformats.org/officeDocument/2006/relationships/hyperlink" Target="https://yody.vn/?affcode=INFNGHI255" TargetMode="External"/><Relationship Id="rId251" Type="http://schemas.openxmlformats.org/officeDocument/2006/relationships/hyperlink" Target="https://www.tiktok.com/@lethihuyentrang_?lang=vi-VN" TargetMode="External"/><Relationship Id="rId372" Type="http://schemas.openxmlformats.org/officeDocument/2006/relationships/hyperlink" Target="https://www.facebook.com/NguyenThoaiNghi140905" TargetMode="External"/><Relationship Id="rId493" Type="http://schemas.openxmlformats.org/officeDocument/2006/relationships/hyperlink" Target="https://www.facebook.com/diemnguyen1011" TargetMode="External"/><Relationship Id="rId250" Type="http://schemas.openxmlformats.org/officeDocument/2006/relationships/hyperlink" Target="http://yody.vn/?affcode=INFHIEP766" TargetMode="External"/><Relationship Id="rId371" Type="http://schemas.openxmlformats.org/officeDocument/2006/relationships/hyperlink" Target="https://yody.vn/?affcode=INFVIEN003" TargetMode="External"/><Relationship Id="rId492" Type="http://schemas.openxmlformats.org/officeDocument/2006/relationships/hyperlink" Target="http://yody.vn/?affcode=INFNGA861" TargetMode="External"/><Relationship Id="rId136" Type="http://schemas.openxmlformats.org/officeDocument/2006/relationships/hyperlink" Target="https://yody.vn/?affcode=INFMUON299" TargetMode="External"/><Relationship Id="rId257" Type="http://schemas.openxmlformats.org/officeDocument/2006/relationships/hyperlink" Target="https://www.tiktok.com/@liemraxci.2k?lang=vi-VN" TargetMode="External"/><Relationship Id="rId378" Type="http://schemas.openxmlformats.org/officeDocument/2006/relationships/hyperlink" Target="https://yody.vn/?affcode=INFYEN795" TargetMode="External"/><Relationship Id="rId499" Type="http://schemas.openxmlformats.org/officeDocument/2006/relationships/hyperlink" Target="https://www.tiktok.com/@mydiii3?lang=vi-VN&amp;is_copy_url=1&amp;is_from_webapp=v1" TargetMode="External"/><Relationship Id="rId135" Type="http://schemas.openxmlformats.org/officeDocument/2006/relationships/hyperlink" Target="https://www.facebook.com/binhan.072020" TargetMode="External"/><Relationship Id="rId256" Type="http://schemas.openxmlformats.org/officeDocument/2006/relationships/hyperlink" Target="http://yody.vn/?affcode=INFDUYEN931" TargetMode="External"/><Relationship Id="rId377" Type="http://schemas.openxmlformats.org/officeDocument/2006/relationships/hyperlink" Target="https://www.facebook.com/yen.nguyenalicia" TargetMode="External"/><Relationship Id="rId498" Type="http://schemas.openxmlformats.org/officeDocument/2006/relationships/hyperlink" Target="http://yody.vn/?affcode=INFVINH509" TargetMode="External"/><Relationship Id="rId134" Type="http://schemas.openxmlformats.org/officeDocument/2006/relationships/hyperlink" Target="https://yody.vn/?affcode=INFHUYEN706" TargetMode="External"/><Relationship Id="rId255" Type="http://schemas.openxmlformats.org/officeDocument/2006/relationships/hyperlink" Target="https://www.facebook.com/nguyenthimyduyen.co" TargetMode="External"/><Relationship Id="rId376" Type="http://schemas.openxmlformats.org/officeDocument/2006/relationships/hyperlink" Target="https://yody.vn/?affcode=INFQUAN960" TargetMode="External"/><Relationship Id="rId497" Type="http://schemas.openxmlformats.org/officeDocument/2006/relationships/hyperlink" Target="https://www.tiktok.com/@phamvinh99?lang=vi-VN" TargetMode="External"/><Relationship Id="rId133" Type="http://schemas.openxmlformats.org/officeDocument/2006/relationships/hyperlink" Target="https://www.facebook.com/luong.huyenkha" TargetMode="External"/><Relationship Id="rId254" Type="http://schemas.openxmlformats.org/officeDocument/2006/relationships/hyperlink" Target="http://yody.vn/?affcode=INFQUYEN540" TargetMode="External"/><Relationship Id="rId375" Type="http://schemas.openxmlformats.org/officeDocument/2006/relationships/hyperlink" Target="https://www.facebook.com/profile.php?id=100009277963925" TargetMode="External"/><Relationship Id="rId496" Type="http://schemas.openxmlformats.org/officeDocument/2006/relationships/hyperlink" Target="http://yody.vn/?affcode=INFTHAO513" TargetMode="External"/><Relationship Id="rId172" Type="http://schemas.openxmlformats.org/officeDocument/2006/relationships/hyperlink" Target="https://vt.tiktok.com/ZGJBakP1E/" TargetMode="External"/><Relationship Id="rId293" Type="http://schemas.openxmlformats.org/officeDocument/2006/relationships/hyperlink" Target="https://www.tiktok.com/@dienmy_16th2?lang=vi-VN&amp;fbclid=IwAR2DIlZqcWCtP2YCucUKJnX-ychRUM6elc1sc2kkvie8Ur2WFJlaTg3C7yQ" TargetMode="External"/><Relationship Id="rId171" Type="http://schemas.openxmlformats.org/officeDocument/2006/relationships/hyperlink" Target="https://yody.vn/?affcode=INFHIEN448" TargetMode="External"/><Relationship Id="rId292" Type="http://schemas.openxmlformats.org/officeDocument/2006/relationships/hyperlink" Target="http://yody.vn/?affcode=INFBANG369" TargetMode="External"/><Relationship Id="rId170" Type="http://schemas.openxmlformats.org/officeDocument/2006/relationships/hyperlink" Target="https://vt.tiktok.com/ZGJBaJrFP/" TargetMode="External"/><Relationship Id="rId291" Type="http://schemas.openxmlformats.org/officeDocument/2006/relationships/hyperlink" Target="https://www.tiktok.com/@thebang23?_d=secCgYIASAHKAESMgowihST9DM7Gzm0VgDazj6H0CADlzXyk9470YH07JAtkDQ89hI1RW31don6vLNOlVq4GgA%3D&amp;checksum=8406aba355c11e1655e1989568cc1afde4ddb6e2065616b218637a231222fc54&amp;language=vi&amp;sec_uid=MS4wLjABAAAA_Yo0VhPscYvP0XzPHnRnfizjFhSHhq10o5Dqb474JfZkafjSMAUVmxAj2KWVbzbX&amp;sec_user_id=MS4wLjABAAAA_Yo0VhPscYvP0XzPHnRnfizjFhSHhq10o5Dqb474JfZkafjSMAUVmxAj2KWVbzbX&amp;share_app_id=1180&amp;share_author_id=6527468667504181249&amp;share_link_id=52625676-76FE-4B44-BA58-A4FCBCAAC719&amp;tt_from=copy&amp;u_code=cljh9h9ikk3l07&amp;user_id=6527468667504181249&amp;utm_campaign=client_share&amp;utm_medium=ios&amp;utm_source=copy&amp;source=h5_t&amp;_r=1" TargetMode="External"/><Relationship Id="rId290" Type="http://schemas.openxmlformats.org/officeDocument/2006/relationships/hyperlink" Target="http://yody.vn/?affcode=INFTRANG693" TargetMode="External"/><Relationship Id="rId165" Type="http://schemas.openxmlformats.org/officeDocument/2006/relationships/hyperlink" Target="https://yody.vn/?affcode=INFOANH237" TargetMode="External"/><Relationship Id="rId286" Type="http://schemas.openxmlformats.org/officeDocument/2006/relationships/hyperlink" Target="http://yody.vn/?affcode=INF_BANHKEMNHATRANG" TargetMode="External"/><Relationship Id="rId164" Type="http://schemas.openxmlformats.org/officeDocument/2006/relationships/hyperlink" Target="https://www.facebook.com/phamoanh123123" TargetMode="External"/><Relationship Id="rId285" Type="http://schemas.openxmlformats.org/officeDocument/2006/relationships/hyperlink" Target="https://www.tiktok.com/@kembanhque?" TargetMode="External"/><Relationship Id="rId163" Type="http://schemas.openxmlformats.org/officeDocument/2006/relationships/hyperlink" Target="https://www.tiktok.com/@kimoanh142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" TargetMode="External"/><Relationship Id="rId284" Type="http://schemas.openxmlformats.org/officeDocument/2006/relationships/hyperlink" Target="http://yody.vn/?affcode=INFNHUNG798" TargetMode="External"/><Relationship Id="rId162" Type="http://schemas.openxmlformats.org/officeDocument/2006/relationships/hyperlink" Target="https://yody.vn/?affcode=INFMY731" TargetMode="External"/><Relationship Id="rId283" Type="http://schemas.openxmlformats.org/officeDocument/2006/relationships/hyperlink" Target="https://www.tiktok.com/@nhungtinhyeu?lang=vi-VN" TargetMode="External"/><Relationship Id="rId169" Type="http://schemas.openxmlformats.org/officeDocument/2006/relationships/hyperlink" Target="https://yody.vn/?affcode=INFTUYEN207" TargetMode="External"/><Relationship Id="rId168" Type="http://schemas.openxmlformats.org/officeDocument/2006/relationships/hyperlink" Target="https://vt.tiktok.com/ZGJkAmbdy/" TargetMode="External"/><Relationship Id="rId289" Type="http://schemas.openxmlformats.org/officeDocument/2006/relationships/hyperlink" Target="https://www.tiktok.com/@trangchun186?lang=vi-VN" TargetMode="External"/><Relationship Id="rId167" Type="http://schemas.openxmlformats.org/officeDocument/2006/relationships/hyperlink" Target="https://yody.vn/?affcode=INFDIEM269" TargetMode="External"/><Relationship Id="rId288" Type="http://schemas.openxmlformats.org/officeDocument/2006/relationships/hyperlink" Target="http://yody.vn/?affcode=INFANH121" TargetMode="External"/><Relationship Id="rId166" Type="http://schemas.openxmlformats.org/officeDocument/2006/relationships/hyperlink" Target="https://www.tiktok.com/@diemho200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" TargetMode="External"/><Relationship Id="rId287" Type="http://schemas.openxmlformats.org/officeDocument/2006/relationships/hyperlink" Target="https://www.tiktok.com/@honganhh712?lang=vi-VN" TargetMode="External"/><Relationship Id="rId161" Type="http://schemas.openxmlformats.org/officeDocument/2006/relationships/hyperlink" Target="https://www.tiktok.com/@h_myyy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" TargetMode="External"/><Relationship Id="rId282" Type="http://schemas.openxmlformats.org/officeDocument/2006/relationships/hyperlink" Target="http://yody.vn/?affcode=INFTRANG743" TargetMode="External"/><Relationship Id="rId160" Type="http://schemas.openxmlformats.org/officeDocument/2006/relationships/hyperlink" Target="https://yody.vn/?affcode=INFHOANG428" TargetMode="External"/><Relationship Id="rId281" Type="http://schemas.openxmlformats.org/officeDocument/2006/relationships/hyperlink" Target="https://www.tiktok.com/@hii_minhlakhatrang?lang=vi-VN&amp;fbclid=IwAR2G-DuxSLo5scpINHF5HMzSpyaXrZvoqB6-AYUkeVBa9Hz3QQVLLozApWg" TargetMode="External"/><Relationship Id="rId280" Type="http://schemas.openxmlformats.org/officeDocument/2006/relationships/hyperlink" Target="http://yody.vn/?affcode=INFTRAN484" TargetMode="External"/><Relationship Id="rId159" Type="http://schemas.openxmlformats.org/officeDocument/2006/relationships/hyperlink" Target="https://www.tiktok.com/@jackmafia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" TargetMode="External"/><Relationship Id="rId154" Type="http://schemas.openxmlformats.org/officeDocument/2006/relationships/hyperlink" Target="https://yody.vn/?affcode=INFHAI522" TargetMode="External"/><Relationship Id="rId275" Type="http://schemas.openxmlformats.org/officeDocument/2006/relationships/hyperlink" Target="https://www.tiktok.com/@vuphamthaoly?_d=secCgYIASAHKAESMgowHGWqg4puePHIopFi4lavHSIbygoGMuTf8eJHCnEFVVoR4k4r6ePRBuh2F5H90cNEGgA%3D&amp;_r=1&amp;language=vi&amp;sec_uid=MS4wLjABAAAAJRLHRoL_nfrS9GJpB4ahSyTg-4_1nWeN_cxw5aDJWdYTtgbbfpY7uMqy_D8905H7&amp;sec_user_id=MS4wLjABAAAAJRLHRoL_nfrS9GJpB4ahSyTg-4_1nWeN_cxw5aDJWdYTtgbbfpY7uMqy_D8905H7&amp;share_app_id=1180&amp;share_author_id=6919862650986562561&amp;share_link_id=49578551-1875-477C-AC94-50FB21FFA9EF&amp;source=h5_t&amp;tt_from=copy&amp;u_code=dghdakjd13871m&amp;user_id=6919862650986562561&amp;utm_campaign=client_share&amp;utm_medium=ios&amp;utm_source=copy" TargetMode="External"/><Relationship Id="rId396" Type="http://schemas.openxmlformats.org/officeDocument/2006/relationships/hyperlink" Target="https://www.facebook.com/profile.php?id=100011551534575" TargetMode="External"/><Relationship Id="rId153" Type="http://schemas.openxmlformats.org/officeDocument/2006/relationships/hyperlink" Target="https://www.tiktok.com/@hht0911?_d=secCgYIASAHKAESMgow%2B0KLyXJdXMkbXNq0LGJ5Ej5zo5UVv%2FDLZdoazVyl2SQXEUrIzaiqLeO1KYikowUPGgA%3D&amp;checksum=1ff10f044b5422e2bf96afe49904eed67c1f260a85759bb402fca11d43b8c1cc&amp;language=vi&amp;sec_uid=MS4wLjABAAAA76EPkkRAqOqd9rAPj-gPo1lTuIbCM3IA1YRvAYC8zsF1jxI1AU_xTC42xlx9LoVf&amp;sec_user_id=MS4wLjABAAAABZoGHXrZBRfUXemmSi4q3avURclQFi4x2Whu9VjcIcT76FNFZkqEczdQ-sOpcqo6&amp;share_app_id=1180&amp;share_author_id=6567240317355016193&amp;share_link_id=1D801A72-0964-4281-8FE6-4B1C05766891&amp;tt_from=copy&amp;u_code=d16a1cdem4bjl5&amp;user_id=6580521240628297730&amp;utm_campaign=client_share&amp;utm_medium=ios&amp;utm_source=copy&amp;source=h5_t&amp;_r=1" TargetMode="External"/><Relationship Id="rId274" Type="http://schemas.openxmlformats.org/officeDocument/2006/relationships/hyperlink" Target="http://yody.vn/?affcode=INFTHINH066" TargetMode="External"/><Relationship Id="rId395" Type="http://schemas.openxmlformats.org/officeDocument/2006/relationships/hyperlink" Target="https://yody.vn/?affcode=INFHIEP784&amp;fbclid=IwAR3Mkm_0J_nGkITFceW8D-SKuNq1-x9bz78Ubr0pwiCGkQLlMm5LQAZhhKM" TargetMode="External"/><Relationship Id="rId152" Type="http://schemas.openxmlformats.org/officeDocument/2006/relationships/hyperlink" Target="http://yody.vn/?affcode=INFTHI599" TargetMode="External"/><Relationship Id="rId273" Type="http://schemas.openxmlformats.org/officeDocument/2006/relationships/hyperlink" Target="https://www.tiktok.com/@phamhuuthinh2003?_d=secCgYIASAHKAESMgowmC75gIn4RL7zv6iWBTUX0tTSMyxbH5cefX7eYiSeh7TGmGgb84VHlAtPqjUMqPZSGgA%3D&amp;language=vi&amp;sec_uid=MS4wLjABAAAAo_ecoVQak-wDtpLbFsgWsOgw31S0gLdPkUOAKdhKto175y5WwUGn71hEI8JRBK9b&amp;sec_user_id=MS4wLjABAAAA_AHqsyJK_6PRu0UekAHIILEuC1fYeIhbHHpa60DyRiAImuBewX_fpR5Bl99puT-5&amp;share_author_id=6634122150947733505&amp;share_link_id=89DCFA14-6BC7-453C-A4FF-9FEEDD3A0044&amp;tt_from=copy&amp;u_code=d6928lbfd9k1i7&amp;user_id=6692634686121886721&amp;utm_campaign=client_share&amp;utm_medium=ios&amp;utm_source=copy&amp;source=h5_t&amp;_r=1&amp;fbclid=IwAR3pym4KF-7poQhThzAX5FKUMW6NzcCmW32uE73LHKMZQB8KdOQI8PnICQc" TargetMode="External"/><Relationship Id="rId394" Type="http://schemas.openxmlformats.org/officeDocument/2006/relationships/hyperlink" Target="https://www.facebook.com/trinhkien.aodai" TargetMode="External"/><Relationship Id="rId151" Type="http://schemas.openxmlformats.org/officeDocument/2006/relationships/hyperlink" Target="https://www.tiktok.com/@vietthi.p336?lang=vi-VN" TargetMode="External"/><Relationship Id="rId272" Type="http://schemas.openxmlformats.org/officeDocument/2006/relationships/hyperlink" Target="http://yody.vn/?affcode=INFNHI427" TargetMode="External"/><Relationship Id="rId393" Type="http://schemas.openxmlformats.org/officeDocument/2006/relationships/hyperlink" Target="https://yody.vn/?affcode=INFOANH529" TargetMode="External"/><Relationship Id="rId158" Type="http://schemas.openxmlformats.org/officeDocument/2006/relationships/hyperlink" Target="https://yody.vn/?affcode=INFDUONG426" TargetMode="External"/><Relationship Id="rId279" Type="http://schemas.openxmlformats.org/officeDocument/2006/relationships/hyperlink" Target="https://www.tiktok.com/@baobao2494?_d=secCgYIASAHKAESMgowiKjbH2Tg5jVhketiLGsPi7Eacfe%2Ffx6PNQGD7H0LY%2FQ5M2Fxi9Vxilna3Epo8UbSGgA%3D&amp;language=vi&amp;sec_uid=MS4wLjABAAAAWs-PS0Mc_Oi367PeiKQyDtsM8PwJAyhFg7Wh_a7wT1I&amp;sec_user_id=MS4wLjABAAAAWs-PS0Mc_Oi367PeiKQyDtsM8PwJAyhFg7Wh_a7wT1I&amp;share_author_id=64797000547&amp;share_link_id=3BDAD0F9-2D78-4A03-8938-72EEA6E4D67A&amp;tt_from=copy&amp;u_code=j0g87m18&amp;user_id=64797000547&amp;utm_campaign=client_share&amp;utm_medium=ios&amp;utm_source=copy&amp;source=h5_t&amp;_r=1" TargetMode="External"/><Relationship Id="rId157" Type="http://schemas.openxmlformats.org/officeDocument/2006/relationships/hyperlink" Target="https://www.tiktok.com/@_anhzwondcutenehen?_d=secCgYIASAHKAESMgowopwJ%2BEi67FjgyCOOBkfdSQST8jCbmyGQINZISazEbfGinjkCE2rcPPGhuqvYL6hUGgA%3D&amp;checksum=bc016fc13626a4a7f05eca7cd02871e2ee5359cf91c8c24d66f8345aad5f66e5&amp;language=vi&amp;sec_uid=MS4wLjABAAAAKosNgmy-wjpmc4Y4VTKjRMGsgPy_pED9D5QgVbowTnr7FBjKmsT92vz7sPPP4c1y&amp;sec_user_id=MS4wLjABAAAABZoGHXrZBRfUXemmSi4q3avURclQFi4x2Whu9VjcIcT76FNFZkqEczdQ-sOpcqo6&amp;share_app_id=1180&amp;share_author_id=6627441706734780418&amp;share_link_id=434A7199-7CE2-41FD-9D39-8E0CBBB88126&amp;tt_from=copy&amp;u_code=d16a1cdem4bjl5&amp;user_id=6580521240628297730&amp;utm_campaign=client_share&amp;utm_medium=ios&amp;utm_source=copy&amp;source=h5_t&amp;_r=1" TargetMode="External"/><Relationship Id="rId278" Type="http://schemas.openxmlformats.org/officeDocument/2006/relationships/hyperlink" Target="https://yody.vn/?affcode=INFNHUNG475" TargetMode="External"/><Relationship Id="rId399" Type="http://schemas.openxmlformats.org/officeDocument/2006/relationships/hyperlink" Target="https://www.tiktok.com/@phamuyen369" TargetMode="External"/><Relationship Id="rId156" Type="http://schemas.openxmlformats.org/officeDocument/2006/relationships/hyperlink" Target="https://yody.vn/?affcode=INFHIEU576" TargetMode="External"/><Relationship Id="rId277" Type="http://schemas.openxmlformats.org/officeDocument/2006/relationships/hyperlink" Target="https://www.tiktok.com/@hongnhung020997?_d=secCgYIASAHKAESMgow3wJbK%2BJ%2FCvJPqpcHXXF9g%2BcPvwWo0CTNDBu5alBVLrSodrE8BziLLppzUIN6VjKsGgA%3D&amp;_r=1&amp;checksum=469db83b05e43bfe9f811bb5218bb37f92c7c9335b90fa32f2b148a888bb1d4e&amp;language=vi&amp;sec_uid=MS4wLjABAAAAl7IU8iOOfDIJTA9tkGATC-QhuNlBjtse-9MOtxTZYtDagPRr-9UL1TSOTzb92C_i&amp;sec_user_id=MS4wLjABAAAAl7IU8iOOfDIJTA9tkGATC-QhuNlBjtse-9MOtxTZYtDagPRr-9UL1TSOTzb92C_i&amp;share_app_id=1180&amp;share_author_id=6767276472761484289&amp;share_link_id=3A83F630-CDCE-446A-ACD7-A94B84F71A2D&amp;source=h5_t&amp;tt_from=copy&amp;u_code=d9ia4171694eh2&amp;user_id=6767276472761484289&amp;utm_campaign=client_share&amp;utm_medium=ios&amp;utm_source=copy" TargetMode="External"/><Relationship Id="rId398" Type="http://schemas.openxmlformats.org/officeDocument/2006/relationships/hyperlink" Target="https://www.facebook.com/Suph036" TargetMode="External"/><Relationship Id="rId155" Type="http://schemas.openxmlformats.org/officeDocument/2006/relationships/hyperlink" Target="https://www.tiktok.com/@phaminhiu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" TargetMode="External"/><Relationship Id="rId276" Type="http://schemas.openxmlformats.org/officeDocument/2006/relationships/hyperlink" Target="http://yody.vn/?affcode=INFLY143" TargetMode="External"/><Relationship Id="rId397" Type="http://schemas.openxmlformats.org/officeDocument/2006/relationships/hyperlink" Target="https://yody.vn/?affcode=INFTHANH316&amp;fbclid=IwAR3gyGD4eU71cZgRzu82XB864xfMOAxXTya3Wf9pDiqFOFJ-Ew-TD1LBjRo" TargetMode="External"/><Relationship Id="rId40" Type="http://schemas.openxmlformats.org/officeDocument/2006/relationships/hyperlink" Target="https://www.tiktok.com/@hoanglong86a" TargetMode="External"/><Relationship Id="rId42" Type="http://schemas.openxmlformats.org/officeDocument/2006/relationships/hyperlink" Target="https://yody.vn/?affcode=INFLONG121" TargetMode="External"/><Relationship Id="rId41" Type="http://schemas.openxmlformats.org/officeDocument/2006/relationships/hyperlink" Target="mailto:hoanglong8696@gmail.com" TargetMode="External"/><Relationship Id="rId44" Type="http://schemas.openxmlformats.org/officeDocument/2006/relationships/hyperlink" Target="mailto:Moclan256305@gmail.com" TargetMode="External"/><Relationship Id="rId43" Type="http://schemas.openxmlformats.org/officeDocument/2006/relationships/hyperlink" Target="https://www.facebook.com/moclanla" TargetMode="External"/><Relationship Id="rId46" Type="http://schemas.openxmlformats.org/officeDocument/2006/relationships/hyperlink" Target="https://www.facebook.com/thuylinh.lun" TargetMode="External"/><Relationship Id="rId45" Type="http://schemas.openxmlformats.org/officeDocument/2006/relationships/hyperlink" Target="http://yody.vn/?affcode=INFNHUNG305" TargetMode="External"/><Relationship Id="rId509" Type="http://schemas.openxmlformats.org/officeDocument/2006/relationships/hyperlink" Target="https://www.tiktok.com/@anhtiendola?lang=vi-VN" TargetMode="External"/><Relationship Id="rId508" Type="http://schemas.openxmlformats.org/officeDocument/2006/relationships/hyperlink" Target="http://yody.vn/?affcode=INFTRUONG940" TargetMode="External"/><Relationship Id="rId629" Type="http://schemas.openxmlformats.org/officeDocument/2006/relationships/hyperlink" Target="https://yody.vn/?affcode=INFTHAO329" TargetMode="External"/><Relationship Id="rId503" Type="http://schemas.openxmlformats.org/officeDocument/2006/relationships/hyperlink" Target="https://www.tiktok.com/@letrang_2k2?lang=vi-VN" TargetMode="External"/><Relationship Id="rId624" Type="http://schemas.openxmlformats.org/officeDocument/2006/relationships/hyperlink" Target="https://www.facebook.com/vhp18121999" TargetMode="External"/><Relationship Id="rId745" Type="http://schemas.openxmlformats.org/officeDocument/2006/relationships/hyperlink" Target="https://www.tiktok.com/@vzthanhdat?" TargetMode="External"/><Relationship Id="rId502" Type="http://schemas.openxmlformats.org/officeDocument/2006/relationships/hyperlink" Target="http://yody.vn/?affcode=INFSON996" TargetMode="External"/><Relationship Id="rId623" Type="http://schemas.openxmlformats.org/officeDocument/2006/relationships/hyperlink" Target="https://yody.vn/?affcode=INFANH502" TargetMode="External"/><Relationship Id="rId744" Type="http://schemas.openxmlformats.org/officeDocument/2006/relationships/hyperlink" Target="https://yody.vn/?affcode=INFMINAH051" TargetMode="External"/><Relationship Id="rId501" Type="http://schemas.openxmlformats.org/officeDocument/2006/relationships/hyperlink" Target="https://www.tiktok.com/@itsbevis?lang=vi-VN" TargetMode="External"/><Relationship Id="rId622" Type="http://schemas.openxmlformats.org/officeDocument/2006/relationships/hyperlink" Target="https://www.facebook.com/bma0212" TargetMode="External"/><Relationship Id="rId743" Type="http://schemas.openxmlformats.org/officeDocument/2006/relationships/hyperlink" Target="https://www.tiktok.com/@vzminah?" TargetMode="External"/><Relationship Id="rId500" Type="http://schemas.openxmlformats.org/officeDocument/2006/relationships/hyperlink" Target="http://yody.vn/?affcode=INFHUE103" TargetMode="External"/><Relationship Id="rId621" Type="http://schemas.openxmlformats.org/officeDocument/2006/relationships/hyperlink" Target="https://yody.vn/?affcode=INFMIEN969" TargetMode="External"/><Relationship Id="rId742" Type="http://schemas.openxmlformats.org/officeDocument/2006/relationships/hyperlink" Target="https://yody.vn/?affcode=INFDINH091" TargetMode="External"/><Relationship Id="rId507" Type="http://schemas.openxmlformats.org/officeDocument/2006/relationships/hyperlink" Target="https://www.tiktok.com/@badt99?lang=vi-VN" TargetMode="External"/><Relationship Id="rId628" Type="http://schemas.openxmlformats.org/officeDocument/2006/relationships/hyperlink" Target="https://www.facebook.com/pham.haphuongthao/" TargetMode="External"/><Relationship Id="rId749" Type="http://schemas.openxmlformats.org/officeDocument/2006/relationships/hyperlink" Target="https://www.facebook.com/vancamp.emily.9" TargetMode="External"/><Relationship Id="rId506" Type="http://schemas.openxmlformats.org/officeDocument/2006/relationships/hyperlink" Target="http://yody.vn/?affcode=INFTRANG727" TargetMode="External"/><Relationship Id="rId627" Type="http://schemas.openxmlformats.org/officeDocument/2006/relationships/hyperlink" Target="https://yody.vn/?affcode=INFMY920" TargetMode="External"/><Relationship Id="rId748" Type="http://schemas.openxmlformats.org/officeDocument/2006/relationships/hyperlink" Target="https://yody.vn/?affcode=INFCHERRY269" TargetMode="External"/><Relationship Id="rId505" Type="http://schemas.openxmlformats.org/officeDocument/2006/relationships/hyperlink" Target="https://www.facebook.com/qtrang67901" TargetMode="External"/><Relationship Id="rId626" Type="http://schemas.openxmlformats.org/officeDocument/2006/relationships/hyperlink" Target="https://www.facebook.com/nkm279" TargetMode="External"/><Relationship Id="rId747" Type="http://schemas.openxmlformats.org/officeDocument/2006/relationships/hyperlink" Target="https://www.tiktok.com/@vzbecherry?" TargetMode="External"/><Relationship Id="rId504" Type="http://schemas.openxmlformats.org/officeDocument/2006/relationships/hyperlink" Target="http://yody.vn/?affcode=INFTRANG620" TargetMode="External"/><Relationship Id="rId625" Type="http://schemas.openxmlformats.org/officeDocument/2006/relationships/hyperlink" Target="https://yody.vn/?affcode=INFPHONG727" TargetMode="External"/><Relationship Id="rId746" Type="http://schemas.openxmlformats.org/officeDocument/2006/relationships/hyperlink" Target="https://yody.vn/?affcode=INFDAT197" TargetMode="External"/><Relationship Id="rId48" Type="http://schemas.openxmlformats.org/officeDocument/2006/relationships/hyperlink" Target="https://www.facebook.com/profile.php?id=100034376687766" TargetMode="External"/><Relationship Id="rId47" Type="http://schemas.openxmlformats.org/officeDocument/2006/relationships/hyperlink" Target="https://yody.vn/?affcode=INFLINH548" TargetMode="External"/><Relationship Id="rId49" Type="http://schemas.openxmlformats.org/officeDocument/2006/relationships/hyperlink" Target="mailto:hangmilla37@gmail.com" TargetMode="External"/><Relationship Id="rId620" Type="http://schemas.openxmlformats.org/officeDocument/2006/relationships/hyperlink" Target="https://www.facebook.com/mienmyn.mm" TargetMode="External"/><Relationship Id="rId741" Type="http://schemas.openxmlformats.org/officeDocument/2006/relationships/hyperlink" Target="https://yody.vn/?affcode=INFYIN257" TargetMode="External"/><Relationship Id="rId740" Type="http://schemas.openxmlformats.org/officeDocument/2006/relationships/hyperlink" Target="https://yody.vn/?affcode=INFVIRGO272" TargetMode="External"/><Relationship Id="rId31" Type="http://schemas.openxmlformats.org/officeDocument/2006/relationships/hyperlink" Target="https://yody.vn/?affcode=INFLINH722" TargetMode="External"/><Relationship Id="rId30" Type="http://schemas.openxmlformats.org/officeDocument/2006/relationships/hyperlink" Target="https://www.tiktok.com/@linhpu1412?lang=vi-VN" TargetMode="External"/><Relationship Id="rId33" Type="http://schemas.openxmlformats.org/officeDocument/2006/relationships/hyperlink" Target="mailto:hieuvt229@gmail.com" TargetMode="External"/><Relationship Id="rId32" Type="http://schemas.openxmlformats.org/officeDocument/2006/relationships/hyperlink" Target="https://www.tiktok.com/@_hieuvt_?" TargetMode="External"/><Relationship Id="rId35" Type="http://schemas.openxmlformats.org/officeDocument/2006/relationships/hyperlink" Target="https://www.tiktok.com/@baongoc.1906?_d=secCgYIASAHKAESMgowAocQfV3fmab98TtaZoxvUDMyDxj%2FzaZeUkvsNijahI9Lmja%2FRKmY%2BSeTeZYWBDuqGgA%3D&amp;checksum=3a78e5fb39ae9ab75f563da19c30e1d9ae8acc228124ecfd024a8c776677f2a1&amp;language=vi&amp;sec_uid=MS4wLjABAAAA4S3tN2DTi9EWEYpwR_PJ6-U9kEGMu_9wee9ndtwKaKOErkhVn2iGAVANEdrrgpAE&amp;sec_user_id=MS4wLjABAAAA4S3tN2DTi9EWEYpwR_PJ6-U9kEGMu_9wee9ndtwKaKOErkhVn2iGAVANEdrrgpAE&amp;share_app_id=1180&amp;share_author_id=6703029576115684354&amp;share_link_id=91C8E0B0-D4FA-4208-9134-AC0D4C2FA765&amp;tt_from=copy&amp;u_code=d6k0742751m9im&amp;user_id=6703029576115684354&amp;utm_campaign=client_share&amp;utm_medium=ios&amp;utm_source=copy&amp;source=h5_t&amp;_r=1" TargetMode="External"/><Relationship Id="rId34" Type="http://schemas.openxmlformats.org/officeDocument/2006/relationships/hyperlink" Target="http://yody.vn/?affcode=INFHIEU867" TargetMode="External"/><Relationship Id="rId619" Type="http://schemas.openxmlformats.org/officeDocument/2006/relationships/hyperlink" Target="https://yody.vn/?affcode=INFQUAN352" TargetMode="External"/><Relationship Id="rId618" Type="http://schemas.openxmlformats.org/officeDocument/2006/relationships/hyperlink" Target="https://www.facebook.com/MinhQuan.Offcial" TargetMode="External"/><Relationship Id="rId739" Type="http://schemas.openxmlformats.org/officeDocument/2006/relationships/hyperlink" Target="https://yody.vn/?affcode=INFLONG886" TargetMode="External"/><Relationship Id="rId613" Type="http://schemas.openxmlformats.org/officeDocument/2006/relationships/hyperlink" Target="https://yody.vn/?affcode=INFTHANH703" TargetMode="External"/><Relationship Id="rId734" Type="http://schemas.openxmlformats.org/officeDocument/2006/relationships/hyperlink" Target="https://www.tiktok.com/@hkl209?_d=secCgYIASAHKAESMgowcXa5QiEGVeEYGpz0c4C51r4Nwtk%2Fw4PhII2UZz8Dkcr2GjD9r6ecTbL6iu3J%2BJhzGgA%3D&amp;checksum=6d3c27d5eb2ffb3d2c4d861295cc7cf447020ef7aa6f2f65addb44f4fe0f3d67&amp;language=vi&amp;sec_uid=MS4wLjABAAAAbEy_ZU7J4xveIKBfuCXUVuIOSuNwZTiQ6RCOU5_gEeJPm4HfAItMKJOhmv43aDEo&amp;sec_user_id=MS4wLjABAAAAbEy_ZU7J4xveIKBfuCXUVuIOSuNwZTiQ6RCOU5_gEeJPm4HfAItMKJOhmv43aDEo&amp;share_app_id=1180&amp;share_author_id=6763629426921309186&amp;share_link_id=B9708286-A1C6-4040-A9E1-F4BC6C2056DC&amp;tt_from=copy&amp;u_code=d9ee34mghic707&amp;user_id=6763629426921309186&amp;utm_campaign=client_share&amp;utm_medium=ios&amp;utm_source=copy&amp;source=h5_t&amp;_r=1" TargetMode="External"/><Relationship Id="rId612" Type="http://schemas.openxmlformats.org/officeDocument/2006/relationships/hyperlink" Target="https://www.facebook.com/nguyenngocquynh.thanh" TargetMode="External"/><Relationship Id="rId733" Type="http://schemas.openxmlformats.org/officeDocument/2006/relationships/hyperlink" Target="https://yody.vn/?affcode=INFLUONG896" TargetMode="External"/><Relationship Id="rId611" Type="http://schemas.openxmlformats.org/officeDocument/2006/relationships/hyperlink" Target="https://yody.vn/?affcode=INFMY904" TargetMode="External"/><Relationship Id="rId732" Type="http://schemas.openxmlformats.org/officeDocument/2006/relationships/hyperlink" Target="https://www.tiktok.com/@hienluongxink?" TargetMode="External"/><Relationship Id="rId610" Type="http://schemas.openxmlformats.org/officeDocument/2006/relationships/hyperlink" Target="https://www.facebook.com/kieumy26/" TargetMode="External"/><Relationship Id="rId731" Type="http://schemas.openxmlformats.org/officeDocument/2006/relationships/hyperlink" Target="https://www.tiktok.com/@maydei.3010?lang=vi-VN" TargetMode="External"/><Relationship Id="rId617" Type="http://schemas.openxmlformats.org/officeDocument/2006/relationships/hyperlink" Target="https://yody.vn/?affcode=INFTHAO401" TargetMode="External"/><Relationship Id="rId738" Type="http://schemas.openxmlformats.org/officeDocument/2006/relationships/hyperlink" Target="https://yody.vn/?affcode=INFREENCY575" TargetMode="External"/><Relationship Id="rId616" Type="http://schemas.openxmlformats.org/officeDocument/2006/relationships/hyperlink" Target="https://www.facebook.com/tltt0920" TargetMode="External"/><Relationship Id="rId737" Type="http://schemas.openxmlformats.org/officeDocument/2006/relationships/hyperlink" Target="https://yody.vn/?affcode=INFTIEN746" TargetMode="External"/><Relationship Id="rId615" Type="http://schemas.openxmlformats.org/officeDocument/2006/relationships/hyperlink" Target="https://yody.vn/?affcode=INFANH430" TargetMode="External"/><Relationship Id="rId736" Type="http://schemas.openxmlformats.org/officeDocument/2006/relationships/hyperlink" Target="https://www.tiktok.com/@tienkhautrang200299?" TargetMode="External"/><Relationship Id="rId614" Type="http://schemas.openxmlformats.org/officeDocument/2006/relationships/hyperlink" Target="https://www.facebook.com/NghiemHoangDiemAnh99" TargetMode="External"/><Relationship Id="rId735" Type="http://schemas.openxmlformats.org/officeDocument/2006/relationships/hyperlink" Target="https://yody.vn/?affcode=INFLINH905" TargetMode="External"/><Relationship Id="rId37" Type="http://schemas.openxmlformats.org/officeDocument/2006/relationships/hyperlink" Target="https://yody.vn/?affcode=INFLY457" TargetMode="External"/><Relationship Id="rId36" Type="http://schemas.openxmlformats.org/officeDocument/2006/relationships/hyperlink" Target="http://yody.vn/?affcode=INFAN247" TargetMode="External"/><Relationship Id="rId39" Type="http://schemas.openxmlformats.org/officeDocument/2006/relationships/hyperlink" Target="https://yody.vn/?affcode=INFHUONG003" TargetMode="External"/><Relationship Id="rId38" Type="http://schemas.openxmlformats.org/officeDocument/2006/relationships/hyperlink" Target="https://www.facebook.com/annahuong2310" TargetMode="External"/><Relationship Id="rId730" Type="http://schemas.openxmlformats.org/officeDocument/2006/relationships/hyperlink" Target="https://www.tiktok.com/@_.ngocanh._?lang=vi-VN" TargetMode="External"/><Relationship Id="rId20" Type="http://schemas.openxmlformats.org/officeDocument/2006/relationships/hyperlink" Target="https://yody.vn/?affcode=INFPHUC284" TargetMode="External"/><Relationship Id="rId22" Type="http://schemas.openxmlformats.org/officeDocument/2006/relationships/hyperlink" Target="http://yody.vn/?affcode=INFTHUY744" TargetMode="External"/><Relationship Id="rId21" Type="http://schemas.openxmlformats.org/officeDocument/2006/relationships/hyperlink" Target="https://www.tiktok.com/@thuyngann_16?_d=secCgYIASAHKAESMgowd8qmYbtVxwkzahfdHSX%2BGLJ%2F5syKYe8rfWubmhtO2jQSi0eYIQEbpIy77DYhtVwzGgA%3D&amp;checksum=8216e2af59ab1c92759aaddda1865cd07a68a159dc55035f534d27cc39abb2f3&amp;language=vi&amp;sec_uid=MS4wLjABAAAAuk3TiB1eYUcS2YXk4dUzh_IR0ivJ5QyUYmtcBTX8NFudb2A58FMsDLflDuftNCUD&amp;sec_user_id=MS4wLjABAAAAuk3TiB1eYUcS2YXk4dUzh_IR0ivJ5QyUYmtcBTX8NFudb2A58FMsDLflDuftNCUD&amp;share_app_id=1180&amp;share_author_id=6602358788111417345&amp;share_link_id=E5C4F681-947F-44EB-9E9D-1349791B722E&amp;tt_from=copy&amp;u_code=d2684h820e9i84&amp;user_id=6602358788111417345&amp;utm_campaign=client_share&amp;utm_medium=ios&amp;utm_source=copy&amp;source=h5_t&amp;_r=1" TargetMode="External"/><Relationship Id="rId24" Type="http://schemas.openxmlformats.org/officeDocument/2006/relationships/hyperlink" Target="https://www.tiktok.com/@thianguyen2001?fbclid=IwAR2K88TH_6Pxwa31Ff96qvddJoh9dCU0fDhOpZGRrmFbW6yhW__kQWi3yLo" TargetMode="External"/><Relationship Id="rId23" Type="http://schemas.openxmlformats.org/officeDocument/2006/relationships/hyperlink" Target="http://yody.vn/?affcode=INFNHAN283" TargetMode="External"/><Relationship Id="rId409" Type="http://schemas.openxmlformats.org/officeDocument/2006/relationships/hyperlink" Target="https://yody.vn/?affcode=INFQUYNH769" TargetMode="External"/><Relationship Id="rId404" Type="http://schemas.openxmlformats.org/officeDocument/2006/relationships/hyperlink" Target="https://yody.vn/?affcode=INFVY763" TargetMode="External"/><Relationship Id="rId525" Type="http://schemas.openxmlformats.org/officeDocument/2006/relationships/hyperlink" Target="https://www.tiktok.com/@thaihagiang25?" TargetMode="External"/><Relationship Id="rId646" Type="http://schemas.openxmlformats.org/officeDocument/2006/relationships/hyperlink" Target="https://yody.vn/?affcode=INFNHI141" TargetMode="External"/><Relationship Id="rId403" Type="http://schemas.openxmlformats.org/officeDocument/2006/relationships/hyperlink" Target="https://www.tiktok.com/@cattia.ttv_?lang=vi-VN" TargetMode="External"/><Relationship Id="rId524" Type="http://schemas.openxmlformats.org/officeDocument/2006/relationships/hyperlink" Target="https://www.facebook.com/tho.bong.1048" TargetMode="External"/><Relationship Id="rId645" Type="http://schemas.openxmlformats.org/officeDocument/2006/relationships/hyperlink" Target="https://yody.vn/?affcode=INFHOA021" TargetMode="External"/><Relationship Id="rId402" Type="http://schemas.openxmlformats.org/officeDocument/2006/relationships/hyperlink" Target="https://yody.vn/?affcode=INFHA960" TargetMode="External"/><Relationship Id="rId523" Type="http://schemas.openxmlformats.org/officeDocument/2006/relationships/hyperlink" Target="https://yody.vn/?affcode=INFNGOC288" TargetMode="External"/><Relationship Id="rId644" Type="http://schemas.openxmlformats.org/officeDocument/2006/relationships/hyperlink" Target="http://www.tiktok.com/@hoaa.hanassii" TargetMode="External"/><Relationship Id="rId401" Type="http://schemas.openxmlformats.org/officeDocument/2006/relationships/hyperlink" Target="https://www.facebook.com/vuthiha89" TargetMode="External"/><Relationship Id="rId522" Type="http://schemas.openxmlformats.org/officeDocument/2006/relationships/hyperlink" Target="http://yody.vn/?affcode=INFHANG499" TargetMode="External"/><Relationship Id="rId643" Type="http://schemas.openxmlformats.org/officeDocument/2006/relationships/hyperlink" Target="https://yody.vn/?affcode=INFVINH921" TargetMode="External"/><Relationship Id="rId408" Type="http://schemas.openxmlformats.org/officeDocument/2006/relationships/hyperlink" Target="https://yody.vn/?affcode=INFVY747" TargetMode="External"/><Relationship Id="rId529" Type="http://schemas.openxmlformats.org/officeDocument/2006/relationships/hyperlink" Target="https://www.facebook.com/quyenxd3892" TargetMode="External"/><Relationship Id="rId407" Type="http://schemas.openxmlformats.org/officeDocument/2006/relationships/hyperlink" Target="https://www.facebook.com/tuongvy.phandang" TargetMode="External"/><Relationship Id="rId528" Type="http://schemas.openxmlformats.org/officeDocument/2006/relationships/hyperlink" Target="https://yody.vn/?affcode=INFLOI899" TargetMode="External"/><Relationship Id="rId649" Type="http://schemas.openxmlformats.org/officeDocument/2006/relationships/hyperlink" Target="https://yody.vn/?affcode=INFHOC979" TargetMode="External"/><Relationship Id="rId406" Type="http://schemas.openxmlformats.org/officeDocument/2006/relationships/hyperlink" Target="https://yody.vn/?affcode=INFTRANG986" TargetMode="External"/><Relationship Id="rId527" Type="http://schemas.openxmlformats.org/officeDocument/2006/relationships/hyperlink" Target="https://www.facebook.com/ngoloi.1979" TargetMode="External"/><Relationship Id="rId648" Type="http://schemas.openxmlformats.org/officeDocument/2006/relationships/hyperlink" Target="https://yody.vn/?affcode=INFNGA389" TargetMode="External"/><Relationship Id="rId405" Type="http://schemas.openxmlformats.org/officeDocument/2006/relationships/hyperlink" Target="https://www.facebook.com/thutrang.vu.102" TargetMode="External"/><Relationship Id="rId526" Type="http://schemas.openxmlformats.org/officeDocument/2006/relationships/hyperlink" Target="https://yody.vn/?affcode=INFGIANG916" TargetMode="External"/><Relationship Id="rId647" Type="http://schemas.openxmlformats.org/officeDocument/2006/relationships/hyperlink" Target="https://www.facebook.com/nguyen.thanhnga.125" TargetMode="External"/><Relationship Id="rId26" Type="http://schemas.openxmlformats.org/officeDocument/2006/relationships/hyperlink" Target="https://www.tiktok.com/@qh.bland?_d=secCgYIASAHKAESMgowIy9gnjfmFFhfXkqASsjcfEPfw6NJEYE4jSfCDQgDIfdk83T1gpL7GyQq2O5uxW1CGgA%3D&amp;language=vi&amp;sec_uid=MS4wLjABAAAA6Az5b5WfHe4VdsH0xhdP8j3qcjD3u3T8bie6o6kS5M00i7fzKI1L6t6nYaN6TssQ&amp;sec_user_id=" TargetMode="External"/><Relationship Id="rId25" Type="http://schemas.openxmlformats.org/officeDocument/2006/relationships/hyperlink" Target="http://yody.vn/?affcode=INFTHIA247" TargetMode="External"/><Relationship Id="rId28" Type="http://schemas.openxmlformats.org/officeDocument/2006/relationships/hyperlink" Target="https://www.tiktok.com/@mai_xuan_son?_d=secCgYIASAHKAESMgowU2fOz7J44G2wmnLfUHXvtIQYmMxem0X8SwWuwW%2FkCjlH4z8HrgM04m1ok%2BIxGH3CGgA%3D&amp;checksum=d9e07affad1d9dd016a532da7f92f69c3ceb95f904e70a0418ff5af9dc488402&amp;language=vi&amp;sec_uid=MS4wLjABAAAAN8eSB3kGQOuEFzHLUjAtGFwD678pNNcf6xvkL_EzSG4&amp;sec_use=" TargetMode="External"/><Relationship Id="rId27" Type="http://schemas.openxmlformats.org/officeDocument/2006/relationships/hyperlink" Target="http://yody.vn/?affcode=INFHUONG035" TargetMode="External"/><Relationship Id="rId400" Type="http://schemas.openxmlformats.org/officeDocument/2006/relationships/hyperlink" Target="https://yody.vn/?affcode=INFUYEN356" TargetMode="External"/><Relationship Id="rId521" Type="http://schemas.openxmlformats.org/officeDocument/2006/relationships/hyperlink" Target="https://www.tiktok.com/@thanh_hang_1012?lang=vi-VN" TargetMode="External"/><Relationship Id="rId642" Type="http://schemas.openxmlformats.org/officeDocument/2006/relationships/hyperlink" Target="http://www.tiktok.com/@vsorl0602" TargetMode="External"/><Relationship Id="rId29" Type="http://schemas.openxmlformats.org/officeDocument/2006/relationships/hyperlink" Target="http://yody.vn/?affcode=INFSON699" TargetMode="External"/><Relationship Id="rId520" Type="http://schemas.openxmlformats.org/officeDocument/2006/relationships/hyperlink" Target="http://yody.vn/?affcode=INFMY536" TargetMode="External"/><Relationship Id="rId641" Type="http://schemas.openxmlformats.org/officeDocument/2006/relationships/hyperlink" Target="https://yody.vn/?affcode=INFNHI046" TargetMode="External"/><Relationship Id="rId640" Type="http://schemas.openxmlformats.org/officeDocument/2006/relationships/hyperlink" Target="https://www.facebook.com/profile.php?id=100007066488711" TargetMode="External"/><Relationship Id="rId760" Type="http://schemas.openxmlformats.org/officeDocument/2006/relationships/drawing" Target="../drawings/drawing2.xml"/><Relationship Id="rId11" Type="http://schemas.openxmlformats.org/officeDocument/2006/relationships/hyperlink" Target="http://yody.vn/?affcode=INFNHU209" TargetMode="External"/><Relationship Id="rId10" Type="http://schemas.openxmlformats.org/officeDocument/2006/relationships/hyperlink" Target="https://www.facebook.com/profile.php?id=100006045494111" TargetMode="External"/><Relationship Id="rId13" Type="http://schemas.openxmlformats.org/officeDocument/2006/relationships/hyperlink" Target="mailto:Vutienanh151299@gmail.com" TargetMode="External"/><Relationship Id="rId12" Type="http://schemas.openxmlformats.org/officeDocument/2006/relationships/hyperlink" Target="https://www.facebook.com/tienanh.vu.334" TargetMode="External"/><Relationship Id="rId519" Type="http://schemas.openxmlformats.org/officeDocument/2006/relationships/hyperlink" Target="https://www.tiktok.com/@mymeowwwwww?lang=vi-VN" TargetMode="External"/><Relationship Id="rId514" Type="http://schemas.openxmlformats.org/officeDocument/2006/relationships/hyperlink" Target="http://yody.vn/?affcode=INFAN380" TargetMode="External"/><Relationship Id="rId635" Type="http://schemas.openxmlformats.org/officeDocument/2006/relationships/hyperlink" Target="https://yody.vn/?affcode=INFKHUONG326" TargetMode="External"/><Relationship Id="rId756" Type="http://schemas.openxmlformats.org/officeDocument/2006/relationships/hyperlink" Target="https://www.tiktok.com/@gialinhnguyen.6?" TargetMode="External"/><Relationship Id="rId513" Type="http://schemas.openxmlformats.org/officeDocument/2006/relationships/hyperlink" Target="https://www.tiktok.com/@trnh.myan?lang=vi-VN" TargetMode="External"/><Relationship Id="rId634" Type="http://schemas.openxmlformats.org/officeDocument/2006/relationships/hyperlink" Target="https://www.facebook.com/INFO.TDK" TargetMode="External"/><Relationship Id="rId755" Type="http://schemas.openxmlformats.org/officeDocument/2006/relationships/hyperlink" Target="https://www.tiktok.com/@phamhuuthinh2003?" TargetMode="External"/><Relationship Id="rId512" Type="http://schemas.openxmlformats.org/officeDocument/2006/relationships/hyperlink" Target="http://yody.vn/?affcode=INFANH689" TargetMode="External"/><Relationship Id="rId633" Type="http://schemas.openxmlformats.org/officeDocument/2006/relationships/hyperlink" Target="https://yody.vn/?affcode=INFPHUONG847" TargetMode="External"/><Relationship Id="rId754" Type="http://schemas.openxmlformats.org/officeDocument/2006/relationships/hyperlink" Target="https://www.tiktok.com/@haivothotvai?" TargetMode="External"/><Relationship Id="rId511" Type="http://schemas.openxmlformats.org/officeDocument/2006/relationships/hyperlink" Target="https://www.facebook.com/djep.anna" TargetMode="External"/><Relationship Id="rId632" Type="http://schemas.openxmlformats.org/officeDocument/2006/relationships/hyperlink" Target="https://www.facebook.com/doalmp" TargetMode="External"/><Relationship Id="rId753" Type="http://schemas.openxmlformats.org/officeDocument/2006/relationships/hyperlink" Target="https://www.facebook.com/mktpda" TargetMode="External"/><Relationship Id="rId518" Type="http://schemas.openxmlformats.org/officeDocument/2006/relationships/hyperlink" Target="http://yody.vn/?affcode=INFCHIEN271" TargetMode="External"/><Relationship Id="rId639" Type="http://schemas.openxmlformats.org/officeDocument/2006/relationships/hyperlink" Target="https://yody.vn/?affcode=INFDIEM577" TargetMode="External"/><Relationship Id="rId517" Type="http://schemas.openxmlformats.org/officeDocument/2006/relationships/hyperlink" Target="https://www.tiktok.com/@dmc1998?lang=vi-VN" TargetMode="External"/><Relationship Id="rId638" Type="http://schemas.openxmlformats.org/officeDocument/2006/relationships/hyperlink" Target="https://www.facebook.com/thanhdiem.tran.3" TargetMode="External"/><Relationship Id="rId759" Type="http://schemas.openxmlformats.org/officeDocument/2006/relationships/hyperlink" Target="https://yody.vn/?affcode=INFKHAI131" TargetMode="External"/><Relationship Id="rId516" Type="http://schemas.openxmlformats.org/officeDocument/2006/relationships/hyperlink" Target="http://yody.vn/?affcode=INFKHOI335" TargetMode="External"/><Relationship Id="rId637" Type="http://schemas.openxmlformats.org/officeDocument/2006/relationships/hyperlink" Target="https://yody.vn/?affcode=INFBICH563" TargetMode="External"/><Relationship Id="rId758" Type="http://schemas.openxmlformats.org/officeDocument/2006/relationships/hyperlink" Target="https://www.tiktok.com/@khaicakhia99?" TargetMode="External"/><Relationship Id="rId515" Type="http://schemas.openxmlformats.org/officeDocument/2006/relationships/hyperlink" Target="https://www.tiktok.com/@chin7599?lang=vi-VN" TargetMode="External"/><Relationship Id="rId636" Type="http://schemas.openxmlformats.org/officeDocument/2006/relationships/hyperlink" Target="https://www.facebook.com/chou.kha.35" TargetMode="External"/><Relationship Id="rId757" Type="http://schemas.openxmlformats.org/officeDocument/2006/relationships/hyperlink" Target="https://yody.vn/?affcode=INFANH238" TargetMode="External"/><Relationship Id="rId15" Type="http://schemas.openxmlformats.org/officeDocument/2006/relationships/hyperlink" Target="https://www.tiktok.com/@giangdeyy0?_d=secCgYIASAHKAESMgow988Jxyix66aUaE1IN91FB%2BAvjh5oBzqyTpErF9Rf7dTZ4%2BihJieXoZLm9Wu7xQHrGgA%3D&amp;language=vi&amp;sec_uid=MS4wLjABAAAAmNVlvNW14QAKQhd1-0Iz-nbK_IYwb-Pr7_F9IIRrDd-MtCJVr9xxyii0v-ziNQDJ&amp;sec_user_id=MS4wLjABAAAAmNVlvNW14QAKQhd1-0Iz-nbK_IYwb-Pr7_F9IIRrDd-MtCJVr9xxyii0v-ziNQDJ&amp;share_app_id=1180&amp;share_author_id=6871748460979356673&amp;share_link_id=4ec7129c-9f42-40d7-b7f2-d357a15109b0&amp;timestamp=1624853479&amp;u_code=ded20kjk1b5aa9&amp;user_id=6871748460979356673&amp;utm_campaign=client_share&amp;utm_medium=android&amp;utm_source=copy&amp;source=h5_t&amp;_r=1" TargetMode="External"/><Relationship Id="rId14" Type="http://schemas.openxmlformats.org/officeDocument/2006/relationships/hyperlink" Target="http://yody.vn/?affcode=INFANH277" TargetMode="External"/><Relationship Id="rId17" Type="http://schemas.openxmlformats.org/officeDocument/2006/relationships/hyperlink" Target="https://www.tiktok.com/@bthuy124?lang=vi-VN" TargetMode="External"/><Relationship Id="rId16" Type="http://schemas.openxmlformats.org/officeDocument/2006/relationships/hyperlink" Target="http://yody.vn/?affcode=INFGIANG354" TargetMode="External"/><Relationship Id="rId19" Type="http://schemas.openxmlformats.org/officeDocument/2006/relationships/hyperlink" Target="https://www.facebook.com/tranhongphuc10798" TargetMode="External"/><Relationship Id="rId510" Type="http://schemas.openxmlformats.org/officeDocument/2006/relationships/hyperlink" Target="http://yody.vn/?affcode=INFQUYEN035" TargetMode="External"/><Relationship Id="rId631" Type="http://schemas.openxmlformats.org/officeDocument/2006/relationships/hyperlink" Target="https://yody.vn/?affcode=INFTHANH435" TargetMode="External"/><Relationship Id="rId752" Type="http://schemas.openxmlformats.org/officeDocument/2006/relationships/hyperlink" Target="https://www.facebook.com/nguyetbn.1979" TargetMode="External"/><Relationship Id="rId18" Type="http://schemas.openxmlformats.org/officeDocument/2006/relationships/hyperlink" Target="https://yody.vn/?affcode=INFTHUY282" TargetMode="External"/><Relationship Id="rId630" Type="http://schemas.openxmlformats.org/officeDocument/2006/relationships/hyperlink" Target="https://www.facebook.com/thienthanh0611" TargetMode="External"/><Relationship Id="rId751" Type="http://schemas.openxmlformats.org/officeDocument/2006/relationships/hyperlink" Target="https://www.facebook.com/profile.php?id=100009757666796" TargetMode="External"/><Relationship Id="rId750" Type="http://schemas.openxmlformats.org/officeDocument/2006/relationships/hyperlink" Target="https://yody.vn/?affcode=INFHENRY608" TargetMode="External"/><Relationship Id="rId84" Type="http://schemas.openxmlformats.org/officeDocument/2006/relationships/hyperlink" Target="http://yody.vn/?affcode=INFDUY201" TargetMode="External"/><Relationship Id="rId83" Type="http://schemas.openxmlformats.org/officeDocument/2006/relationships/hyperlink" Target="https://vt.tiktok.com/ZGJkNyorp/" TargetMode="External"/><Relationship Id="rId86" Type="http://schemas.openxmlformats.org/officeDocument/2006/relationships/hyperlink" Target="https://yody.vn/?affcode=INFTHINH473" TargetMode="External"/><Relationship Id="rId85" Type="http://schemas.openxmlformats.org/officeDocument/2006/relationships/hyperlink" Target="https://www.tiktok.com/@thinhnguyenart_official" TargetMode="External"/><Relationship Id="rId88" Type="http://schemas.openxmlformats.org/officeDocument/2006/relationships/hyperlink" Target="https://yody.vn/?affcode=INFHUONG814" TargetMode="External"/><Relationship Id="rId87" Type="http://schemas.openxmlformats.org/officeDocument/2006/relationships/hyperlink" Target="https://www.facebook.com/annahuong2310" TargetMode="External"/><Relationship Id="rId89" Type="http://schemas.openxmlformats.org/officeDocument/2006/relationships/hyperlink" Target="https://www.facebook.com/hermy.meo" TargetMode="External"/><Relationship Id="rId709" Type="http://schemas.openxmlformats.org/officeDocument/2006/relationships/hyperlink" Target="http://yody.vn/?affcode=INFANH693" TargetMode="External"/><Relationship Id="rId708" Type="http://schemas.openxmlformats.org/officeDocument/2006/relationships/hyperlink" Target="https://www.tiktok.com/@phucanhh_?lang=vi-VN" TargetMode="External"/><Relationship Id="rId707" Type="http://schemas.openxmlformats.org/officeDocument/2006/relationships/hyperlink" Target="http://yody.vn/?affcode=INFPHUONG442" TargetMode="External"/><Relationship Id="rId706" Type="http://schemas.openxmlformats.org/officeDocument/2006/relationships/hyperlink" Target="https://www.tiktok.com/@phuongnguyen4866?lang=vi-VN" TargetMode="External"/><Relationship Id="rId80" Type="http://schemas.openxmlformats.org/officeDocument/2006/relationships/hyperlink" Target="https://www.facebook.com/ToanPRDs.Yeah1Network" TargetMode="External"/><Relationship Id="rId82" Type="http://schemas.openxmlformats.org/officeDocument/2006/relationships/hyperlink" Target="http://yody.vn/?affcode=INFTOAN565" TargetMode="External"/><Relationship Id="rId81" Type="http://schemas.openxmlformats.org/officeDocument/2006/relationships/hyperlink" Target="https://www.tiktok.com/@toanprdsofficial" TargetMode="External"/><Relationship Id="rId701" Type="http://schemas.openxmlformats.org/officeDocument/2006/relationships/hyperlink" Target="http://yody.vn/?affcode=INFVAN260" TargetMode="External"/><Relationship Id="rId700" Type="http://schemas.openxmlformats.org/officeDocument/2006/relationships/hyperlink" Target="https://www.tiktok.com/@khvan19?lang=vi-VN" TargetMode="External"/><Relationship Id="rId705" Type="http://schemas.openxmlformats.org/officeDocument/2006/relationships/hyperlink" Target="http://yody.vn/?affcode=INFTRINH643" TargetMode="External"/><Relationship Id="rId704" Type="http://schemas.openxmlformats.org/officeDocument/2006/relationships/hyperlink" Target="https://www.facebook.com/tutrinh.daophan/" TargetMode="External"/><Relationship Id="rId703" Type="http://schemas.openxmlformats.org/officeDocument/2006/relationships/hyperlink" Target="http://yody.vn/?affcode=INFHAO297" TargetMode="External"/><Relationship Id="rId702" Type="http://schemas.openxmlformats.org/officeDocument/2006/relationships/hyperlink" Target="https://www.tiktok.com/@123maumummimkiuu.tt.0910?" TargetMode="External"/><Relationship Id="rId73" Type="http://schemas.openxmlformats.org/officeDocument/2006/relationships/hyperlink" Target="http://yody.vn/?affcode=INFCHINH015" TargetMode="External"/><Relationship Id="rId72" Type="http://schemas.openxmlformats.org/officeDocument/2006/relationships/hyperlink" Target="mailto:vuthiphuongchinh3001@gmail.com" TargetMode="External"/><Relationship Id="rId75" Type="http://schemas.openxmlformats.org/officeDocument/2006/relationships/hyperlink" Target="mailto:dangxox@gmail.com" TargetMode="External"/><Relationship Id="rId74" Type="http://schemas.openxmlformats.org/officeDocument/2006/relationships/hyperlink" Target="https://www.tiktok.com/@bedangbae" TargetMode="External"/><Relationship Id="rId77" Type="http://schemas.openxmlformats.org/officeDocument/2006/relationships/hyperlink" Target="https://www.tiktok.com/@moe1m77?_d=secCgYIASAHKAESMgowX96SrOZ8nMxUxpILSYA2rMsRuBhBMQly21%2FfRsxQuVAj5is7qQMT23w7uGa9FNJ5GgA%3D&amp;language=vi&amp;sec_uid=MS4wLjABAAAA81gWzsQFklmyLoFrbaztSVBg0L5gJ42NwvzalWlU7aLKZTswJMJt-4JFK0OJpg_e&amp;sec_user_id=MS4wLjABAAAA81gWzsQFklmyLoFrbaztSVBg0L5gJ42NwvzalWlU7aLKZTswJMJt-4JFK0OJpg_e&amp;share_author_id=6668121670345129985&amp;share_link_id=0F10D4FF-FA45-418A-8A3A-4EBE34B3AFDF&amp;tt_from=copy&amp;u_code=d568f720f2f4h2&amp;user_id=6668121670345129985&amp;utm_campaign=client_share&amp;utm_medium=ios&amp;utm_source=copy&amp;source=h5_t&amp;_r=1" TargetMode="External"/><Relationship Id="rId76" Type="http://schemas.openxmlformats.org/officeDocument/2006/relationships/hyperlink" Target="https://yody.vn/?affcode=INFDANG045" TargetMode="External"/><Relationship Id="rId79" Type="http://schemas.openxmlformats.org/officeDocument/2006/relationships/hyperlink" Target="http://yody.vn/?affcode=INFTOAN673" TargetMode="External"/><Relationship Id="rId78" Type="http://schemas.openxmlformats.org/officeDocument/2006/relationships/hyperlink" Target="http://yody.vn/?affcode=INFAN937" TargetMode="External"/><Relationship Id="rId71" Type="http://schemas.openxmlformats.org/officeDocument/2006/relationships/hyperlink" Target="https://www.facebook.com/chinchinnnnnn" TargetMode="External"/><Relationship Id="rId70" Type="http://schemas.openxmlformats.org/officeDocument/2006/relationships/hyperlink" Target="http://yody.vn/?affcode=INFLY965" TargetMode="External"/><Relationship Id="rId62" Type="http://schemas.openxmlformats.org/officeDocument/2006/relationships/hyperlink" Target="https://www.tiktok.com/@anhthuyet?_d=secCgYIASAHKAESMgowSW%2FSb4NcyYxOhJ1UM3JlomHVDOUqLXp1XuyVSiDbtZR4EZZKcVN5YcTHwwvYizZUGgA%3D&amp;language=vi&amp;mid=6972111708437744386&amp;preview_pb=0&amp;region=VN&amp;sec_user_id=MS4wLjABAAAAZ2-PwUDFTkxcGnIDnctH96UMosXcNvT-O_WPngOkIryWOCUSvmfjwhoG4rIYF4ny&amp;share_app_id=1180&amp;share_item_id=6972111780659088642&amp;share_link_id=6D3C1D5F-F3BB-43BE-8D13-A4E77D8ACF73&amp;source=h5_t&amp;timestamp=1623321453&amp;tt_from=facebook&amp;u_code=d4406lbhfgjdi1&amp;user_id=6643954933451423746&amp;utm_campaign=client_share&amp;utm_medium=ios&amp;utm_source=facebook&amp;_r=1" TargetMode="External"/><Relationship Id="rId61" Type="http://schemas.openxmlformats.org/officeDocument/2006/relationships/hyperlink" Target="http://www.tiktok.com/@sugarloves2" TargetMode="External"/><Relationship Id="rId64" Type="http://schemas.openxmlformats.org/officeDocument/2006/relationships/hyperlink" Target="http://yody.vn/?affcode=INFTHANG040" TargetMode="External"/><Relationship Id="rId63" Type="http://schemas.openxmlformats.org/officeDocument/2006/relationships/hyperlink" Target="http://yody.vn/?affcode=INFTHUYET316" TargetMode="External"/><Relationship Id="rId66" Type="http://schemas.openxmlformats.org/officeDocument/2006/relationships/hyperlink" Target="http://yody.vn/?affcode=INFNGOC361" TargetMode="External"/><Relationship Id="rId65" Type="http://schemas.openxmlformats.org/officeDocument/2006/relationships/hyperlink" Target="https://www.facebook.com/profile.php?id=100028527371304" TargetMode="External"/><Relationship Id="rId68" Type="http://schemas.openxmlformats.org/officeDocument/2006/relationships/hyperlink" Target="https://yody.vn/?affcode=INFHAN224" TargetMode="External"/><Relationship Id="rId67" Type="http://schemas.openxmlformats.org/officeDocument/2006/relationships/hyperlink" Target="https://www.facebook.com/profile.php?id=100005017755791" TargetMode="External"/><Relationship Id="rId609" Type="http://schemas.openxmlformats.org/officeDocument/2006/relationships/hyperlink" Target="https://yody.vn/?affcode=INFVU350" TargetMode="External"/><Relationship Id="rId608" Type="http://schemas.openxmlformats.org/officeDocument/2006/relationships/hyperlink" Target="https://www.facebook.com/profile.php?id=100013541372885" TargetMode="External"/><Relationship Id="rId729" Type="http://schemas.openxmlformats.org/officeDocument/2006/relationships/hyperlink" Target="https://www.tiktok.com/@macthiyen?lang=vi-VN" TargetMode="External"/><Relationship Id="rId607" Type="http://schemas.openxmlformats.org/officeDocument/2006/relationships/hyperlink" Target="https://yody.vn/?affcode=INFTU498" TargetMode="External"/><Relationship Id="rId728" Type="http://schemas.openxmlformats.org/officeDocument/2006/relationships/hyperlink" Target="http://yody.vn/?affcode=INFTRANG939" TargetMode="External"/><Relationship Id="rId60" Type="http://schemas.openxmlformats.org/officeDocument/2006/relationships/hyperlink" Target="https://yody.vn/?affcode=INFVI868" TargetMode="External"/><Relationship Id="rId602" Type="http://schemas.openxmlformats.org/officeDocument/2006/relationships/hyperlink" Target="https://www.facebook.com/NguyenThanhLoi.INFO" TargetMode="External"/><Relationship Id="rId723" Type="http://schemas.openxmlformats.org/officeDocument/2006/relationships/hyperlink" Target="https://www.tiktok.com/@baona_0801?lang=vi-VN" TargetMode="External"/><Relationship Id="rId601" Type="http://schemas.openxmlformats.org/officeDocument/2006/relationships/hyperlink" Target="https://yody.vn/?affcode=INFHANH836" TargetMode="External"/><Relationship Id="rId722" Type="http://schemas.openxmlformats.org/officeDocument/2006/relationships/hyperlink" Target="http://yody.vn/?affcode=INFLINH616" TargetMode="External"/><Relationship Id="rId600" Type="http://schemas.openxmlformats.org/officeDocument/2006/relationships/hyperlink" Target="https://www.facebook.com/phamthihonghanh.iu" TargetMode="External"/><Relationship Id="rId721" Type="http://schemas.openxmlformats.org/officeDocument/2006/relationships/hyperlink" Target="https://www.tiktok.com/@linhkool1993?lang=vi-VN&amp;is_copy_url=1&amp;is_from_webapp=v1" TargetMode="External"/><Relationship Id="rId720" Type="http://schemas.openxmlformats.org/officeDocument/2006/relationships/hyperlink" Target="http://yody.vn/?affcode=INFNGUYEN899" TargetMode="External"/><Relationship Id="rId606" Type="http://schemas.openxmlformats.org/officeDocument/2006/relationships/hyperlink" Target="https://www.facebook.com/tuba.haha.1" TargetMode="External"/><Relationship Id="rId727" Type="http://schemas.openxmlformats.org/officeDocument/2006/relationships/hyperlink" Target="https://www.tiktok.com/@luuhuyentrang.nami?lang=vi-VN" TargetMode="External"/><Relationship Id="rId605" Type="http://schemas.openxmlformats.org/officeDocument/2006/relationships/hyperlink" Target="https://yody.vn/?affcode=INFHA392" TargetMode="External"/><Relationship Id="rId726" Type="http://schemas.openxmlformats.org/officeDocument/2006/relationships/hyperlink" Target="http://yody.vn/?affcode=INFHIEN924" TargetMode="External"/><Relationship Id="rId604" Type="http://schemas.openxmlformats.org/officeDocument/2006/relationships/hyperlink" Target="https://www.facebook.com/camy0210" TargetMode="External"/><Relationship Id="rId725" Type="http://schemas.openxmlformats.org/officeDocument/2006/relationships/hyperlink" Target="https://www.tiktok.com/@hinnf_203?lang=vi-VN&amp;is_copy_url=1&amp;is_from_webapp=v1" TargetMode="External"/><Relationship Id="rId603" Type="http://schemas.openxmlformats.org/officeDocument/2006/relationships/hyperlink" Target="https://yody.vn/?affcode=INFLOI543" TargetMode="External"/><Relationship Id="rId724" Type="http://schemas.openxmlformats.org/officeDocument/2006/relationships/hyperlink" Target="http://yody.vn/?affcode=INFNA041" TargetMode="External"/><Relationship Id="rId69" Type="http://schemas.openxmlformats.org/officeDocument/2006/relationships/hyperlink" Target="https://www.tiktok.com/@thokiwi98?_d=secCgYIASAHKAESMgowHiRbv8eLKwD%2BQnoG4m8EHitgHqDt86F53HC2UnAP6PJntUN4SNT%2FJLDP0cZeyr06GgA%3D&amp;checksum=36beed4c5d4240db22cf3edc8ef2588368eab64c615105924e2ab27abd5c73a1&amp;language=vi&amp;sec_uid=MS4wLjABAAAAJTc3KSMGA-khACplMn8imeBu2yBQMCJpURpEg5CLlfU&amp;sec_user_id=MS4wLjABAAAAJTc3KSMGA-khACplMn8imeBu2yBQMCJpURpEg5CLlfU&amp;share_app_id=1180&amp;share_author_id=66049450946&amp;share_link_id=0D1B8447-E5A7-4D81-8098-A1DC94D36D37&amp;tt_from=copy&amp;u_code=j93ll63c&amp;user_id=66049450946&amp;utm_campaign=client_share&amp;utm_medium=ios&amp;utm_source=copy&amp;source=h5_t&amp;_r=1" TargetMode="External"/><Relationship Id="rId51" Type="http://schemas.openxmlformats.org/officeDocument/2006/relationships/hyperlink" Target="https://www.facebook.com/thaonhi.lam.16121" TargetMode="External"/><Relationship Id="rId50" Type="http://schemas.openxmlformats.org/officeDocument/2006/relationships/hyperlink" Target="http://yody.vn/?affcode=INFHANG536" TargetMode="External"/><Relationship Id="rId53" Type="http://schemas.openxmlformats.org/officeDocument/2006/relationships/hyperlink" Target="https://www.tiktok.com/@soojin51296?_d=secCgYIASAHKAESMgow7WIA0qnj4vBsarloaaMjNU3Jb070s8dsoLZa8GzsD3NncVWbwqMzg%2BkoRwqZlPOTGgA%3D&amp;checksum=52f6cca1f367276b51bc26e55ae0a0ad60a581f0bde7002f666f4311cce2e0f4&amp;language=vi&amp;sec_uid=MS4wLjABAAAAt4YD4lVh60EETDI6Wy9tPUTMJrVc6-v_G58DKXwtxEcBwPRHqZHugfOhwcCM4mB7&amp;sec_user_id=MS4wLjABAAAAt4YD4lVh60EETDI6Wy9tPUTMJrVc6-v_G58DKXwtxEcBwPRHqZHugfOhwcCM4mB7&amp;share_app_id=1180&amp;share_author_id=6531199411417284610&amp;share_link_id=F6924327-0174-410F-AED8-948EDED9CA11&amp;tt_from=copy&amp;u_code=cm0fb1c7j12lji&amp;user_id=6531199411417284610&amp;utm_campaign=client_share&amp;utm_medium=ios&amp;utm_source=copy&amp;source=h5_t&amp;_r=1" TargetMode="External"/><Relationship Id="rId52" Type="http://schemas.openxmlformats.org/officeDocument/2006/relationships/hyperlink" Target="http://yody.vn/?affcode=INFNHI579" TargetMode="External"/><Relationship Id="rId55" Type="http://schemas.openxmlformats.org/officeDocument/2006/relationships/hyperlink" Target="https://www.tiktok.com/@cu_bo2018?lang=vi-VN&amp;is_copy_url=1&amp;is_from_webapp=v1" TargetMode="External"/><Relationship Id="rId54" Type="http://schemas.openxmlformats.org/officeDocument/2006/relationships/hyperlink" Target="http://yody.vn/?affcode=INFTU694" TargetMode="External"/><Relationship Id="rId57" Type="http://schemas.openxmlformats.org/officeDocument/2006/relationships/hyperlink" Target="https://www.facebook.com/tieuthu.nguyen.756" TargetMode="External"/><Relationship Id="rId56" Type="http://schemas.openxmlformats.org/officeDocument/2006/relationships/hyperlink" Target="http://yody.vn/?affcode=INFHIEN432" TargetMode="External"/><Relationship Id="rId719" Type="http://schemas.openxmlformats.org/officeDocument/2006/relationships/hyperlink" Target="https://www.tiktok.com/@nguyn35?lang=vi-VN" TargetMode="External"/><Relationship Id="rId718" Type="http://schemas.openxmlformats.org/officeDocument/2006/relationships/hyperlink" Target="http://yody.vn/?affcode=INFPHUONG555" TargetMode="External"/><Relationship Id="rId717" Type="http://schemas.openxmlformats.org/officeDocument/2006/relationships/hyperlink" Target="https://www.tiktok.com/@phuongku101?lang=vi-VN" TargetMode="External"/><Relationship Id="rId712" Type="http://schemas.openxmlformats.org/officeDocument/2006/relationships/hyperlink" Target="http://yody.vn/?affcode=INFNHUNG580" TargetMode="External"/><Relationship Id="rId711" Type="http://schemas.openxmlformats.org/officeDocument/2006/relationships/hyperlink" Target="http://yody.vn/?affcode=INFLE327" TargetMode="External"/><Relationship Id="rId710" Type="http://schemas.openxmlformats.org/officeDocument/2006/relationships/hyperlink" Target="https://www.tiktok.com/@nhatlej?lang=vi-VN" TargetMode="External"/><Relationship Id="rId716" Type="http://schemas.openxmlformats.org/officeDocument/2006/relationships/hyperlink" Target="http://yody.vn/?affcode=INFHIEU043" TargetMode="External"/><Relationship Id="rId715" Type="http://schemas.openxmlformats.org/officeDocument/2006/relationships/hyperlink" Target="https://www.facebook.com/bui27hieu02" TargetMode="External"/><Relationship Id="rId714" Type="http://schemas.openxmlformats.org/officeDocument/2006/relationships/hyperlink" Target="http://yody.vn/?affcode=INFY173" TargetMode="External"/><Relationship Id="rId713" Type="http://schemas.openxmlformats.org/officeDocument/2006/relationships/hyperlink" Target="https://www.facebook.com/profile.php?id=100070123552206" TargetMode="External"/><Relationship Id="rId59" Type="http://schemas.openxmlformats.org/officeDocument/2006/relationships/hyperlink" Target="https://www.facebook.com/tuongvi69" TargetMode="External"/><Relationship Id="rId58" Type="http://schemas.openxmlformats.org/officeDocument/2006/relationships/hyperlink" Target="https://yody.vn/?affcode=INFTHU171" TargetMode="External"/><Relationship Id="rId590" Type="http://schemas.openxmlformats.org/officeDocument/2006/relationships/hyperlink" Target="https://www.tiktok.com/@to_nhu186?_d=secCgYIASAHKAESMgowRB05cf5I1hEo1Bpx8c0ItPSoNeTGqkmSkEPN9XiipTQSwQmQrUkbWk4PrkhxzgFQGgA%3D&amp;language=vi&amp;sec_uid=MS4wLjABAAAAv9MsLncykJkJUZs2ExHaR9x8XRAccJhwOPbkgyBKFb-PfarLxqpnLJ2KRhxf9fnc&amp;sec_user_id=MS4wLjABAAAAuQNMRFDPwU_BEd0rh7SxpV4o8Cd9qkxbR7fpGWFKrQN0HJ4bKDvFQxXUjVGYCME3&amp;share_author_id=6738778864418620417&amp;share_link_id=4F930DED-5E20-4327-A320-4745A355B71C&amp;tt_from=copy&amp;u_code=d2hke0g5gf9am1&amp;user_id=6613353521608867842&amp;utm_campaign=client_share&amp;utm_medium=ios&amp;utm_source=copy&amp;source=h5_t&amp;_r=1" TargetMode="External"/><Relationship Id="rId107" Type="http://schemas.openxmlformats.org/officeDocument/2006/relationships/hyperlink" Target="http://yody.vn/?affcode=INFDUONG116" TargetMode="External"/><Relationship Id="rId228" Type="http://schemas.openxmlformats.org/officeDocument/2006/relationships/hyperlink" Target="https://yody.vn/?affcode=INFTHU737" TargetMode="External"/><Relationship Id="rId349" Type="http://schemas.openxmlformats.org/officeDocument/2006/relationships/hyperlink" Target="https://www.facebook.com/AnhTu.BoysCOCA" TargetMode="External"/><Relationship Id="rId106" Type="http://schemas.openxmlformats.org/officeDocument/2006/relationships/hyperlink" Target="https://www.tiktok.com/@sunflizme?fbclid=IwAR0E43NKJLCt-z4LD78s4bQQ9ZqVIKKYEd74EJeQ0PZkfhbykES8DJvgLaE" TargetMode="External"/><Relationship Id="rId227" Type="http://schemas.openxmlformats.org/officeDocument/2006/relationships/hyperlink" Target="https://www.tiktok.com/@tolathule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" TargetMode="External"/><Relationship Id="rId348" Type="http://schemas.openxmlformats.org/officeDocument/2006/relationships/hyperlink" Target="http://yody.vn/?affcode=INFHUE673" TargetMode="External"/><Relationship Id="rId469" Type="http://schemas.openxmlformats.org/officeDocument/2006/relationships/hyperlink" Target="https://www.facebook.com/uyen.officall" TargetMode="External"/><Relationship Id="rId105" Type="http://schemas.openxmlformats.org/officeDocument/2006/relationships/hyperlink" Target="http://yody.vn/?affcode=INFANH828" TargetMode="External"/><Relationship Id="rId226" Type="http://schemas.openxmlformats.org/officeDocument/2006/relationships/hyperlink" Target="https://yody.vn/?affcode=INFVI950" TargetMode="External"/><Relationship Id="rId347" Type="http://schemas.openxmlformats.org/officeDocument/2006/relationships/hyperlink" Target="https://www.facebook.com/01633166673h" TargetMode="External"/><Relationship Id="rId468" Type="http://schemas.openxmlformats.org/officeDocument/2006/relationships/hyperlink" Target="https://yody.vn/?affcode=INFMINH376" TargetMode="External"/><Relationship Id="rId589" Type="http://schemas.openxmlformats.org/officeDocument/2006/relationships/hyperlink" Target="https://yody.vn/?affcode=INFDUC556" TargetMode="External"/><Relationship Id="rId104" Type="http://schemas.openxmlformats.org/officeDocument/2006/relationships/hyperlink" Target="https://www.tiktok.com/@phun.anh?_d=secCgYIASAHKAESMgowlD%2FL%2BcRO8QSWpSuiLAZjYB0jZA8dOSHEAec5Hicybe2i9VXXW27k7IKkbcWYsRm6GgA%3D&amp;language=vi&amp;sec_uid=MS4wLjABAAAAIy456DEbpTG-RG9C-KOnsestGoreJHFM4rSV2ZYEUnBuDV75CKRWL7ZdesHkdHMi&amp;sec_user_id=MS4wLjABAAAAIy456DEbpTG-RG9C-KOnsestGoreJHFM4rSV2ZYEUnBuDV75CKRWL7ZdesHkdHMi&amp;share_app_id=1180&amp;share_author_id=6706274372207789057&amp;share_link_id=8b1e2230-0366-4d10-8ca6-ac501d66dc69&amp;timestamp=1624588926&amp;u_code=d709efjclbkhf0&amp;user_id=6706274372207789057&amp;utm_campaign=client_share&amp;utm_medium=android&amp;utm_source=copy&amp;source=h5_t&amp;_r=1&amp;is_copy_url=1&amp;is_from_webapp=v1" TargetMode="External"/><Relationship Id="rId225" Type="http://schemas.openxmlformats.org/officeDocument/2006/relationships/hyperlink" Target="https://www.tiktok.com/@truongvihihi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" TargetMode="External"/><Relationship Id="rId346" Type="http://schemas.openxmlformats.org/officeDocument/2006/relationships/hyperlink" Target="https://yody.vn/?affcode=INFCHAM266" TargetMode="External"/><Relationship Id="rId467" Type="http://schemas.openxmlformats.org/officeDocument/2006/relationships/hyperlink" Target="https://vt.tiktok.com/ZSJs8YG2h/" TargetMode="External"/><Relationship Id="rId588" Type="http://schemas.openxmlformats.org/officeDocument/2006/relationships/hyperlink" Target="mailto:anhductrinh206@gmail.com" TargetMode="External"/><Relationship Id="rId109" Type="http://schemas.openxmlformats.org/officeDocument/2006/relationships/hyperlink" Target="http://yody.vn/?affcode=INFHOAI569" TargetMode="External"/><Relationship Id="rId108" Type="http://schemas.openxmlformats.org/officeDocument/2006/relationships/hyperlink" Target="https://www.tiktok.com/@mango011101?_d=secCgYIASAHKAESMgowhWpvbqjwChRfci2KwctRt67QNP6%2F4o%2F%2B1n3nHuWue5skFSHTKyF4FJ%2B2nbjOhRTdGgA%3D&amp;checksum=eb8d3abd29e20ecee77c6fdc40ba884c8aec212a7c24fc567b1e47bf53c4e505&amp;language=vi&amp;sec_uid=MS4wLjABAAAADLH886uP_jHsvzCx7YgZtXznCD5uAd1oM694jSzVJIQLESpe85AUfW-XZRCx50kv&amp;sec_user_id=MS4wLjABAAAADLH886uP_jHsvzCx7YgZtXznCD5uAd1oM694jSzVJIQLESpe85AUfW-XZRCx50kv&amp;share_app_id=1180&amp;share_author_id=6662189145480478721&amp;share_link_id=5F562547-0082-4479-AC30-DAE9B2CB6DC4&amp;tt_from=copy&amp;u_code=d503ad2f20e8i8&amp;user_id=6662189145480478721&amp;utm_campaign=client_share&amp;utm_medium=ios&amp;utm_source=copy&amp;source=h5_t&amp;_r=1" TargetMode="External"/><Relationship Id="rId229" Type="http://schemas.openxmlformats.org/officeDocument/2006/relationships/hyperlink" Target="https://www.tiktok.com/@thaochoe69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" TargetMode="External"/><Relationship Id="rId220" Type="http://schemas.openxmlformats.org/officeDocument/2006/relationships/hyperlink" Target="https://www.tiktok.com/@_ram215" TargetMode="External"/><Relationship Id="rId341" Type="http://schemas.openxmlformats.org/officeDocument/2006/relationships/hyperlink" Target="https://www.facebook.com/huong.33671" TargetMode="External"/><Relationship Id="rId462" Type="http://schemas.openxmlformats.org/officeDocument/2006/relationships/hyperlink" Target="https://yody.vn/?affcode=INFTU164" TargetMode="External"/><Relationship Id="rId583" Type="http://schemas.openxmlformats.org/officeDocument/2006/relationships/hyperlink" Target="https://www.facebook.com/lili.lyn.7" TargetMode="External"/><Relationship Id="rId340" Type="http://schemas.openxmlformats.org/officeDocument/2006/relationships/hyperlink" Target="https://yody.vn/?affcode=INFHUYEN136" TargetMode="External"/><Relationship Id="rId461" Type="http://schemas.openxmlformats.org/officeDocument/2006/relationships/hyperlink" Target="https://www.facebook.com/profile.php?id=100007197069413" TargetMode="External"/><Relationship Id="rId582" Type="http://schemas.openxmlformats.org/officeDocument/2006/relationships/hyperlink" Target="https://yody.vn/?affcode=INFLAN889" TargetMode="External"/><Relationship Id="rId460" Type="http://schemas.openxmlformats.org/officeDocument/2006/relationships/hyperlink" Target="https://yody.vn/?affcode=INFKHANH998" TargetMode="External"/><Relationship Id="rId581" Type="http://schemas.openxmlformats.org/officeDocument/2006/relationships/hyperlink" Target="https://www.facebook.com/trinhthuylan3004/" TargetMode="External"/><Relationship Id="rId580" Type="http://schemas.openxmlformats.org/officeDocument/2006/relationships/hyperlink" Target="https://yody.vn/?affcode=INFANH017" TargetMode="External"/><Relationship Id="rId103" Type="http://schemas.openxmlformats.org/officeDocument/2006/relationships/hyperlink" Target="http://yody.vn/?affcode=INFHA929" TargetMode="External"/><Relationship Id="rId224" Type="http://schemas.openxmlformats.org/officeDocument/2006/relationships/hyperlink" Target="https://yody.vn/?affcode=INFTHY605" TargetMode="External"/><Relationship Id="rId345" Type="http://schemas.openxmlformats.org/officeDocument/2006/relationships/hyperlink" Target="https://www.facebook.com/meo.moon.522" TargetMode="External"/><Relationship Id="rId466" Type="http://schemas.openxmlformats.org/officeDocument/2006/relationships/hyperlink" Target="https://yody.vn/?affcode=INFUYEN994" TargetMode="External"/><Relationship Id="rId587" Type="http://schemas.openxmlformats.org/officeDocument/2006/relationships/hyperlink" Target="https://www.facebook.com/trinhanhduc206" TargetMode="External"/><Relationship Id="rId102" Type="http://schemas.openxmlformats.org/officeDocument/2006/relationships/hyperlink" Target="https://www.tiktok.com/@hth.1909?lang=vi-VN" TargetMode="External"/><Relationship Id="rId223" Type="http://schemas.openxmlformats.org/officeDocument/2006/relationships/hyperlink" Target="https://www.facebook.com/dthy.1010/?show_switched_toast=0&amp;show_switched_tooltip=0&amp;show_podcast_settings=0" TargetMode="External"/><Relationship Id="rId344" Type="http://schemas.openxmlformats.org/officeDocument/2006/relationships/hyperlink" Target="https://yody.vn/?affcode=INFPHUONG582" TargetMode="External"/><Relationship Id="rId465" Type="http://schemas.openxmlformats.org/officeDocument/2006/relationships/hyperlink" Target="https://www.facebook.com/ali.nguyen2312" TargetMode="External"/><Relationship Id="rId586" Type="http://schemas.openxmlformats.org/officeDocument/2006/relationships/hyperlink" Target="https://yody.vn/?affcode=INFTHANH912" TargetMode="External"/><Relationship Id="rId101" Type="http://schemas.openxmlformats.org/officeDocument/2006/relationships/hyperlink" Target="https://yody.vn/?affcode=INFTHAO439" TargetMode="External"/><Relationship Id="rId222" Type="http://schemas.openxmlformats.org/officeDocument/2006/relationships/hyperlink" Target="https://www.tiktok.com/@dongthy_1010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" TargetMode="External"/><Relationship Id="rId343" Type="http://schemas.openxmlformats.org/officeDocument/2006/relationships/hyperlink" Target="https://www.facebook.com/thanhphuong82" TargetMode="External"/><Relationship Id="rId464" Type="http://schemas.openxmlformats.org/officeDocument/2006/relationships/hyperlink" Target="https://yody.vn/?affcode=INFHOI201" TargetMode="External"/><Relationship Id="rId585" Type="http://schemas.openxmlformats.org/officeDocument/2006/relationships/hyperlink" Target="https://m.facebook.com/thanh.baddykutee" TargetMode="External"/><Relationship Id="rId100" Type="http://schemas.openxmlformats.org/officeDocument/2006/relationships/hyperlink" Target="https://yody.vn/?affcode=INFHOA600" TargetMode="External"/><Relationship Id="rId221" Type="http://schemas.openxmlformats.org/officeDocument/2006/relationships/hyperlink" Target="https://yody.vn/?affcode=INFPHONG346" TargetMode="External"/><Relationship Id="rId342" Type="http://schemas.openxmlformats.org/officeDocument/2006/relationships/hyperlink" Target="https://yody.vn/?affcode=INFHUONG161" TargetMode="External"/><Relationship Id="rId463" Type="http://schemas.openxmlformats.org/officeDocument/2006/relationships/hyperlink" Target="https://www.facebook.com/nguyen.tanhoi.752" TargetMode="External"/><Relationship Id="rId584" Type="http://schemas.openxmlformats.org/officeDocument/2006/relationships/hyperlink" Target="https://yody.vn/?affcode=INFLINH333" TargetMode="External"/><Relationship Id="rId217" Type="http://schemas.openxmlformats.org/officeDocument/2006/relationships/hyperlink" Target="https://yody.vn/?affcode=INFTRANG994" TargetMode="External"/><Relationship Id="rId338" Type="http://schemas.openxmlformats.org/officeDocument/2006/relationships/hyperlink" Target="https://yody.vn/?affcode=INFCUON129" TargetMode="External"/><Relationship Id="rId459" Type="http://schemas.openxmlformats.org/officeDocument/2006/relationships/hyperlink" Target="https://www.facebook.com/khanh1919" TargetMode="External"/><Relationship Id="rId216" Type="http://schemas.openxmlformats.org/officeDocument/2006/relationships/hyperlink" Target="https://www.tiktok.com/@trangrung08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" TargetMode="External"/><Relationship Id="rId337" Type="http://schemas.openxmlformats.org/officeDocument/2006/relationships/hyperlink" Target="https://vt.tiktok.com/ZGJSJyS6K/" TargetMode="External"/><Relationship Id="rId458" Type="http://schemas.openxmlformats.org/officeDocument/2006/relationships/hyperlink" Target="https://yody.vn/?affcode=INFTRUONG665" TargetMode="External"/><Relationship Id="rId579" Type="http://schemas.openxmlformats.org/officeDocument/2006/relationships/hyperlink" Target="https://www.facebook.com/tranphuonganh1912/" TargetMode="External"/><Relationship Id="rId215" Type="http://schemas.openxmlformats.org/officeDocument/2006/relationships/hyperlink" Target="https://yody.vn/?affcode=INFDUC356" TargetMode="External"/><Relationship Id="rId336" Type="http://schemas.openxmlformats.org/officeDocument/2006/relationships/hyperlink" Target="https://yody.vn/?affcode=INFHANG498" TargetMode="External"/><Relationship Id="rId457" Type="http://schemas.openxmlformats.org/officeDocument/2006/relationships/hyperlink" Target="https://www.facebook.com/doquangtruong2021" TargetMode="External"/><Relationship Id="rId578" Type="http://schemas.openxmlformats.org/officeDocument/2006/relationships/hyperlink" Target="https://yody.vn/?affcode=INFTRANG116" TargetMode="External"/><Relationship Id="rId699" Type="http://schemas.openxmlformats.org/officeDocument/2006/relationships/hyperlink" Target="http://yody.vn/?affcode=INFTRANG555" TargetMode="External"/><Relationship Id="rId214" Type="http://schemas.openxmlformats.org/officeDocument/2006/relationships/hyperlink" Target="https://www.tiktok.com/@ducvamy?lang=vi-VN" TargetMode="External"/><Relationship Id="rId335" Type="http://schemas.openxmlformats.org/officeDocument/2006/relationships/hyperlink" Target="https://www.facebook.com/hang.dothi.378" TargetMode="External"/><Relationship Id="rId456" Type="http://schemas.openxmlformats.org/officeDocument/2006/relationships/hyperlink" Target="https://yody.vn/?affcode=INFHUY602" TargetMode="External"/><Relationship Id="rId577" Type="http://schemas.openxmlformats.org/officeDocument/2006/relationships/hyperlink" Target="https://www.facebook.com/nguyenthi.letrang.5" TargetMode="External"/><Relationship Id="rId698" Type="http://schemas.openxmlformats.org/officeDocument/2006/relationships/hyperlink" Target="https://www.tiktok.com/@tranganh_cosplay?lang=vi-VN" TargetMode="External"/><Relationship Id="rId219" Type="http://schemas.openxmlformats.org/officeDocument/2006/relationships/hyperlink" Target="https://yody.vn/?affcode=INFTHU885" TargetMode="External"/><Relationship Id="rId218" Type="http://schemas.openxmlformats.org/officeDocument/2006/relationships/hyperlink" Target="https://www.tiktok.com/@thupin_0109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" TargetMode="External"/><Relationship Id="rId339" Type="http://schemas.openxmlformats.org/officeDocument/2006/relationships/hyperlink" Target="https://www.facebook.com/profile.php?id=100011773579602" TargetMode="External"/><Relationship Id="rId330" Type="http://schemas.openxmlformats.org/officeDocument/2006/relationships/hyperlink" Target="https://www.tiktok.com/@truong_qn" TargetMode="External"/><Relationship Id="rId451" Type="http://schemas.openxmlformats.org/officeDocument/2006/relationships/hyperlink" Target="https://www.facebook.com/toanduyduy88" TargetMode="External"/><Relationship Id="rId572" Type="http://schemas.openxmlformats.org/officeDocument/2006/relationships/hyperlink" Target="https://yody.vn/?affcode=INFPHUONG681" TargetMode="External"/><Relationship Id="rId693" Type="http://schemas.openxmlformats.org/officeDocument/2006/relationships/hyperlink" Target="https://yody.vn/?affcode=INFTAM389" TargetMode="External"/><Relationship Id="rId450" Type="http://schemas.openxmlformats.org/officeDocument/2006/relationships/hyperlink" Target="https://yody.vn/?affcode=INFDIEU297" TargetMode="External"/><Relationship Id="rId571" Type="http://schemas.openxmlformats.org/officeDocument/2006/relationships/hyperlink" Target="https://www.facebook.com/Annie0211" TargetMode="External"/><Relationship Id="rId692" Type="http://schemas.openxmlformats.org/officeDocument/2006/relationships/hyperlink" Target="https://www.facebook.com/thanhnganha.nguyen.5" TargetMode="External"/><Relationship Id="rId570" Type="http://schemas.openxmlformats.org/officeDocument/2006/relationships/hyperlink" Target="https://yody.vn/?affcode=INFTHU186" TargetMode="External"/><Relationship Id="rId691" Type="http://schemas.openxmlformats.org/officeDocument/2006/relationships/hyperlink" Target="https://yody.vn/?affcode=INFTHU402" TargetMode="External"/><Relationship Id="rId690" Type="http://schemas.openxmlformats.org/officeDocument/2006/relationships/hyperlink" Target="https://www.facebook.com/trungthu9x" TargetMode="External"/><Relationship Id="rId213" Type="http://schemas.openxmlformats.org/officeDocument/2006/relationships/hyperlink" Target="https://yody.vn/?affcode=INFHUYEN889" TargetMode="External"/><Relationship Id="rId334" Type="http://schemas.openxmlformats.org/officeDocument/2006/relationships/hyperlink" Target="https://yody.vn/?affcode=INFHUYEN055" TargetMode="External"/><Relationship Id="rId455" Type="http://schemas.openxmlformats.org/officeDocument/2006/relationships/hyperlink" Target="https://www.tiktok.com/@ignees1008?" TargetMode="External"/><Relationship Id="rId576" Type="http://schemas.openxmlformats.org/officeDocument/2006/relationships/hyperlink" Target="https://yody.vn/?affcode=INFTHUY949" TargetMode="External"/><Relationship Id="rId697" Type="http://schemas.openxmlformats.org/officeDocument/2006/relationships/hyperlink" Target="http://yody.vn/?affcode=INFNGA587" TargetMode="External"/><Relationship Id="rId212" Type="http://schemas.openxmlformats.org/officeDocument/2006/relationships/hyperlink" Target="https://www.facebook.com/thanhhuyen.bgvn" TargetMode="External"/><Relationship Id="rId333" Type="http://schemas.openxmlformats.org/officeDocument/2006/relationships/hyperlink" Target="https://www.facebook.com/thanhhuyencp121" TargetMode="External"/><Relationship Id="rId454" Type="http://schemas.openxmlformats.org/officeDocument/2006/relationships/hyperlink" Target="https://yody.vn/?affcode=INFNAM663" TargetMode="External"/><Relationship Id="rId575" Type="http://schemas.openxmlformats.org/officeDocument/2006/relationships/hyperlink" Target="https://www.facebook.com/thuy812018" TargetMode="External"/><Relationship Id="rId696" Type="http://schemas.openxmlformats.org/officeDocument/2006/relationships/hyperlink" Target="https://www.facebook.com/nguyen.hoangnga.96" TargetMode="External"/><Relationship Id="rId211" Type="http://schemas.openxmlformats.org/officeDocument/2006/relationships/hyperlink" Target="https://yody.vn/?affcode=INFHIEN866" TargetMode="External"/><Relationship Id="rId332" Type="http://schemas.openxmlformats.org/officeDocument/2006/relationships/hyperlink" Target="https://yody.vn/?affcode=INFTRUONG497" TargetMode="External"/><Relationship Id="rId453" Type="http://schemas.openxmlformats.org/officeDocument/2006/relationships/hyperlink" Target="https://www.facebook.com/phuongnam.ng98" TargetMode="External"/><Relationship Id="rId574" Type="http://schemas.openxmlformats.org/officeDocument/2006/relationships/hyperlink" Target="https://yody.vn/?affcode=INFDUYEN818" TargetMode="External"/><Relationship Id="rId695" Type="http://schemas.openxmlformats.org/officeDocument/2006/relationships/hyperlink" Target="http://yody.vn/?affcode=INFLAN384" TargetMode="External"/><Relationship Id="rId210" Type="http://schemas.openxmlformats.org/officeDocument/2006/relationships/hyperlink" Target="https://vt.tiktok.com/ZGJAEcTnQ/" TargetMode="External"/><Relationship Id="rId331" Type="http://schemas.openxmlformats.org/officeDocument/2006/relationships/hyperlink" Target="mailto:truongqn2302@gmail.com" TargetMode="External"/><Relationship Id="rId452" Type="http://schemas.openxmlformats.org/officeDocument/2006/relationships/hyperlink" Target="https://yody.vn/?affcode=INFTOAN088" TargetMode="External"/><Relationship Id="rId573" Type="http://schemas.openxmlformats.org/officeDocument/2006/relationships/hyperlink" Target="https://www.facebook.com/ken.nguyen.7982780" TargetMode="External"/><Relationship Id="rId694" Type="http://schemas.openxmlformats.org/officeDocument/2006/relationships/hyperlink" Target="https://www.tiktok.com/@tieulannnn?lang=vi-VN&amp;is_copy_url=1&amp;is_from_webapp=v1" TargetMode="External"/><Relationship Id="rId370" Type="http://schemas.openxmlformats.org/officeDocument/2006/relationships/hyperlink" Target="https://www.instagram.com/tuyetvien/?fbclid=IwAR20YRVC1b_OREvkEq07TpRTYGvgsZaN2QVQErGAnYgOP5fIMWXIU_mbI7M" TargetMode="External"/><Relationship Id="rId491" Type="http://schemas.openxmlformats.org/officeDocument/2006/relationships/hyperlink" Target="https://www.facebook.com/tokkinguyen16" TargetMode="External"/><Relationship Id="rId490" Type="http://schemas.openxmlformats.org/officeDocument/2006/relationships/hyperlink" Target="http://yody.vn/?affcode=INFNGOC365" TargetMode="External"/><Relationship Id="rId129" Type="http://schemas.openxmlformats.org/officeDocument/2006/relationships/hyperlink" Target="https://www.facebook.com/NguyenThoaiNghi140905" TargetMode="External"/><Relationship Id="rId128" Type="http://schemas.openxmlformats.org/officeDocument/2006/relationships/hyperlink" Target="http://yody.vn/?affcode=INFQUANG627" TargetMode="External"/><Relationship Id="rId249" Type="http://schemas.openxmlformats.org/officeDocument/2006/relationships/hyperlink" Target="https://www.tiktok.com/@hoanghieptiktok?lang=vi-VN" TargetMode="External"/><Relationship Id="rId127" Type="http://schemas.openxmlformats.org/officeDocument/2006/relationships/hyperlink" Target="https://www.tiktok.com/@nhquangho17.naau?lang=vi-VN" TargetMode="External"/><Relationship Id="rId248" Type="http://schemas.openxmlformats.org/officeDocument/2006/relationships/hyperlink" Target="http://yody.vn/?affcode=INFHUONG7035" TargetMode="External"/><Relationship Id="rId369" Type="http://schemas.openxmlformats.org/officeDocument/2006/relationships/hyperlink" Target="https://www.facebook.com/emkolathienthan" TargetMode="External"/><Relationship Id="rId126" Type="http://schemas.openxmlformats.org/officeDocument/2006/relationships/hyperlink" Target="https://yody.vn/?affcode=INFTRANG604" TargetMode="External"/><Relationship Id="rId247" Type="http://schemas.openxmlformats.org/officeDocument/2006/relationships/hyperlink" Target="https://www.tiktok.com/@nqhunn?lang=vi-VN" TargetMode="External"/><Relationship Id="rId368" Type="http://schemas.openxmlformats.org/officeDocument/2006/relationships/hyperlink" Target="https://yody.vn/?affcode=INFNGA490" TargetMode="External"/><Relationship Id="rId489" Type="http://schemas.openxmlformats.org/officeDocument/2006/relationships/hyperlink" Target="https://www.facebook.com/profile.php?id=100009953475472" TargetMode="External"/><Relationship Id="rId121" Type="http://schemas.openxmlformats.org/officeDocument/2006/relationships/hyperlink" Target="https://www.facebook.com/yen.ham.543" TargetMode="External"/><Relationship Id="rId242" Type="http://schemas.openxmlformats.org/officeDocument/2006/relationships/hyperlink" Target="https://yody.vn/?affcode=INFMY943" TargetMode="External"/><Relationship Id="rId363" Type="http://schemas.openxmlformats.org/officeDocument/2006/relationships/hyperlink" Target="https://www.facebook.com/remon.dod" TargetMode="External"/><Relationship Id="rId484" Type="http://schemas.openxmlformats.org/officeDocument/2006/relationships/hyperlink" Target="http://yody.vn/?affcode=INFHOAN224" TargetMode="External"/><Relationship Id="rId120" Type="http://schemas.openxmlformats.org/officeDocument/2006/relationships/hyperlink" Target="https://yody.vn/?affcode=INFGIAO069" TargetMode="External"/><Relationship Id="rId241" Type="http://schemas.openxmlformats.org/officeDocument/2006/relationships/hyperlink" Target="https://www.tiktok.com/@mymyle231?_d=secCgYIASAHKAESMgowTaSPXVETCF5LBZ2O1P4%2B%2Bpuo%2FsLIImw4rfuTk7DhD1mRselvhM6Npjaeqic1%2BbBFGgA%3D&amp;checksum=163751001ab23af1c2c78e9851d71e6875de52c80b438b524155997dd9acca73&amp;language=vi&amp;sec_uid=MS4wLjABAAAAz-DRqWdEA0u8ksBqZGQ0p9f81Zylnj5QUvUY0hktvKQ7dfoIqLRsOilg2gcz22Nj&amp;sec_user_id=MS4wLjABAAAABZoGHXrZBRfUXemmSi4q3avURclQFi4x2Whu9VjcIcT76FNFZkqEczdQ-sOpcqo6&amp;share_app_id=1180&amp;share_author_id=6792047944855176193&amp;share_link_id=2BF209A4-1DED-4FE8-9E56-90ACCC6E051C&amp;tt_from=copy&amp;u_code=d16a1cdem4bjl5&amp;user_id=6580521240628297730&amp;utm_campaign=client_share&amp;utm_medium=ios&amp;utm_source=copy&amp;source=h5_t&amp;_r=1" TargetMode="External"/><Relationship Id="rId362" Type="http://schemas.openxmlformats.org/officeDocument/2006/relationships/hyperlink" Target="https://yody.vn/?affcode=INFANH073" TargetMode="External"/><Relationship Id="rId483" Type="http://schemas.openxmlformats.org/officeDocument/2006/relationships/hyperlink" Target="https://www.facebook.com/HayiTran96" TargetMode="External"/><Relationship Id="rId240" Type="http://schemas.openxmlformats.org/officeDocument/2006/relationships/hyperlink" Target="https://yody.vn/?affcode=INFYEN691" TargetMode="External"/><Relationship Id="rId361" Type="http://schemas.openxmlformats.org/officeDocument/2006/relationships/hyperlink" Target="https://www.facebook.com/v.vieta.anh.h.hoang.5" TargetMode="External"/><Relationship Id="rId482" Type="http://schemas.openxmlformats.org/officeDocument/2006/relationships/hyperlink" Target="http://yody.vn/?affcode=INFHANG864" TargetMode="External"/><Relationship Id="rId360" Type="http://schemas.openxmlformats.org/officeDocument/2006/relationships/hyperlink" Target="https://yody.vn/?affcode=INFHAO366" TargetMode="External"/><Relationship Id="rId481" Type="http://schemas.openxmlformats.org/officeDocument/2006/relationships/hyperlink" Target="https://www.facebook.com/han.mi.587606" TargetMode="External"/><Relationship Id="rId125" Type="http://schemas.openxmlformats.org/officeDocument/2006/relationships/hyperlink" Target="https://www.tiktok.com/@buingocphuongtrang" TargetMode="External"/><Relationship Id="rId246" Type="http://schemas.openxmlformats.org/officeDocument/2006/relationships/hyperlink" Target="https://yody.vn/?affcode=INFANH172" TargetMode="External"/><Relationship Id="rId367" Type="http://schemas.openxmlformats.org/officeDocument/2006/relationships/hyperlink" Target="https://www.facebook.com/phuong.phuong.68" TargetMode="External"/><Relationship Id="rId488" Type="http://schemas.openxmlformats.org/officeDocument/2006/relationships/hyperlink" Target="http://yody.vn/?affcode=INFQUAN471" TargetMode="External"/><Relationship Id="rId124" Type="http://schemas.openxmlformats.org/officeDocument/2006/relationships/hyperlink" Target="https://www.facebook.com/buingocphuongtrang" TargetMode="External"/><Relationship Id="rId245" Type="http://schemas.openxmlformats.org/officeDocument/2006/relationships/hyperlink" Target="https://www.tiktok.com/@phuonganh260499" TargetMode="External"/><Relationship Id="rId366" Type="http://schemas.openxmlformats.org/officeDocument/2006/relationships/hyperlink" Target="https://yody.vn/?affcode=INFPHUONG399" TargetMode="External"/><Relationship Id="rId487" Type="http://schemas.openxmlformats.org/officeDocument/2006/relationships/hyperlink" Target="https://www.facebook.com/HongQuan.SVM" TargetMode="External"/><Relationship Id="rId123" Type="http://schemas.openxmlformats.org/officeDocument/2006/relationships/hyperlink" Target="https://yody.vn/?affcode=INFYEN550" TargetMode="External"/><Relationship Id="rId244" Type="http://schemas.openxmlformats.org/officeDocument/2006/relationships/hyperlink" Target="https://yody.vn/?affcode=INFTHAO257" TargetMode="External"/><Relationship Id="rId365" Type="http://schemas.openxmlformats.org/officeDocument/2006/relationships/hyperlink" Target="https://www.facebook.com/lanphuong889" TargetMode="External"/><Relationship Id="rId486" Type="http://schemas.openxmlformats.org/officeDocument/2006/relationships/hyperlink" Target="http://yody.vn/?affcode=INFPHONG820" TargetMode="External"/><Relationship Id="rId122" Type="http://schemas.openxmlformats.org/officeDocument/2006/relationships/hyperlink" Target="https://www.tiktok.com/@kimyenbei" TargetMode="External"/><Relationship Id="rId243" Type="http://schemas.openxmlformats.org/officeDocument/2006/relationships/hyperlink" Target="https://www.tiktok.com/@dinhtrangthao03?lang=vi-VN" TargetMode="External"/><Relationship Id="rId364" Type="http://schemas.openxmlformats.org/officeDocument/2006/relationships/hyperlink" Target="https://yody.vn/?affcode=INFLAN691" TargetMode="External"/><Relationship Id="rId485" Type="http://schemas.openxmlformats.org/officeDocument/2006/relationships/hyperlink" Target="https://www.facebook.com/pon.nhox.3" TargetMode="External"/><Relationship Id="rId95" Type="http://schemas.openxmlformats.org/officeDocument/2006/relationships/hyperlink" Target="https://www.facebook.com/ky.ky.5209" TargetMode="External"/><Relationship Id="rId94" Type="http://schemas.openxmlformats.org/officeDocument/2006/relationships/hyperlink" Target="https://yody.vn/?affcode=INFLOAN518" TargetMode="External"/><Relationship Id="rId97" Type="http://schemas.openxmlformats.org/officeDocument/2006/relationships/hyperlink" Target="https://www.facebook.com/nganthithuhien" TargetMode="External"/><Relationship Id="rId96" Type="http://schemas.openxmlformats.org/officeDocument/2006/relationships/hyperlink" Target="https://yody.vn/?affcode=INFVAN497" TargetMode="External"/><Relationship Id="rId99" Type="http://schemas.openxmlformats.org/officeDocument/2006/relationships/hyperlink" Target="https://www.facebook.com/hoanghachang.92" TargetMode="External"/><Relationship Id="rId480" Type="http://schemas.openxmlformats.org/officeDocument/2006/relationships/hyperlink" Target="http://yody.vn/?affcode=INFPHUNG101" TargetMode="External"/><Relationship Id="rId98" Type="http://schemas.openxmlformats.org/officeDocument/2006/relationships/hyperlink" Target="https://yody.vn/?affcode=INFHIEN779" TargetMode="External"/><Relationship Id="rId91" Type="http://schemas.openxmlformats.org/officeDocument/2006/relationships/hyperlink" Target="https://www.facebook.com/2703tc" TargetMode="External"/><Relationship Id="rId90" Type="http://schemas.openxmlformats.org/officeDocument/2006/relationships/hyperlink" Target="https://yody.vn/?affcode=INFHUONG090" TargetMode="External"/><Relationship Id="rId93" Type="http://schemas.openxmlformats.org/officeDocument/2006/relationships/hyperlink" Target="https://www.facebook.com/loanvu1312" TargetMode="External"/><Relationship Id="rId92" Type="http://schemas.openxmlformats.org/officeDocument/2006/relationships/hyperlink" Target="https://yody.vn/?affcode=INFTUYEN845" TargetMode="External"/><Relationship Id="rId118" Type="http://schemas.openxmlformats.org/officeDocument/2006/relationships/hyperlink" Target="http://yody.vn/?affcode=INFPHUONG497" TargetMode="External"/><Relationship Id="rId239" Type="http://schemas.openxmlformats.org/officeDocument/2006/relationships/hyperlink" Target="https://www.tiktok.com/@duongvayen11820" TargetMode="External"/><Relationship Id="rId117" Type="http://schemas.openxmlformats.org/officeDocument/2006/relationships/hyperlink" Target="https://www.tiktok.com/@hoduyphuong?_d=secCgYIASAHKAESMgowI%2BGKvJzxQp%2FpuAxdXVMEf3lkryema7S%2BUKDbWaeUCMCbMtAR3aFqiHAfij30ZlhcGgA%3D&amp;checksum=eb07b913d231c28d3030e5df3864cb387fcb8e0bc71477176a2f422ffafe23ee&amp;language=vi&amp;sec_uid=MS4wLjABAAAACDFXtQUq7UU8HrrOJikV1qozGuCOlgiuO16KZ9xpFKMXnYxa_Yq8zowWQaCkXr_t&amp;sec_user_id=MS4wLjABAAAACDFXtQUq7UU8HrrOJikV1qozGuCOlgiuO16KZ9xpFKMXnYxa_Yq8zowWQaCkXr_t&amp;share_app_id=1180&amp;share_author_id=6702418764468569089&amp;share_link_id=44C7CC5E-556A-430D-B857-8982121C0141&amp;tt_from=copy&amp;u_code=d6j8d16a13a7bf&amp;user_id=6702418764468569089&amp;utm_campaign=client_share&amp;utm_medium=ios&amp;utm_source=copy&amp;source=h5_t&amp;_r=1" TargetMode="External"/><Relationship Id="rId238" Type="http://schemas.openxmlformats.org/officeDocument/2006/relationships/hyperlink" Target="https://yody.vn/?affcode=INFNGUYEN444" TargetMode="External"/><Relationship Id="rId359" Type="http://schemas.openxmlformats.org/officeDocument/2006/relationships/hyperlink" Target="https://www.facebook.com/10000300320188O" TargetMode="External"/><Relationship Id="rId116" Type="http://schemas.openxmlformats.org/officeDocument/2006/relationships/hyperlink" Target="http://yody.vn/?affcode=INFNHUT421" TargetMode="External"/><Relationship Id="rId237" Type="http://schemas.openxmlformats.org/officeDocument/2006/relationships/hyperlink" Target="https://www.tiktok.com/@neyunn98?lang=vi-VN" TargetMode="External"/><Relationship Id="rId358" Type="http://schemas.openxmlformats.org/officeDocument/2006/relationships/hyperlink" Target="http://yody.vn/?affcode=INFHOA917" TargetMode="External"/><Relationship Id="rId479" Type="http://schemas.openxmlformats.org/officeDocument/2006/relationships/hyperlink" Target="https://www.facebook.com/miu.nguyen.2111" TargetMode="External"/><Relationship Id="rId115" Type="http://schemas.openxmlformats.org/officeDocument/2006/relationships/hyperlink" Target="https://www.tiktok.com/@nhut26march?lang=vi-VN" TargetMode="External"/><Relationship Id="rId236" Type="http://schemas.openxmlformats.org/officeDocument/2006/relationships/hyperlink" Target="https://yody.vn/?affcode=INFANH454" TargetMode="External"/><Relationship Id="rId357" Type="http://schemas.openxmlformats.org/officeDocument/2006/relationships/hyperlink" Target="https://www.tiktok.com/@phamquynhhoa2004?lang=vi-VN" TargetMode="External"/><Relationship Id="rId478" Type="http://schemas.openxmlformats.org/officeDocument/2006/relationships/hyperlink" Target="http://yody.vn?affcode=INFKHOA988" TargetMode="External"/><Relationship Id="rId599" Type="http://schemas.openxmlformats.org/officeDocument/2006/relationships/hyperlink" Target="https://yody.vn/?affcode=INFTUNG923" TargetMode="External"/><Relationship Id="rId119" Type="http://schemas.openxmlformats.org/officeDocument/2006/relationships/hyperlink" Target="https://www.facebook.com/quynh.giao.31" TargetMode="External"/><Relationship Id="rId110" Type="http://schemas.openxmlformats.org/officeDocument/2006/relationships/hyperlink" Target="https://www.tiktok.com/@behyblacky?fbclid=IwAR3uxjuQEEgFXlrFQFYVpU9v0NfXEl2PSp8s8v_4PiK6UHIpJ6_gcKds5ec&amp;is_copy_url=1&amp;is_from_webapp=v1" TargetMode="External"/><Relationship Id="rId231" Type="http://schemas.openxmlformats.org/officeDocument/2006/relationships/hyperlink" Target="https://www.tiktok.com/@_hvqt_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" TargetMode="External"/><Relationship Id="rId352" Type="http://schemas.openxmlformats.org/officeDocument/2006/relationships/hyperlink" Target="https://yody.vn/?affcode=INFVAN967" TargetMode="External"/><Relationship Id="rId473" Type="http://schemas.openxmlformats.org/officeDocument/2006/relationships/hyperlink" Target="https://www.facebook.com/caammxuynhh" TargetMode="External"/><Relationship Id="rId594" Type="http://schemas.openxmlformats.org/officeDocument/2006/relationships/hyperlink" Target="https://yody.vn/?affcode=INFTUYEN753" TargetMode="External"/><Relationship Id="rId230" Type="http://schemas.openxmlformats.org/officeDocument/2006/relationships/hyperlink" Target="https://yody.vn/?affcode=INFTHAO312" TargetMode="External"/><Relationship Id="rId351" Type="http://schemas.openxmlformats.org/officeDocument/2006/relationships/hyperlink" Target="https://www.facebook.com/QuynhVan88" TargetMode="External"/><Relationship Id="rId472" Type="http://schemas.openxmlformats.org/officeDocument/2006/relationships/hyperlink" Target="https://yody.vn/?affcode=INFMY178" TargetMode="External"/><Relationship Id="rId593" Type="http://schemas.openxmlformats.org/officeDocument/2006/relationships/hyperlink" Target="https://www.tiktok.com/@yody_vn?lang=vi-VN&amp;is_copy_url=1&amp;is_from_webapp=v1" TargetMode="External"/><Relationship Id="rId350" Type="http://schemas.openxmlformats.org/officeDocument/2006/relationships/hyperlink" Target="http://yody.vn/?affcode=INFTU191" TargetMode="External"/><Relationship Id="rId471" Type="http://schemas.openxmlformats.org/officeDocument/2006/relationships/hyperlink" Target="https://www.facebook.com/tran.my.1654" TargetMode="External"/><Relationship Id="rId592" Type="http://schemas.openxmlformats.org/officeDocument/2006/relationships/hyperlink" Target="https://yody.vn/?affcode=INFTRUONG023" TargetMode="External"/><Relationship Id="rId470" Type="http://schemas.openxmlformats.org/officeDocument/2006/relationships/hyperlink" Target="https://yody.vn/?affcode=INFUYEN921" TargetMode="External"/><Relationship Id="rId591" Type="http://schemas.openxmlformats.org/officeDocument/2006/relationships/hyperlink" Target="https://yody.vn/?affcode=INFNHU058" TargetMode="External"/><Relationship Id="rId114" Type="http://schemas.openxmlformats.org/officeDocument/2006/relationships/hyperlink" Target="http://yody.vn?affcode=INFHUYEN144" TargetMode="External"/><Relationship Id="rId235" Type="http://schemas.openxmlformats.org/officeDocument/2006/relationships/hyperlink" Target="https://www.tiktok.com/@10103anh" TargetMode="External"/><Relationship Id="rId356" Type="http://schemas.openxmlformats.org/officeDocument/2006/relationships/hyperlink" Target="https://yody.vn/?affcode=INFQUYNH598" TargetMode="External"/><Relationship Id="rId477" Type="http://schemas.openxmlformats.org/officeDocument/2006/relationships/hyperlink" Target="https://www.facebook.com/jonnykhoa.nguyen" TargetMode="External"/><Relationship Id="rId598" Type="http://schemas.openxmlformats.org/officeDocument/2006/relationships/hyperlink" Target="https://yody.vn/?affcode=INFVY259" TargetMode="External"/><Relationship Id="rId113" Type="http://schemas.openxmlformats.org/officeDocument/2006/relationships/hyperlink" Target="https://www.tiktok.com/@h21052001" TargetMode="External"/><Relationship Id="rId234" Type="http://schemas.openxmlformats.org/officeDocument/2006/relationships/hyperlink" Target="https://yody.vn/?affcode=INFTRUNG517" TargetMode="External"/><Relationship Id="rId355" Type="http://schemas.openxmlformats.org/officeDocument/2006/relationships/hyperlink" Target="https://www.facebook.com/nguyenthiquynh.bg" TargetMode="External"/><Relationship Id="rId476" Type="http://schemas.openxmlformats.org/officeDocument/2006/relationships/hyperlink" Target="http://yody.vn/?affcode=INFHUYEN233" TargetMode="External"/><Relationship Id="rId597" Type="http://schemas.openxmlformats.org/officeDocument/2006/relationships/hyperlink" Target="https://www.facebook.com/thaovy.941998" TargetMode="External"/><Relationship Id="rId112" Type="http://schemas.openxmlformats.org/officeDocument/2006/relationships/hyperlink" Target="https://yody.vn/?affcode=INFHAI912" TargetMode="External"/><Relationship Id="rId233" Type="http://schemas.openxmlformats.org/officeDocument/2006/relationships/hyperlink" Target="https://www.tiktok.com/@trantrung2000" TargetMode="External"/><Relationship Id="rId354" Type="http://schemas.openxmlformats.org/officeDocument/2006/relationships/hyperlink" Target="https://yody.vn/?affcode=INFNUONG666" TargetMode="External"/><Relationship Id="rId475" Type="http://schemas.openxmlformats.org/officeDocument/2006/relationships/hyperlink" Target="https://www.facebook.com/HuyenCiara/" TargetMode="External"/><Relationship Id="rId596" Type="http://schemas.openxmlformats.org/officeDocument/2006/relationships/hyperlink" Target="https://yody.vn/?affcode=INFNGOC336" TargetMode="External"/><Relationship Id="rId111" Type="http://schemas.openxmlformats.org/officeDocument/2006/relationships/hyperlink" Target="http://yody.vn/?affcode=INFHUYEN607" TargetMode="External"/><Relationship Id="rId232" Type="http://schemas.openxmlformats.org/officeDocument/2006/relationships/hyperlink" Target="https://yody.vn/?affcode=INFVI930" TargetMode="External"/><Relationship Id="rId353" Type="http://schemas.openxmlformats.org/officeDocument/2006/relationships/hyperlink" Target="https://www.facebook.com/nuong.truongthimy" TargetMode="External"/><Relationship Id="rId474" Type="http://schemas.openxmlformats.org/officeDocument/2006/relationships/hyperlink" Target="https://yody.vn/?affcode=INFCAM836" TargetMode="External"/><Relationship Id="rId595" Type="http://schemas.openxmlformats.org/officeDocument/2006/relationships/hyperlink" Target="https://www.facebook.com/ngoc.tieu.52438174" TargetMode="External"/><Relationship Id="rId305" Type="http://schemas.openxmlformats.org/officeDocument/2006/relationships/hyperlink" Target="http://yody.vn/?affcode=INFCUONG506" TargetMode="External"/><Relationship Id="rId426" Type="http://schemas.openxmlformats.org/officeDocument/2006/relationships/hyperlink" Target="https://yody.vn/?affcode=INFTHAM083" TargetMode="External"/><Relationship Id="rId547" Type="http://schemas.openxmlformats.org/officeDocument/2006/relationships/hyperlink" Target="https://www.facebook.com/cumin.nguyen.14" TargetMode="External"/><Relationship Id="rId668" Type="http://schemas.openxmlformats.org/officeDocument/2006/relationships/hyperlink" Target="mailto:ducanh101205@gmail.com" TargetMode="External"/><Relationship Id="rId304" Type="http://schemas.openxmlformats.org/officeDocument/2006/relationships/hyperlink" Target="http://yody.vn/?affcode=INFHAN236" TargetMode="External"/><Relationship Id="rId425" Type="http://schemas.openxmlformats.org/officeDocument/2006/relationships/hyperlink" Target="https://www.facebook.com/nguyenthamnb" TargetMode="External"/><Relationship Id="rId546" Type="http://schemas.openxmlformats.org/officeDocument/2006/relationships/hyperlink" Target="https://yody.vn/?affcode=INFTUAN079" TargetMode="External"/><Relationship Id="rId667" Type="http://schemas.openxmlformats.org/officeDocument/2006/relationships/hyperlink" Target="https://www.facebook.com/ngoducanh1012.bg" TargetMode="External"/><Relationship Id="rId303" Type="http://schemas.openxmlformats.org/officeDocument/2006/relationships/hyperlink" Target="https://www.tiktok.com/@chutieuhan10012001?lang=vi-VN&amp;is_copy_url=1&amp;is_from_webapp=v1" TargetMode="External"/><Relationship Id="rId424" Type="http://schemas.openxmlformats.org/officeDocument/2006/relationships/hyperlink" Target="https://yody.vn/?affcode=INFXUAN111" TargetMode="External"/><Relationship Id="rId545" Type="http://schemas.openxmlformats.org/officeDocument/2006/relationships/hyperlink" Target="https://www.facebook.com/dadsubean" TargetMode="External"/><Relationship Id="rId666" Type="http://schemas.openxmlformats.org/officeDocument/2006/relationships/hyperlink" Target="https://yody.vn/?affcode=INFNGOC484" TargetMode="External"/><Relationship Id="rId302" Type="http://schemas.openxmlformats.org/officeDocument/2006/relationships/hyperlink" Target="https://yody.vn/?affcode=INFNHI342" TargetMode="External"/><Relationship Id="rId423" Type="http://schemas.openxmlformats.org/officeDocument/2006/relationships/hyperlink" Target="https://www.instagram.com/dumbotihon/?r=nametag&amp;fbclid=IwAR35UEp7VShvT_7HmlgkYadrFcnk-LOFRKEewETyORthor7xMpj1SXafhos" TargetMode="External"/><Relationship Id="rId544" Type="http://schemas.openxmlformats.org/officeDocument/2006/relationships/hyperlink" Target="https://yody.vn/?affcode=INFTHANH806" TargetMode="External"/><Relationship Id="rId665" Type="http://schemas.openxmlformats.org/officeDocument/2006/relationships/hyperlink" Target="https://www.tiktok.com/@pynebl3?lang=vi-VN" TargetMode="External"/><Relationship Id="rId309" Type="http://schemas.openxmlformats.org/officeDocument/2006/relationships/hyperlink" Target="https://www.tiktok.com/@tuankiet.2000" TargetMode="External"/><Relationship Id="rId308" Type="http://schemas.openxmlformats.org/officeDocument/2006/relationships/hyperlink" Target="https://yody.vn/?affcode=INFNGUYEN507" TargetMode="External"/><Relationship Id="rId429" Type="http://schemas.openxmlformats.org/officeDocument/2006/relationships/hyperlink" Target="https://www.facebook.com/me.baobao.54" TargetMode="External"/><Relationship Id="rId307" Type="http://schemas.openxmlformats.org/officeDocument/2006/relationships/hyperlink" Target="mailto:baanhem455@gmail.com" TargetMode="External"/><Relationship Id="rId428" Type="http://schemas.openxmlformats.org/officeDocument/2006/relationships/hyperlink" Target="https://yody.vn/?affcode=INFPHUONG885" TargetMode="External"/><Relationship Id="rId549" Type="http://schemas.openxmlformats.org/officeDocument/2006/relationships/hyperlink" Target="https://www.facebook.com/tuan.dang.1422" TargetMode="External"/><Relationship Id="rId306" Type="http://schemas.openxmlformats.org/officeDocument/2006/relationships/hyperlink" Target="https://www.tiktok.com/@tuncuibap" TargetMode="External"/><Relationship Id="rId427" Type="http://schemas.openxmlformats.org/officeDocument/2006/relationships/hyperlink" Target="https://www.facebook.com/lanphuongdinh0208" TargetMode="External"/><Relationship Id="rId548" Type="http://schemas.openxmlformats.org/officeDocument/2006/relationships/hyperlink" Target="https://yody.vn/?affcode=INFTUAN595" TargetMode="External"/><Relationship Id="rId669" Type="http://schemas.openxmlformats.org/officeDocument/2006/relationships/hyperlink" Target="https://yody.vn/?affcode=INFANH776" TargetMode="External"/><Relationship Id="rId660" Type="http://schemas.openxmlformats.org/officeDocument/2006/relationships/hyperlink" Target="https://www.tiktok.com/@vya229/video/6984306687918247194?lang=vi-VN&amp;is_copy_url=1&amp;is_from_webapp=v1" TargetMode="External"/><Relationship Id="rId301" Type="http://schemas.openxmlformats.org/officeDocument/2006/relationships/hyperlink" Target="https://www.tiktok.com/@duongyennhi164" TargetMode="External"/><Relationship Id="rId422" Type="http://schemas.openxmlformats.org/officeDocument/2006/relationships/hyperlink" Target="https://www.facebook.com/phung.thanhxuan" TargetMode="External"/><Relationship Id="rId543" Type="http://schemas.openxmlformats.org/officeDocument/2006/relationships/hyperlink" Target="https://www.facebook.com/profile.php?id=100010952435306" TargetMode="External"/><Relationship Id="rId664" Type="http://schemas.openxmlformats.org/officeDocument/2006/relationships/hyperlink" Target="https://yody.vn/?affcode=INFTU867" TargetMode="External"/><Relationship Id="rId300" Type="http://schemas.openxmlformats.org/officeDocument/2006/relationships/hyperlink" Target="https://yody.vn/?affcode=INFLY357" TargetMode="External"/><Relationship Id="rId421" Type="http://schemas.openxmlformats.org/officeDocument/2006/relationships/hyperlink" Target="https://yody.vn/?affcode=INFTHANH550" TargetMode="External"/><Relationship Id="rId542" Type="http://schemas.openxmlformats.org/officeDocument/2006/relationships/hyperlink" Target="https://yody.vn/?affcode=INFHUE986" TargetMode="External"/><Relationship Id="rId663" Type="http://schemas.openxmlformats.org/officeDocument/2006/relationships/hyperlink" Target="https://www.facebook.com/thuytrang.sonhai" TargetMode="External"/><Relationship Id="rId420" Type="http://schemas.openxmlformats.org/officeDocument/2006/relationships/hyperlink" Target="https://www.facebook.com/phuongthanh.nguyen.906" TargetMode="External"/><Relationship Id="rId541" Type="http://schemas.openxmlformats.org/officeDocument/2006/relationships/hyperlink" Target="https://www.facebook.com/phan.thanhhue" TargetMode="External"/><Relationship Id="rId662" Type="http://schemas.openxmlformats.org/officeDocument/2006/relationships/hyperlink" Target="https://www.tiktok.com/@banhhee?lang=vi-VN" TargetMode="External"/><Relationship Id="rId540" Type="http://schemas.openxmlformats.org/officeDocument/2006/relationships/hyperlink" Target="https://yody.vn/?affcode=INFANH989" TargetMode="External"/><Relationship Id="rId661" Type="http://schemas.openxmlformats.org/officeDocument/2006/relationships/hyperlink" Target="https://www.facebook.com/TenPhatHoPham" TargetMode="External"/><Relationship Id="rId415" Type="http://schemas.openxmlformats.org/officeDocument/2006/relationships/hyperlink" Target="https://yody.vn/?affcode=INFNAM799" TargetMode="External"/><Relationship Id="rId536" Type="http://schemas.openxmlformats.org/officeDocument/2006/relationships/hyperlink" Target="https://yody.vn/?affcode=INFTRUONG900" TargetMode="External"/><Relationship Id="rId657" Type="http://schemas.openxmlformats.org/officeDocument/2006/relationships/hyperlink" Target="http://yody.vn/?affcode=INFANH434" TargetMode="External"/><Relationship Id="rId414" Type="http://schemas.openxmlformats.org/officeDocument/2006/relationships/hyperlink" Target="https://www.facebook.com/mushroom.cool88" TargetMode="External"/><Relationship Id="rId535" Type="http://schemas.openxmlformats.org/officeDocument/2006/relationships/hyperlink" Target="https://www.facebook.com/77.truongnguyen" TargetMode="External"/><Relationship Id="rId656" Type="http://schemas.openxmlformats.org/officeDocument/2006/relationships/hyperlink" Target="https://www.facebook.com/nah.anh.1428" TargetMode="External"/><Relationship Id="rId413" Type="http://schemas.openxmlformats.org/officeDocument/2006/relationships/hyperlink" Target="http://yody.vn/?affcode=INFLUONG37" TargetMode="External"/><Relationship Id="rId534" Type="http://schemas.openxmlformats.org/officeDocument/2006/relationships/hyperlink" Target="https://yody.vn/?affcode=INFCHUAN823" TargetMode="External"/><Relationship Id="rId655" Type="http://schemas.openxmlformats.org/officeDocument/2006/relationships/hyperlink" Target="http://yody.vn/?affcode=INFHUE272" TargetMode="External"/><Relationship Id="rId412" Type="http://schemas.openxmlformats.org/officeDocument/2006/relationships/hyperlink" Target="https://www.facebook.com/builuong.shirunai" TargetMode="External"/><Relationship Id="rId533" Type="http://schemas.openxmlformats.org/officeDocument/2006/relationships/hyperlink" Target="https://www.facebook.com/ThanhHoai9191" TargetMode="External"/><Relationship Id="rId654" Type="http://schemas.openxmlformats.org/officeDocument/2006/relationships/hyperlink" Target="https://www.facebook.com/pu.be.7547" TargetMode="External"/><Relationship Id="rId419" Type="http://schemas.openxmlformats.org/officeDocument/2006/relationships/hyperlink" Target="https://yody.vn/?affcode=INFTHOM405" TargetMode="External"/><Relationship Id="rId418" Type="http://schemas.openxmlformats.org/officeDocument/2006/relationships/hyperlink" Target="https://www.facebook.com/nguyen.hoaithom.79" TargetMode="External"/><Relationship Id="rId539" Type="http://schemas.openxmlformats.org/officeDocument/2006/relationships/hyperlink" Target="https://www.tiktok.com/@quynanhtran._?_d=secCgYIASAHKAESMgowrbqFiAlCzM1iBTCA%2BdW%2FUhzJh66mly6jMMTtCFDeJc8J%2FVHaJJl8sQPHRasv0nJ%2BGgA%3D&amp;checksum=e94a3b0e5a3ca43e0939c9e7552933ed4ca244805c15b8a423edf738feedbda0&amp;language=vi&amp;sec_uid=MS4wLjABAAAATVNamMtbgMoC6j7a2_Qjbj2skvxel_UXwxeJL5nMVTQ&amp;sec_user_id=MS4wLjABAAAABZoGHXrZBRfUXemmSi4q3avURclQFi4x2Whu9VjcIcT76FNFZkqEczdQ-sOpcqo6&amp;share_app_id=1180&amp;share_author_id=69581688449&amp;share_link_id=22F5BCAD-5876-4765-8205-C038E2A42BCD&amp;tt_from=copy&amp;u_code=d16a1cdem4bjl5&amp;user_id=6580521240628297730&amp;utm_campaign=client_share&amp;utm_medium=ios&amp;utm_source=copy&amp;source=h5_t&amp;_r=1" TargetMode="External"/><Relationship Id="rId417" Type="http://schemas.openxmlformats.org/officeDocument/2006/relationships/hyperlink" Target="https://yody.vn/?affcode=INFHANH384" TargetMode="External"/><Relationship Id="rId538" Type="http://schemas.openxmlformats.org/officeDocument/2006/relationships/hyperlink" Target="http://yody.vn/?affcode=INFHUY231" TargetMode="External"/><Relationship Id="rId659" Type="http://schemas.openxmlformats.org/officeDocument/2006/relationships/hyperlink" Target="https://yody.vn/?affcode=INFNGUYET899" TargetMode="External"/><Relationship Id="rId416" Type="http://schemas.openxmlformats.org/officeDocument/2006/relationships/hyperlink" Target="https://www.facebook.com/hanhnhim10384" TargetMode="External"/><Relationship Id="rId537" Type="http://schemas.openxmlformats.org/officeDocument/2006/relationships/hyperlink" Target="https://www.tiktok.com/@huyblack20?is_copy_url=1&amp;is_from_webapp=v1" TargetMode="External"/><Relationship Id="rId658" Type="http://schemas.openxmlformats.org/officeDocument/2006/relationships/hyperlink" Target="https://www.facebook.com/kieutrang3355" TargetMode="External"/><Relationship Id="rId411" Type="http://schemas.openxmlformats.org/officeDocument/2006/relationships/hyperlink" Target="https://yody.vn/?affcode=INFTRANG794" TargetMode="External"/><Relationship Id="rId532" Type="http://schemas.openxmlformats.org/officeDocument/2006/relationships/hyperlink" Target="https://yody.vn/?affcode=INFVY915" TargetMode="External"/><Relationship Id="rId653" Type="http://schemas.openxmlformats.org/officeDocument/2006/relationships/hyperlink" Target="https://yody.vn/?affcode=INF712" TargetMode="External"/><Relationship Id="rId410" Type="http://schemas.openxmlformats.org/officeDocument/2006/relationships/hyperlink" Target="https://www.facebook.com/pdthiendi" TargetMode="External"/><Relationship Id="rId531" Type="http://schemas.openxmlformats.org/officeDocument/2006/relationships/hyperlink" Target="https://m.facebook.com/le.havy.7121?ref=bookmarks" TargetMode="External"/><Relationship Id="rId652" Type="http://schemas.openxmlformats.org/officeDocument/2006/relationships/hyperlink" Target="https://www.facebook.com/nhungnguyenthi5" TargetMode="External"/><Relationship Id="rId530" Type="http://schemas.openxmlformats.org/officeDocument/2006/relationships/hyperlink" Target="https://yody.vn/?affcode=INFQUYEN404" TargetMode="External"/><Relationship Id="rId651" Type="http://schemas.openxmlformats.org/officeDocument/2006/relationships/hyperlink" Target="https://yody.vn/?affcode=INFQUANG889" TargetMode="External"/><Relationship Id="rId650" Type="http://schemas.openxmlformats.org/officeDocument/2006/relationships/hyperlink" Target="https://www.facebook.com/hongquang2706" TargetMode="External"/><Relationship Id="rId206" Type="http://schemas.openxmlformats.org/officeDocument/2006/relationships/hyperlink" Target="http://www.tiktok.com/@huynh4nhh" TargetMode="External"/><Relationship Id="rId327" Type="http://schemas.openxmlformats.org/officeDocument/2006/relationships/hyperlink" Target="http://yody.vn/?affcode=INFNGAN562" TargetMode="External"/><Relationship Id="rId448" Type="http://schemas.openxmlformats.org/officeDocument/2006/relationships/hyperlink" Target="https://yody.vn/?affcode=INFMY368" TargetMode="External"/><Relationship Id="rId569" Type="http://schemas.openxmlformats.org/officeDocument/2006/relationships/hyperlink" Target="https://yody.vn/?affcode=INFHUONG633" TargetMode="External"/><Relationship Id="rId205" Type="http://schemas.openxmlformats.org/officeDocument/2006/relationships/hyperlink" Target="https://yody.vn/?affcode=INFTRANG007" TargetMode="External"/><Relationship Id="rId326" Type="http://schemas.openxmlformats.org/officeDocument/2006/relationships/hyperlink" Target="https://www.tiktok.com/@ngannt212?lang=vi-VN" TargetMode="External"/><Relationship Id="rId447" Type="http://schemas.openxmlformats.org/officeDocument/2006/relationships/hyperlink" Target="https://www.facebook.com/july.my.3" TargetMode="External"/><Relationship Id="rId568" Type="http://schemas.openxmlformats.org/officeDocument/2006/relationships/hyperlink" Target="https://www.tiktok.com/@thuhuong2xx1?" TargetMode="External"/><Relationship Id="rId689" Type="http://schemas.openxmlformats.org/officeDocument/2006/relationships/hyperlink" Target="https://yody.vn/?affcode=INFVAN426" TargetMode="External"/><Relationship Id="rId204" Type="http://schemas.openxmlformats.org/officeDocument/2006/relationships/hyperlink" Target="https://vt.tiktok.com/ZGJAmkkEU/" TargetMode="External"/><Relationship Id="rId325" Type="http://schemas.openxmlformats.org/officeDocument/2006/relationships/hyperlink" Target="https://yody.vn/?affcode=INFBAO888" TargetMode="External"/><Relationship Id="rId446" Type="http://schemas.openxmlformats.org/officeDocument/2006/relationships/hyperlink" Target="https://yody.vn/?affcode=INFDUONG3103" TargetMode="External"/><Relationship Id="rId567" Type="http://schemas.openxmlformats.org/officeDocument/2006/relationships/hyperlink" Target="https://yody.vn/?affcode=INFLUONG898" TargetMode="External"/><Relationship Id="rId688" Type="http://schemas.openxmlformats.org/officeDocument/2006/relationships/hyperlink" Target="https://www.tiktok.com/@ngohavan99?lang=vi-VN&amp;is_copy_url=1&amp;is_from_webapp=v1" TargetMode="External"/><Relationship Id="rId203" Type="http://schemas.openxmlformats.org/officeDocument/2006/relationships/hyperlink" Target="https://yody.vn/?affcode=INFVAN215" TargetMode="External"/><Relationship Id="rId324" Type="http://schemas.openxmlformats.org/officeDocument/2006/relationships/hyperlink" Target="https://www.tiktok.com/@lebaoofficial?lang=vi-VN" TargetMode="External"/><Relationship Id="rId445" Type="http://schemas.openxmlformats.org/officeDocument/2006/relationships/hyperlink" Target="https://www.facebook.com/profile.php?id=100007231410998" TargetMode="External"/><Relationship Id="rId566" Type="http://schemas.openxmlformats.org/officeDocument/2006/relationships/hyperlink" Target="https://vt.tiktok.com/ZGJA1Aucu/" TargetMode="External"/><Relationship Id="rId687" Type="http://schemas.openxmlformats.org/officeDocument/2006/relationships/hyperlink" Target="https://yody.vn/?affcode=INFNGA668" TargetMode="External"/><Relationship Id="rId209" Type="http://schemas.openxmlformats.org/officeDocument/2006/relationships/hyperlink" Target="https://yody.vn/?affcode=INFHUONG005" TargetMode="External"/><Relationship Id="rId208" Type="http://schemas.openxmlformats.org/officeDocument/2006/relationships/hyperlink" Target="https://vt.tiktok.com/ZGJATJhL4/" TargetMode="External"/><Relationship Id="rId329" Type="http://schemas.openxmlformats.org/officeDocument/2006/relationships/hyperlink" Target="http://yody.vn/?affcode=INFHUYEN911" TargetMode="External"/><Relationship Id="rId207" Type="http://schemas.openxmlformats.org/officeDocument/2006/relationships/hyperlink" Target="https://yody.vn/?affcode=INFANH789" TargetMode="External"/><Relationship Id="rId328" Type="http://schemas.openxmlformats.org/officeDocument/2006/relationships/hyperlink" Target="https://www.facebook.com/ngoafood" TargetMode="External"/><Relationship Id="rId449" Type="http://schemas.openxmlformats.org/officeDocument/2006/relationships/hyperlink" Target="https://www.facebook.com/profile.php?id=100043082003294" TargetMode="External"/><Relationship Id="rId440" Type="http://schemas.openxmlformats.org/officeDocument/2006/relationships/hyperlink" Target="http://yody.vn/?affcode=INFKHANH369" TargetMode="External"/><Relationship Id="rId561" Type="http://schemas.openxmlformats.org/officeDocument/2006/relationships/hyperlink" Target="https://www.tiktok.com/@nguyenhanghuong96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1&amp;is_from_webapp=v1" TargetMode="External"/><Relationship Id="rId682" Type="http://schemas.openxmlformats.org/officeDocument/2006/relationships/hyperlink" Target="https://www.facebook.com/phattieuyeu" TargetMode="External"/><Relationship Id="rId560" Type="http://schemas.openxmlformats.org/officeDocument/2006/relationships/hyperlink" Target="https://yody.vn/?affcode=INFVINH014" TargetMode="External"/><Relationship Id="rId681" Type="http://schemas.openxmlformats.org/officeDocument/2006/relationships/hyperlink" Target="https://yody.vn/?affcode=INFKIEU032" TargetMode="External"/><Relationship Id="rId680" Type="http://schemas.openxmlformats.org/officeDocument/2006/relationships/hyperlink" Target="https://www.facebook.com/kieu.luongmy.5" TargetMode="External"/><Relationship Id="rId202" Type="http://schemas.openxmlformats.org/officeDocument/2006/relationships/hyperlink" Target="https://vt.tiktok.com/ZGJkAbtTp/" TargetMode="External"/><Relationship Id="rId323" Type="http://schemas.openxmlformats.org/officeDocument/2006/relationships/hyperlink" Target="https://yody.vn/?affcode=INFVAN909" TargetMode="External"/><Relationship Id="rId444" Type="http://schemas.openxmlformats.org/officeDocument/2006/relationships/hyperlink" Target="http://yody.vn/?affcode=INFLAN888" TargetMode="External"/><Relationship Id="rId565" Type="http://schemas.openxmlformats.org/officeDocument/2006/relationships/hyperlink" Target="https://yody.vn/?affcode=INFTIEN989" TargetMode="External"/><Relationship Id="rId686" Type="http://schemas.openxmlformats.org/officeDocument/2006/relationships/hyperlink" Target="https://www.facebook.com/quynhnga.nguyen.1048" TargetMode="External"/><Relationship Id="rId201" Type="http://schemas.openxmlformats.org/officeDocument/2006/relationships/hyperlink" Target="https://yody.vn/?affcode=INFHOANG524" TargetMode="External"/><Relationship Id="rId322" Type="http://schemas.openxmlformats.org/officeDocument/2006/relationships/hyperlink" Target="https://www.tiktok.com/@tranvan0407?lang=vi-VN" TargetMode="External"/><Relationship Id="rId443" Type="http://schemas.openxmlformats.org/officeDocument/2006/relationships/hyperlink" Target="https://www.tiktok.com/@lanppp2001?lang=vi-VN&amp;is_copy_url=1&amp;is_from_webapp=v1" TargetMode="External"/><Relationship Id="rId564" Type="http://schemas.openxmlformats.org/officeDocument/2006/relationships/hyperlink" Target="https://yody.vn/?affcode=INFDUY153" TargetMode="External"/><Relationship Id="rId685" Type="http://schemas.openxmlformats.org/officeDocument/2006/relationships/hyperlink" Target="https://yody.vn/?affcode=INFTHAO121" TargetMode="External"/><Relationship Id="rId200" Type="http://schemas.openxmlformats.org/officeDocument/2006/relationships/hyperlink" Target="https://vt.tiktok.com/ZGJBuYtaM/" TargetMode="External"/><Relationship Id="rId321" Type="http://schemas.openxmlformats.org/officeDocument/2006/relationships/hyperlink" Target="https://yody.vn/?affcode=INFHANH352" TargetMode="External"/><Relationship Id="rId442" Type="http://schemas.openxmlformats.org/officeDocument/2006/relationships/hyperlink" Target="http://yody.vn/?affcode=INFMY525" TargetMode="External"/><Relationship Id="rId563" Type="http://schemas.openxmlformats.org/officeDocument/2006/relationships/hyperlink" Target="https://www.tiktok.com/@chusdy_201?" TargetMode="External"/><Relationship Id="rId684" Type="http://schemas.openxmlformats.org/officeDocument/2006/relationships/hyperlink" Target="https://www.facebook.com/thaolady" TargetMode="External"/><Relationship Id="rId320" Type="http://schemas.openxmlformats.org/officeDocument/2006/relationships/hyperlink" Target="https://www.facebook.com/profile.php?id=100005340498640" TargetMode="External"/><Relationship Id="rId441" Type="http://schemas.openxmlformats.org/officeDocument/2006/relationships/hyperlink" Target="https://www.tiktok.com/@chedaudo96?lang=vi-VN" TargetMode="External"/><Relationship Id="rId562" Type="http://schemas.openxmlformats.org/officeDocument/2006/relationships/hyperlink" Target="https://yody.vn/?affcode=INFHUONG996" TargetMode="External"/><Relationship Id="rId683" Type="http://schemas.openxmlformats.org/officeDocument/2006/relationships/hyperlink" Target="https://yody.vn/?affcode=INFPHAT412" TargetMode="External"/><Relationship Id="rId316" Type="http://schemas.openxmlformats.org/officeDocument/2006/relationships/hyperlink" Target="https://www.tiktok.com/@hat590" TargetMode="External"/><Relationship Id="rId437" Type="http://schemas.openxmlformats.org/officeDocument/2006/relationships/hyperlink" Target="https://www.facebook.com/hieu.hieu.731" TargetMode="External"/><Relationship Id="rId558" Type="http://schemas.openxmlformats.org/officeDocument/2006/relationships/hyperlink" Target="https://yody.vn/?affcode=INFY145" TargetMode="External"/><Relationship Id="rId679" Type="http://schemas.openxmlformats.org/officeDocument/2006/relationships/hyperlink" Target="https://yody.vn/?affcode=INFPHUONG957" TargetMode="External"/><Relationship Id="rId315" Type="http://schemas.openxmlformats.org/officeDocument/2006/relationships/hyperlink" Target="https://yody.vn/?affcode=INFTRONG402" TargetMode="External"/><Relationship Id="rId436" Type="http://schemas.openxmlformats.org/officeDocument/2006/relationships/hyperlink" Target="https://yody.vn/?affcode=INFTHU666" TargetMode="External"/><Relationship Id="rId557" Type="http://schemas.openxmlformats.org/officeDocument/2006/relationships/hyperlink" Target="https://www.tiktok.com/@congchuaflop?_d=secCgYIASAHKAESMgowMkqGZThdqyegOzwvjSH%2FhDCp8t9%2BhsX%2F1ROiu0aY%2FHTatko8F39rUUXky76MZJCDGgA%3D&amp;checksum=97c07b7570f5b6a81efb2c6ac295f56d3ef5ba17641759caced2ff7471c08148&amp;language=vi&amp;sec_uid=MS4wLjABAAAAfYJ8T8VfiA-Z5JhpspGmqIIO_Ub4kZ9gVqYGWBrjdK0&amp;sec_user_id=MS4wLjABAAAAfYJ8T8VfiA-Z5JhpspGmqIIO_Ub4kZ9gVqYGWBrjdK0&amp;share_app_id=1180&amp;share_author_id=75868847007&amp;share_link_id=67D294B4-5234-4F13-B056-2512875ED8B1&amp;tt_from=copy&amp;u_code=m6bd2ic1&amp;user_id=75868847007&amp;utm_campaign=client_share&amp;utm_medium=ios&amp;utm_source=copy&amp;source=h5_t&amp;_r=1" TargetMode="External"/><Relationship Id="rId678" Type="http://schemas.openxmlformats.org/officeDocument/2006/relationships/hyperlink" Target="https://www.facebook.com/profile.php?id=100006684340348" TargetMode="External"/><Relationship Id="rId314" Type="http://schemas.openxmlformats.org/officeDocument/2006/relationships/hyperlink" Target="https://vt.tiktok.com/ZGJBGxbfw/" TargetMode="External"/><Relationship Id="rId435" Type="http://schemas.openxmlformats.org/officeDocument/2006/relationships/hyperlink" Target="https://www.facebook.com/Vunguyetthu91" TargetMode="External"/><Relationship Id="rId556" Type="http://schemas.openxmlformats.org/officeDocument/2006/relationships/hyperlink" Target="https://yody.vn/?affcode=INFTRAN804" TargetMode="External"/><Relationship Id="rId677" Type="http://schemas.openxmlformats.org/officeDocument/2006/relationships/hyperlink" Target="https://yody.vn/?affcode=INFQUYNH363" TargetMode="External"/><Relationship Id="rId313" Type="http://schemas.openxmlformats.org/officeDocument/2006/relationships/hyperlink" Target="https://yody.vn/?affcode=INFTINH041" TargetMode="External"/><Relationship Id="rId434" Type="http://schemas.openxmlformats.org/officeDocument/2006/relationships/hyperlink" Target="https://yody.vn/?affcode=INFTHUY574" TargetMode="External"/><Relationship Id="rId555" Type="http://schemas.openxmlformats.org/officeDocument/2006/relationships/hyperlink" Target="https://www.tiktok.com/@tranxinh1101?lang=vi-VN" TargetMode="External"/><Relationship Id="rId676" Type="http://schemas.openxmlformats.org/officeDocument/2006/relationships/hyperlink" Target="https://www.facebook.com/quynhnguyen.991" TargetMode="External"/><Relationship Id="rId319" Type="http://schemas.openxmlformats.org/officeDocument/2006/relationships/hyperlink" Target="https://yody.vn/?affcode=INFTU672" TargetMode="External"/><Relationship Id="rId318" Type="http://schemas.openxmlformats.org/officeDocument/2006/relationships/hyperlink" Target="https://yody.vn/?affcode=INFTHANH903" TargetMode="External"/><Relationship Id="rId439" Type="http://schemas.openxmlformats.org/officeDocument/2006/relationships/hyperlink" Target="https://www.tiktok.com/@khanhkhie?lang=vi-VN&amp;is_copy_url=1&amp;is_from_webapp=v1" TargetMode="External"/><Relationship Id="rId317" Type="http://schemas.openxmlformats.org/officeDocument/2006/relationships/hyperlink" Target="mailto:hatsnow103@gmail.com" TargetMode="External"/><Relationship Id="rId438" Type="http://schemas.openxmlformats.org/officeDocument/2006/relationships/hyperlink" Target="https://yody.vn/?affcode=INFHIEU297" TargetMode="External"/><Relationship Id="rId559" Type="http://schemas.openxmlformats.org/officeDocument/2006/relationships/hyperlink" Target="http://www.tiktok.com/@camevinh_2183" TargetMode="External"/><Relationship Id="rId550" Type="http://schemas.openxmlformats.org/officeDocument/2006/relationships/hyperlink" Target="https://yody.vn/?affcode=INFTUAN884" TargetMode="External"/><Relationship Id="rId671" Type="http://schemas.openxmlformats.org/officeDocument/2006/relationships/hyperlink" Target="https://yody.vn/?affcode=INFHAI456" TargetMode="External"/><Relationship Id="rId670" Type="http://schemas.openxmlformats.org/officeDocument/2006/relationships/hyperlink" Target="https://www.facebook.com/hai.nhi.JB" TargetMode="External"/><Relationship Id="rId312" Type="http://schemas.openxmlformats.org/officeDocument/2006/relationships/hyperlink" Target="https://www.tiktok.com/@tinhnguyen241298" TargetMode="External"/><Relationship Id="rId433" Type="http://schemas.openxmlformats.org/officeDocument/2006/relationships/hyperlink" Target="https://www.facebook.com/thuy.vothi.94214" TargetMode="External"/><Relationship Id="rId554" Type="http://schemas.openxmlformats.org/officeDocument/2006/relationships/hyperlink" Target="https://yody.vn/?affcode=INFTHAO815" TargetMode="External"/><Relationship Id="rId675" Type="http://schemas.openxmlformats.org/officeDocument/2006/relationships/hyperlink" Target="https://yody.vn/?affcode=INFTHUY992" TargetMode="External"/><Relationship Id="rId311" Type="http://schemas.openxmlformats.org/officeDocument/2006/relationships/hyperlink" Target="https://yody.vn/?affcode=INFKIET968" TargetMode="External"/><Relationship Id="rId432" Type="http://schemas.openxmlformats.org/officeDocument/2006/relationships/hyperlink" Target="https://yody.vn/?affcode=INFDUNG468" TargetMode="External"/><Relationship Id="rId553" Type="http://schemas.openxmlformats.org/officeDocument/2006/relationships/hyperlink" Target="https://www.tiktok.com/@pie.foo?" TargetMode="External"/><Relationship Id="rId674" Type="http://schemas.openxmlformats.org/officeDocument/2006/relationships/hyperlink" Target="https://www.facebook.com/o.mummim" TargetMode="External"/><Relationship Id="rId310" Type="http://schemas.openxmlformats.org/officeDocument/2006/relationships/hyperlink" Target="mailto:nltuankiet18072000@gmail.com" TargetMode="External"/><Relationship Id="rId431" Type="http://schemas.openxmlformats.org/officeDocument/2006/relationships/hyperlink" Target="https://www.facebook.com/anhducdan" TargetMode="External"/><Relationship Id="rId552" Type="http://schemas.openxmlformats.org/officeDocument/2006/relationships/hyperlink" Target="https://yody.vn/?affcode=INFMAI010" TargetMode="External"/><Relationship Id="rId673" Type="http://schemas.openxmlformats.org/officeDocument/2006/relationships/hyperlink" Target="https://yody.vn/?affcode=INFPHUC334" TargetMode="External"/><Relationship Id="rId430" Type="http://schemas.openxmlformats.org/officeDocument/2006/relationships/hyperlink" Target="https://yody.vn/?affcode=INFNHUNG828" TargetMode="External"/><Relationship Id="rId551" Type="http://schemas.openxmlformats.org/officeDocument/2006/relationships/hyperlink" Target="https://www.tiktok.com/@vomai2412?_d=secCgYIASAHKAESMgowXjeQ4HBf8FFnZkWdjzJLZizmnbvqTbqIGbl5yxrvQRUSIXKybDjfSmVhzP%2FVQsSOGgA%3D&amp;checksum=49ce1e95839b35157fba9e9126a4dbad326396f623a6e73af6408da9d1c3761e&amp;language=vi&amp;sec_uid=MS4wLjABAAAAakcoLn0AH5d0lix39quyCHbeQ03KVcBklMVDcbdxXNpvr5r1DrAsI5YZtHHqLDeV&amp;sec_user_id=MS4wLjABAAAAakcoLn0AH5d0lix39quyCHbeQ03KVcBklMVDcbdxXNpvr5r1DrAsI5YZtHHqLDeV&amp;share_app_id=1180&amp;share_author_id=6854816817475781633&amp;share_link_id=8E18F6E1-DCBB-4681-98A2-26A180A0B665&amp;tt_from=copy&amp;u_code=ddi77ac9ek69je&amp;user_id=6854816817475781633&amp;utm_campaign=client_share&amp;utm_medium=ios&amp;utm_source=copy&amp;source=h5_t&amp;_r=1" TargetMode="External"/><Relationship Id="rId672" Type="http://schemas.openxmlformats.org/officeDocument/2006/relationships/hyperlink" Target="https://www.facebook.com/phamtam.phuc.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nguyen.huyenthu.716/videos/2920449061508309" TargetMode="External"/><Relationship Id="rId2" Type="http://schemas.openxmlformats.org/officeDocument/2006/relationships/hyperlink" Target="https://www.facebook.com/100008065904636/posts/3515920005353495/?d=n" TargetMode="External"/><Relationship Id="rId3" Type="http://schemas.openxmlformats.org/officeDocument/2006/relationships/hyperlink" Target="https://www.tiktok.com/@nhyyng/video/6987713962817228059?" TargetMode="External"/><Relationship Id="rId4" Type="http://schemas.openxmlformats.org/officeDocument/2006/relationships/hyperlink" Target="https://www.tiktok.com/@giangdeyy0/video/6986251851104554266?" TargetMode="External"/><Relationship Id="rId9" Type="http://schemas.openxmlformats.org/officeDocument/2006/relationships/hyperlink" Target="https://www.tiktok.com/@qh.bland/video/6987723855364115739?" TargetMode="External"/><Relationship Id="rId5" Type="http://schemas.openxmlformats.org/officeDocument/2006/relationships/hyperlink" Target="https://www.tiktok.com/@thuyngann_16/video/6988304363961765146" TargetMode="External"/><Relationship Id="rId6" Type="http://schemas.openxmlformats.org/officeDocument/2006/relationships/hyperlink" Target="https://www.tiktok.com/@shoppingfamily_/video/6985609926110432538?" TargetMode="External"/><Relationship Id="rId7" Type="http://schemas.openxmlformats.org/officeDocument/2006/relationships/hyperlink" Target="https://www.facebook.com/100010053467105/posts/1588303668181400/?d=n" TargetMode="External"/><Relationship Id="rId8" Type="http://schemas.openxmlformats.org/officeDocument/2006/relationships/hyperlink" Target="https://www.tiktok.com/@thianguyen2001/video/6984759162777439514?" TargetMode="External"/><Relationship Id="rId40" Type="http://schemas.openxmlformats.org/officeDocument/2006/relationships/hyperlink" Target="https://www.facebook.com/Changchi.1604/videos/165010988924001" TargetMode="External"/><Relationship Id="rId42" Type="http://schemas.openxmlformats.org/officeDocument/2006/relationships/hyperlink" Target="https://www.facebook.com/100005610043014/posts/1636713313192321/?d=n" TargetMode="External"/><Relationship Id="rId41" Type="http://schemas.openxmlformats.org/officeDocument/2006/relationships/hyperlink" Target="https://www.facebook.com/yen.ham.543/posts/3035758980040370" TargetMode="External"/><Relationship Id="rId44" Type="http://schemas.openxmlformats.org/officeDocument/2006/relationships/hyperlink" Target="https://www.tiktok.com/@d.l9801/video/6985478364412824859" TargetMode="External"/><Relationship Id="rId43" Type="http://schemas.openxmlformats.org/officeDocument/2006/relationships/hyperlink" Target="https://www.tiktok.com/@buingocphuongtrang/video/6986635841242156314" TargetMode="External"/><Relationship Id="rId46" Type="http://schemas.openxmlformats.org/officeDocument/2006/relationships/hyperlink" Target="https://m.facebook.com/story.php?story_fbid=2247410632062513&amp;id=100003807939102" TargetMode="External"/><Relationship Id="rId45" Type="http://schemas.openxmlformats.org/officeDocument/2006/relationships/hyperlink" Target="https://www.facebook.com/luong.huyenkha/posts/994937047936105" TargetMode="External"/><Relationship Id="rId48" Type="http://schemas.openxmlformats.org/officeDocument/2006/relationships/hyperlink" Target="https://www.facebook.com/thanh.duong.5220/videos/133547462228191" TargetMode="External"/><Relationship Id="rId47" Type="http://schemas.openxmlformats.org/officeDocument/2006/relationships/hyperlink" Target="https://vt.tiktok.com/ZGJBoCv5y/" TargetMode="External"/><Relationship Id="rId49" Type="http://schemas.openxmlformats.org/officeDocument/2006/relationships/hyperlink" Target="https://www.facebook.com/100004254121912/posts/2036618319823286/?d=n" TargetMode="External"/><Relationship Id="rId31" Type="http://schemas.openxmlformats.org/officeDocument/2006/relationships/hyperlink" Target="https://www.facebook.com/100034376687766/videos/1011431982958642" TargetMode="External"/><Relationship Id="rId30" Type="http://schemas.openxmlformats.org/officeDocument/2006/relationships/hyperlink" Target="https://www.facebook.com/100004547253309/posts/1834003973427827/" TargetMode="External"/><Relationship Id="rId33" Type="http://schemas.openxmlformats.org/officeDocument/2006/relationships/hyperlink" Target="https://www.facebook.com/100028527371304/videos/557859528559826" TargetMode="External"/><Relationship Id="rId32" Type="http://schemas.openxmlformats.org/officeDocument/2006/relationships/hyperlink" Target="https://www.facebook.com/100061193164477/posts/210514170998354/" TargetMode="External"/><Relationship Id="rId35" Type="http://schemas.openxmlformats.org/officeDocument/2006/relationships/hyperlink" Target="https://www.tiktok.com/@bedangbae/video/6984029292141350170" TargetMode="External"/><Relationship Id="rId34" Type="http://schemas.openxmlformats.org/officeDocument/2006/relationships/hyperlink" Target="https://www.facebook.com/100022227891749/posts/1003653740385546/" TargetMode="External"/><Relationship Id="rId37" Type="http://schemas.openxmlformats.org/officeDocument/2006/relationships/hyperlink" Target="https://www.tiktok.com/@thinhnguyenart_official/video/6986805848148364570" TargetMode="External"/><Relationship Id="rId36" Type="http://schemas.openxmlformats.org/officeDocument/2006/relationships/hyperlink" Target="https://www.tiktok.com/@toanprdsofficial/video/6989206587835419931?" TargetMode="External"/><Relationship Id="rId39" Type="http://schemas.openxmlformats.org/officeDocument/2006/relationships/hyperlink" Target="https://m.facebook.com/story.php?story_fbid=1440472552996971&amp;id=100011027200400" TargetMode="External"/><Relationship Id="rId38" Type="http://schemas.openxmlformats.org/officeDocument/2006/relationships/hyperlink" Target="https://www.tiktok.com/@h21052001/video/6986880680403684635" TargetMode="External"/><Relationship Id="rId20" Type="http://schemas.openxmlformats.org/officeDocument/2006/relationships/hyperlink" Target="https://www.tiktok.com/@phun.anh/video/6985747312458976538?lang=vi-VN&amp;is_copy_url=0&amp;is_from_webapp=v1&amp;sender_device=pc&amp;sender_web_id=6908929983101486593" TargetMode="External"/><Relationship Id="rId22" Type="http://schemas.openxmlformats.org/officeDocument/2006/relationships/hyperlink" Target="https://www.tiktok.com/@mango011101/video/6988452233641872666?" TargetMode="External"/><Relationship Id="rId21" Type="http://schemas.openxmlformats.org/officeDocument/2006/relationships/hyperlink" Target="https://www.tiktok.com/@sunflizme/video/6985376475360906522?" TargetMode="External"/><Relationship Id="rId24" Type="http://schemas.openxmlformats.org/officeDocument/2006/relationships/hyperlink" Target="https://www.tiktok.com/@hoduyphuong/video/6986852837477109018?_" TargetMode="External"/><Relationship Id="rId23" Type="http://schemas.openxmlformats.org/officeDocument/2006/relationships/hyperlink" Target="https://www.tiktok.com/@behyblack/video/6985394076241661210?" TargetMode="External"/><Relationship Id="rId26" Type="http://schemas.openxmlformats.org/officeDocument/2006/relationships/hyperlink" Target="https://www.facebook.com/100004356046481/posts/1911476309007552/" TargetMode="External"/><Relationship Id="rId25" Type="http://schemas.openxmlformats.org/officeDocument/2006/relationships/hyperlink" Target="https://www.tiktok.com/@khanhkhie/video/6989582358781496602?" TargetMode="External"/><Relationship Id="rId28" Type="http://schemas.openxmlformats.org/officeDocument/2006/relationships/hyperlink" Target="https://www.facebook.com/tienanh.vu.334/videos/358632378979133" TargetMode="External"/><Relationship Id="rId27" Type="http://schemas.openxmlformats.org/officeDocument/2006/relationships/hyperlink" Target="https://www.facebook.com/100006045494111/posts/2934862643391890/?d=n" TargetMode="External"/><Relationship Id="rId29" Type="http://schemas.openxmlformats.org/officeDocument/2006/relationships/hyperlink" Target="https://www.tiktok.com/@hoanglong86a/video/6987977038158187802?" TargetMode="External"/><Relationship Id="rId11" Type="http://schemas.openxmlformats.org/officeDocument/2006/relationships/hyperlink" Target="https://www.tiktok.com/@cu_bo2018/video/6984019010870463771?lang=vi-VN&amp;is_copy_url=1&amp;is_from_webapp=v1" TargetMode="External"/><Relationship Id="rId10" Type="http://schemas.openxmlformats.org/officeDocument/2006/relationships/hyperlink" Target="https://www.tiktok.com/@soojin51296/video/6988474391059369243" TargetMode="External"/><Relationship Id="rId13" Type="http://schemas.openxmlformats.org/officeDocument/2006/relationships/hyperlink" Target="https://www.tiktok.com/@baongoc.1906/video/6984347866856770842?" TargetMode="External"/><Relationship Id="rId12" Type="http://schemas.openxmlformats.org/officeDocument/2006/relationships/hyperlink" Target="https://www.tiktok.com/@mai_xuan_son/video/6984757361055468826?" TargetMode="External"/><Relationship Id="rId15" Type="http://schemas.openxmlformats.org/officeDocument/2006/relationships/hyperlink" Target="https://www.tiktok.com/@minhthanglv/video/6988824990095363355?" TargetMode="External"/><Relationship Id="rId14" Type="http://schemas.openxmlformats.org/officeDocument/2006/relationships/hyperlink" Target="https://www.tiktok.com/@anhthuyet/video/6983641021737389338?" TargetMode="External"/><Relationship Id="rId17" Type="http://schemas.openxmlformats.org/officeDocument/2006/relationships/hyperlink" Target="https://www.tiktok.com/@moe1m77/video/6986165765447666971?" TargetMode="External"/><Relationship Id="rId16" Type="http://schemas.openxmlformats.org/officeDocument/2006/relationships/hyperlink" Target="https://www.tiktok.com/@thokiwi98/video/6985501855975542042?" TargetMode="External"/><Relationship Id="rId19" Type="http://schemas.openxmlformats.org/officeDocument/2006/relationships/hyperlink" Target="https://www.tiktok.com/@hth.1909/video/6987213734360010011?l" TargetMode="External"/><Relationship Id="rId18" Type="http://schemas.openxmlformats.org/officeDocument/2006/relationships/hyperlink" Target="https://vt.tiktok.com/ZGJSnEmNk/" TargetMode="External"/><Relationship Id="rId84" Type="http://schemas.openxmlformats.org/officeDocument/2006/relationships/hyperlink" Target="https://www.facebook.com/100004080040114/posts/2515857858560191/?d=n" TargetMode="External"/><Relationship Id="rId83" Type="http://schemas.openxmlformats.org/officeDocument/2006/relationships/hyperlink" Target="https://www.facebook.com/100067564274854/posts/143402697921872/?d=n" TargetMode="External"/><Relationship Id="rId86" Type="http://schemas.openxmlformats.org/officeDocument/2006/relationships/hyperlink" Target="https://www.facebook.com/100013229984459/posts/1252675021850152/?d=n" TargetMode="External"/><Relationship Id="rId85" Type="http://schemas.openxmlformats.org/officeDocument/2006/relationships/hyperlink" Target="https://vt.tiktok.com/ZGJB68ytY/" TargetMode="External"/><Relationship Id="rId88" Type="http://schemas.openxmlformats.org/officeDocument/2006/relationships/hyperlink" Target="https://vt.tiktok.com/ZGJSFcnfc/" TargetMode="External"/><Relationship Id="rId87" Type="http://schemas.openxmlformats.org/officeDocument/2006/relationships/hyperlink" Target="https://www.instagram.com/p/CRrBP9HFtOj/" TargetMode="External"/><Relationship Id="rId89" Type="http://schemas.openxmlformats.org/officeDocument/2006/relationships/hyperlink" Target="https://www.facebook.com/100011773579602/posts/1295250114210762/?d=n" TargetMode="External"/><Relationship Id="rId80" Type="http://schemas.openxmlformats.org/officeDocument/2006/relationships/hyperlink" Target="https://vt.tiktok.com/ZGJB49SD8/" TargetMode="External"/><Relationship Id="rId82" Type="http://schemas.openxmlformats.org/officeDocument/2006/relationships/hyperlink" Target="https://www.facebook.com/100010592763690/posts/2391267727902963/?d=n" TargetMode="External"/><Relationship Id="rId81" Type="http://schemas.openxmlformats.org/officeDocument/2006/relationships/hyperlink" Target="https://m.facebook.com/story.php?story_fbid=4160803267368409&amp;id=100003163299957" TargetMode="External"/><Relationship Id="rId73" Type="http://schemas.openxmlformats.org/officeDocument/2006/relationships/hyperlink" Target="https://www.facebook.com/100004629070346/posts/2004499493047667/?d=n" TargetMode="External"/><Relationship Id="rId72" Type="http://schemas.openxmlformats.org/officeDocument/2006/relationships/hyperlink" Target="https://www.facebook.com/v.vieta.anh.h.hoang.5/posts/968755443900970" TargetMode="External"/><Relationship Id="rId75" Type="http://schemas.openxmlformats.org/officeDocument/2006/relationships/hyperlink" Target="https://www.facebook.com/mushroom.cool88/posts/4240907052671021" TargetMode="External"/><Relationship Id="rId74" Type="http://schemas.openxmlformats.org/officeDocument/2006/relationships/hyperlink" Target="https://www.facebook.com/permalink.php?story_fbid=1321921251536247&amp;id=100011551534575" TargetMode="External"/><Relationship Id="rId77" Type="http://schemas.openxmlformats.org/officeDocument/2006/relationships/hyperlink" Target="https://www.tiktok.com/@bthuy124?lang=vi-VN" TargetMode="External"/><Relationship Id="rId76" Type="http://schemas.openxmlformats.org/officeDocument/2006/relationships/hyperlink" Target="https://www.facebook.com/anhducdan/posts/3065189150436607" TargetMode="External"/><Relationship Id="rId79" Type="http://schemas.openxmlformats.org/officeDocument/2006/relationships/hyperlink" Target="https://www.facebook.com/100007838504341/posts/3003094156628505/?d=n" TargetMode="External"/><Relationship Id="rId78" Type="http://schemas.openxmlformats.org/officeDocument/2006/relationships/hyperlink" Target="https://vt.tiktok.com/ZGJB2LgvP/" TargetMode="External"/><Relationship Id="rId71" Type="http://schemas.openxmlformats.org/officeDocument/2006/relationships/hyperlink" Target="https://www.facebook.com/thanhhuyencp121/posts/2259366324202025" TargetMode="External"/><Relationship Id="rId70" Type="http://schemas.openxmlformats.org/officeDocument/2006/relationships/hyperlink" Target="https://www.tiktok.com/@trungke.ontiktok/video/6988082977817382170?lang=vi-VN&amp;is_copy_url=0&amp;is_from_webapp=v1&amp;sender_device=pc&amp;sender_web_id=6982736742253446658" TargetMode="External"/><Relationship Id="rId62" Type="http://schemas.openxmlformats.org/officeDocument/2006/relationships/hyperlink" Target="https://www.tiktok.com/@truongvihihi/video/6986123091936120090?lang=vi-VN&amp;is_copy_url=0&amp;is_from_webapp=v1&amp;sender_device=pc&amp;sender_web_id=6983582057944237570" TargetMode="External"/><Relationship Id="rId61" Type="http://schemas.openxmlformats.org/officeDocument/2006/relationships/hyperlink" Target="https://www.facebook.com/dthy.1010/posts/525501608686266" TargetMode="External"/><Relationship Id="rId64" Type="http://schemas.openxmlformats.org/officeDocument/2006/relationships/hyperlink" Target="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3" Type="http://schemas.openxmlformats.org/officeDocument/2006/relationships/hyperlink" Target="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6" Type="http://schemas.openxmlformats.org/officeDocument/2006/relationships/hyperlink" Target="https://www.tiktok.com/@10103anh/video/6988433610764324122?is_copy_url=0&amp;is_from_webapp=v1&amp;sender_device=pc&amp;sender_web_id=6983582057944237570" TargetMode="External"/><Relationship Id="rId65" Type="http://schemas.openxmlformats.org/officeDocument/2006/relationships/hyperlink" Target="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8" Type="http://schemas.openxmlformats.org/officeDocument/2006/relationships/hyperlink" Target="https://www.facebook.com/permalink.php?story_fbid=548058952903927&amp;id=100030994816568" TargetMode="External"/><Relationship Id="rId67" Type="http://schemas.openxmlformats.org/officeDocument/2006/relationships/hyperlink" Target="https://www.tiktok.com/@dinhtrangthao03/video/6986220375331966235?lang=vi-VN&amp;is_copy_url=0&amp;is_from_webapp=v1&amp;sender_device=pc&amp;sender_web_id=6983582057944237570" TargetMode="External"/><Relationship Id="rId60" Type="http://schemas.openxmlformats.org/officeDocument/2006/relationships/hyperlink" Target="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69" Type="http://schemas.openxmlformats.org/officeDocument/2006/relationships/hyperlink" Target="https://www.instagram.com/p/CRq00EtpKHJ/?utm_source=ig_web_copy_link" TargetMode="External"/><Relationship Id="rId51" Type="http://schemas.openxmlformats.org/officeDocument/2006/relationships/hyperlink" Target="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50" Type="http://schemas.openxmlformats.org/officeDocument/2006/relationships/hyperlink" Target="https://www.facebook.com/sakura.ha.vt/posts/3002325446670099" TargetMode="External"/><Relationship Id="rId53" Type="http://schemas.openxmlformats.org/officeDocument/2006/relationships/hyperlink" Target="https://www.facebook.com/phamoanh123123/posts/1431081510593491" TargetMode="External"/><Relationship Id="rId52" Type="http://schemas.openxmlformats.org/officeDocument/2006/relationships/hyperlink" Target="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" TargetMode="External"/><Relationship Id="rId55" Type="http://schemas.openxmlformats.org/officeDocument/2006/relationships/hyperlink" Target="https://www.tiktok.com/@diemho2001/video/6985854256574172442?lang=vi-VN&amp;is_copy_url=0&amp;is_from_webapp=v1&amp;sender_device=pc&amp;sender_web_id=6982736742253446658" TargetMode="External"/><Relationship Id="rId54" Type="http://schemas.openxmlformats.org/officeDocument/2006/relationships/hyperlink" Target="https://www.instagram.com/p/CRrAiZdshb-/?utm_source=ig_web_copy_link" TargetMode="External"/><Relationship Id="rId57" Type="http://schemas.openxmlformats.org/officeDocument/2006/relationships/hyperlink" Target="https://www.tiktok.com/@ducvamy/video/6988410622690004251?lang=vi-VN&amp;is_copy_url=0&amp;is_from_webapp=v1&amp;sender_device=pc&amp;sender_web_id=6983582057944237570" TargetMode="External"/><Relationship Id="rId56" Type="http://schemas.openxmlformats.org/officeDocument/2006/relationships/hyperlink" Target="https://www.facebook.com/thanhhuyen.bgvn/videos/338390987868753" TargetMode="External"/><Relationship Id="rId59" Type="http://schemas.openxmlformats.org/officeDocument/2006/relationships/hyperlink" Target="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58" Type="http://schemas.openxmlformats.org/officeDocument/2006/relationships/hyperlink" Target="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07" Type="http://schemas.openxmlformats.org/officeDocument/2006/relationships/hyperlink" Target="https://www.tiktok.com/@nhquangho17.naau/video/6989607455160356122?lang=vi-VN&amp;is_copy_url=0&amp;is_from_webapp=v1&amp;sender_device=pc&amp;sender_web_id=6908929983101486593" TargetMode="External"/><Relationship Id="rId106" Type="http://schemas.openxmlformats.org/officeDocument/2006/relationships/hyperlink" Target="https://www.tiktok.com/@nhut26march/video/6992182101940374785?is_copy_url=0&amp;is_from_webapp=v1&amp;sender_device=pc&amp;sender_web_id=6908929983101486593" TargetMode="External"/><Relationship Id="rId105" Type="http://schemas.openxmlformats.org/officeDocument/2006/relationships/hyperlink" Target="https://vt.tiktok.com/ZGJAJF8TU/" TargetMode="External"/><Relationship Id="rId104" Type="http://schemas.openxmlformats.org/officeDocument/2006/relationships/hyperlink" Target="https://vt.tiktok.com/ZGJSnXWNM/" TargetMode="External"/><Relationship Id="rId109" Type="http://schemas.openxmlformats.org/officeDocument/2006/relationships/hyperlink" Target="https://www.facebook.com/100041895573484/posts/570431567696691/?d=n" TargetMode="External"/><Relationship Id="rId108" Type="http://schemas.openxmlformats.org/officeDocument/2006/relationships/hyperlink" Target="https://www.tiktok.com/@vietthi.p336/video/6989901173205601562?" TargetMode="External"/><Relationship Id="rId103" Type="http://schemas.openxmlformats.org/officeDocument/2006/relationships/hyperlink" Target="https://vt.tiktok.com/ZGJAJdsw5/" TargetMode="External"/><Relationship Id="rId102" Type="http://schemas.openxmlformats.org/officeDocument/2006/relationships/hyperlink" Target="https://vt.tiktok.com/ZGJAJB8Ue/" TargetMode="External"/><Relationship Id="rId101" Type="http://schemas.openxmlformats.org/officeDocument/2006/relationships/hyperlink" Target="https://vt.tiktok.com/ZGJA1oNqY/" TargetMode="External"/><Relationship Id="rId100" Type="http://schemas.openxmlformats.org/officeDocument/2006/relationships/hyperlink" Target="https://vt.tiktok.com/ZGJSn5ewJ/" TargetMode="External"/><Relationship Id="rId127" Type="http://schemas.openxmlformats.org/officeDocument/2006/relationships/drawing" Target="../drawings/drawing3.xml"/><Relationship Id="rId126" Type="http://schemas.openxmlformats.org/officeDocument/2006/relationships/hyperlink" Target="https://www.tiktok.com/@badt99/video/6990905217294306586?" TargetMode="External"/><Relationship Id="rId121" Type="http://schemas.openxmlformats.org/officeDocument/2006/relationships/hyperlink" Target="https://www.facebook.com/100004590362501/posts/1979306372232356/?d=n" TargetMode="External"/><Relationship Id="rId120" Type="http://schemas.openxmlformats.org/officeDocument/2006/relationships/hyperlink" Target="https://www.facebook.com/01633166673h/videos/1033006097103767" TargetMode="External"/><Relationship Id="rId125" Type="http://schemas.openxmlformats.org/officeDocument/2006/relationships/hyperlink" Target="https://www.tiktok.com/@letrang_2k2/video/6990197204019350810?" TargetMode="External"/><Relationship Id="rId124" Type="http://schemas.openxmlformats.org/officeDocument/2006/relationships/hyperlink" Target="https://www.tiktok.com/@itsbevis/video/6992551336797687041?" TargetMode="External"/><Relationship Id="rId123" Type="http://schemas.openxmlformats.org/officeDocument/2006/relationships/hyperlink" Target="https://www.tiktok.com/@phamvinh99/video/6990582079016684827?" TargetMode="External"/><Relationship Id="rId122" Type="http://schemas.openxmlformats.org/officeDocument/2006/relationships/hyperlink" Target="https://www.tiktok.com/@phamquynhhoa2004/video/6989592326041554203?" TargetMode="External"/><Relationship Id="rId95" Type="http://schemas.openxmlformats.org/officeDocument/2006/relationships/hyperlink" Target="https://www.tiktok.com/@letrunghoang/video/6988442276729015579?" TargetMode="External"/><Relationship Id="rId94" Type="http://schemas.openxmlformats.org/officeDocument/2006/relationships/hyperlink" Target="https://vt.tiktok.com/ZGJSHA2sq/" TargetMode="External"/><Relationship Id="rId97" Type="http://schemas.openxmlformats.org/officeDocument/2006/relationships/hyperlink" Target="https://vt.tiktok.com/ZGJSmqHE7/" TargetMode="External"/><Relationship Id="rId96" Type="http://schemas.openxmlformats.org/officeDocument/2006/relationships/hyperlink" Target="https://vt.tiktok.com/ZGJSmgcuu/" TargetMode="External"/><Relationship Id="rId99" Type="http://schemas.openxmlformats.org/officeDocument/2006/relationships/hyperlink" Target="https://vt.tiktok.com/ZGJSnBoUW/" TargetMode="External"/><Relationship Id="rId98" Type="http://schemas.openxmlformats.org/officeDocument/2006/relationships/hyperlink" Target="https://vt.tiktok.com/ZGJSmqHE7/" TargetMode="External"/><Relationship Id="rId91" Type="http://schemas.openxmlformats.org/officeDocument/2006/relationships/hyperlink" Target="https://www.facebook.com/vuthiha89/posts/1956834161136593" TargetMode="External"/><Relationship Id="rId90" Type="http://schemas.openxmlformats.org/officeDocument/2006/relationships/hyperlink" Target="https://vt.tiktok.com/ZGJSHwrLw/" TargetMode="External"/><Relationship Id="rId93" Type="http://schemas.openxmlformats.org/officeDocument/2006/relationships/hyperlink" Target="https://vt.tiktok.com/ZGJSmVJE3/" TargetMode="External"/><Relationship Id="rId92" Type="http://schemas.openxmlformats.org/officeDocument/2006/relationships/hyperlink" Target="https://www.facebook.com/story.php?story_fbid=2107821152726732&amp;id=100004966026889" TargetMode="External"/><Relationship Id="rId118" Type="http://schemas.openxmlformats.org/officeDocument/2006/relationships/hyperlink" Target="https://www.youtube.com/watch?v=A8wUVr6AGrI&amp;t=439s" TargetMode="External"/><Relationship Id="rId117" Type="http://schemas.openxmlformats.org/officeDocument/2006/relationships/hyperlink" Target="https://www.facebook.com/watch/?v=358189612342573&amp;extid=NS-UNK-UNK-UNK-IOS_GK0T-GK1C" TargetMode="External"/><Relationship Id="rId116" Type="http://schemas.openxmlformats.org/officeDocument/2006/relationships/hyperlink" Target="https://www.tiktok.com/@cuonghancouple/video/6992911283016256795?" TargetMode="External"/><Relationship Id="rId115" Type="http://schemas.openxmlformats.org/officeDocument/2006/relationships/hyperlink" Target="https://www.tiktok.com/@chutieuhan10012001/video/6991051453611674907?" TargetMode="External"/><Relationship Id="rId119" Type="http://schemas.openxmlformats.org/officeDocument/2006/relationships/hyperlink" Target="https://www.tiktok.com/@ngannt212/video/6989825465703763227?" TargetMode="External"/><Relationship Id="rId110" Type="http://schemas.openxmlformats.org/officeDocument/2006/relationships/hyperlink" Target="https://www.facebook.com/100003131800673/posts/4188330314614654/?d=n" TargetMode="External"/><Relationship Id="rId114" Type="http://schemas.openxmlformats.org/officeDocument/2006/relationships/hyperlink" Target="https://www.tiktok.com/@hoang_giatuofficial/video/6988835648597658906?" TargetMode="External"/><Relationship Id="rId113" Type="http://schemas.openxmlformats.org/officeDocument/2006/relationships/hyperlink" Target="https://www.tiktok.com/@hat590/video/6989576551998262555?" TargetMode="External"/><Relationship Id="rId112" Type="http://schemas.openxmlformats.org/officeDocument/2006/relationships/hyperlink" Target="https://www.facebook.com/ky.ky.5209/posts/3078290249161833" TargetMode="External"/><Relationship Id="rId111" Type="http://schemas.openxmlformats.org/officeDocument/2006/relationships/hyperlink" Target="https://www.facebook.com/100046712499565/posts/355803339320080/?d=n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hermymeow/videos/359543159133729" TargetMode="External"/><Relationship Id="rId194" Type="http://schemas.openxmlformats.org/officeDocument/2006/relationships/hyperlink" Target="https://www.facebook.com/ky.ky.5209/videos/408310450908568" TargetMode="External"/><Relationship Id="rId193" Type="http://schemas.openxmlformats.org/officeDocument/2006/relationships/hyperlink" Target="https://www.facebook.com/loanvu1312/videos/1131153590627327" TargetMode="External"/><Relationship Id="rId192" Type="http://schemas.openxmlformats.org/officeDocument/2006/relationships/hyperlink" Target="https://www.tiktok.com/@tuyen270394/video/6990658832435383578?_=&amp;is_copy_url=0&amp;is_from_webapp=v1&amp;sender_device=pc&amp;sender_web_id=6908929983101486593" TargetMode="External"/><Relationship Id="rId191" Type="http://schemas.openxmlformats.org/officeDocument/2006/relationships/hyperlink" Target="https://www.facebook.com/100003131800673/videos/pcb.4188330314614654/196003532541466" TargetMode="External"/><Relationship Id="rId187" Type="http://schemas.openxmlformats.org/officeDocument/2006/relationships/hyperlink" Target="https://www.facebook.com/chinchinnnnnn/videos/852336042329106/" TargetMode="External"/><Relationship Id="rId186" Type="http://schemas.openxmlformats.org/officeDocument/2006/relationships/hyperlink" Target="https://www.facebook.com/100028527371304/videos/251237473483630" TargetMode="External"/><Relationship Id="rId185" Type="http://schemas.openxmlformats.org/officeDocument/2006/relationships/hyperlink" Target="https://www.facebook.com/moclanla/videos/1895705157290436" TargetMode="External"/><Relationship Id="rId184" Type="http://schemas.openxmlformats.org/officeDocument/2006/relationships/hyperlink" Target="https://www.instagram.com/p/CSRS1MgJjwA/?utm_medium=copy_link" TargetMode="External"/><Relationship Id="rId189" Type="http://schemas.openxmlformats.org/officeDocument/2006/relationships/hyperlink" Target="https://www.tiktok.com/@thinhnguyenart_official/video/6996063302455545089?is_copy_url=0&amp;is_from_webapp=v1&amp;sender_device=pc&amp;sender_web_id=6908929983101486593" TargetMode="External"/><Relationship Id="rId188" Type="http://schemas.openxmlformats.org/officeDocument/2006/relationships/hyperlink" Target="https://www.tiktok.com/@thinhnguyenart_official/video/6990648910502956314?is_copy_url=0&amp;is_from_webapp=v1&amp;sender_device=pc&amp;sender_web_id=6908929983101486593" TargetMode="External"/><Relationship Id="rId183" Type="http://schemas.openxmlformats.org/officeDocument/2006/relationships/hyperlink" Target="https://www.facebook.com/dangducdai69/videos/1050642239009275" TargetMode="External"/><Relationship Id="rId182" Type="http://schemas.openxmlformats.org/officeDocument/2006/relationships/hyperlink" Target="https://www.tiktok.com/@vietthi.p336/video/6989901173205601562?is_copy_url=0&amp;is_from_webapp=v1&amp;sender_device=pc&amp;sender_web_id=6908929983101486593" TargetMode="External"/><Relationship Id="rId181" Type="http://schemas.openxmlformats.org/officeDocument/2006/relationships/hyperlink" Target="https://www.tiktok.com/@nhquangho17.naau/video/6990704048898837786?lang=vi-VN&amp;is_copy_url=0&amp;is_from_webapp=v1&amp;sender_device=pc&amp;sender_web_id=6908929983101486593" TargetMode="External"/><Relationship Id="rId180" Type="http://schemas.openxmlformats.org/officeDocument/2006/relationships/hyperlink" Target="https://www.tiktok.com/@nhquangho17.naau/video/6989968057737235738?lang=vi-VN&amp;is_copy_url=0&amp;is_from_webapp=v1&amp;sender_device=pc&amp;sender_web_id=6908929983101486593" TargetMode="External"/><Relationship Id="rId176" Type="http://schemas.openxmlformats.org/officeDocument/2006/relationships/hyperlink" Target="https://www.tiktok.com/@behyblack/video/6990660041703509275?is_copy_url=0&amp;is_from_webapp=v1&amp;sender_device=pc&amp;sender_web_id=6908929983101486593" TargetMode="External"/><Relationship Id="rId297" Type="http://schemas.openxmlformats.org/officeDocument/2006/relationships/hyperlink" Target="https://www.tiktok.com/@colycoc/video/6994294319284849921?" TargetMode="External"/><Relationship Id="rId175" Type="http://schemas.openxmlformats.org/officeDocument/2006/relationships/hyperlink" Target="https://www.tiktok.com/@phun.anh/video/6991314600067157275?lang=vi-VN&amp;is_copy_url=0&amp;is_from_webapp=v1&amp;sender_device=pc&amp;sender_web_id=6908929983101486593" TargetMode="External"/><Relationship Id="rId296" Type="http://schemas.openxmlformats.org/officeDocument/2006/relationships/hyperlink" Target="https://www.tiktok.com/@colycoc/video/6992781247902747905?" TargetMode="External"/><Relationship Id="rId174" Type="http://schemas.openxmlformats.org/officeDocument/2006/relationships/hyperlink" Target="https://www.tiktok.com/@phun.anh/video/6990941519582711067?lang=vi-VN&amp;is_copy_url=0&amp;is_from_webapp=v1&amp;sender_device=pc&amp;sender_web_id=6908929983101486593" TargetMode="External"/><Relationship Id="rId295" Type="http://schemas.openxmlformats.org/officeDocument/2006/relationships/hyperlink" Target="https://www.tiktok.com/@colycoc/video/6992534879728667905?" TargetMode="External"/><Relationship Id="rId173" Type="http://schemas.openxmlformats.org/officeDocument/2006/relationships/hyperlink" Target="https://www.tiktok.com/@phun.anh/video/6990197712285175066?lang=vi-VN&amp;is_copy_url=0&amp;is_from_webapp=v1&amp;sender_device=pc&amp;sender_web_id=6908929983101486593" TargetMode="External"/><Relationship Id="rId294" Type="http://schemas.openxmlformats.org/officeDocument/2006/relationships/hyperlink" Target="https://www.tiktok.com/@colycoc/video/6989077386696379649?" TargetMode="External"/><Relationship Id="rId179" Type="http://schemas.openxmlformats.org/officeDocument/2006/relationships/hyperlink" Target="https://www.tiktok.com/@nhquangho17.naau/video/6989607455160356122?lang=vi-VN&amp;is_copy_url=0&amp;is_from_webapp=v1&amp;sender_device=pc&amp;sender_web_id=6908929983101486593" TargetMode="External"/><Relationship Id="rId178" Type="http://schemas.openxmlformats.org/officeDocument/2006/relationships/hyperlink" Target="https://www.tiktok.com/@nhut26march/video/6992182101940374785?is_copy_url=0&amp;is_from_webapp=v1&amp;sender_device=pc&amp;sender_web_id=6908929983101486593" TargetMode="External"/><Relationship Id="rId299" Type="http://schemas.openxmlformats.org/officeDocument/2006/relationships/hyperlink" Target="https://www.tiktok.com/@kiethatinh.2000/video/6990946182860180762?" TargetMode="External"/><Relationship Id="rId177" Type="http://schemas.openxmlformats.org/officeDocument/2006/relationships/hyperlink" Target="https://www.tiktok.com/@hoduyphuong/video/6990936348362411291?_=&amp;is_copy_url=0&amp;is_from_webapp=v1&amp;sender_device=pc&amp;sender_web_id=6908929983101486593" TargetMode="External"/><Relationship Id="rId298" Type="http://schemas.openxmlformats.org/officeDocument/2006/relationships/hyperlink" Target="https://www.tiktok.com/@colycoc/video/6995769496266886401?" TargetMode="External"/><Relationship Id="rId198" Type="http://schemas.openxmlformats.org/officeDocument/2006/relationships/hyperlink" Target="https://www.tiktok.com/@hoang_giatuofficial/video/6990675800861199643?is_copy_url=0&amp;is_from_webapp=v1&amp;sender_device=pc&amp;sender_web_id=6908929983101486593" TargetMode="External"/><Relationship Id="rId197" Type="http://schemas.openxmlformats.org/officeDocument/2006/relationships/hyperlink" Target="https://www.tiktok.com/@hoang_giatuofficial/video/6988835648597658906?is_copy_url=0&amp;is_from_webapp=v1&amp;sender_device=pc&amp;sender_web_id=6908929983101486593" TargetMode="External"/><Relationship Id="rId196" Type="http://schemas.openxmlformats.org/officeDocument/2006/relationships/hyperlink" Target="https://www.tiktok.com/@hat590/video/6990332390979702042?is_copy_url=0&amp;is_from_webapp=v1&amp;sender_device=pc&amp;sender_web_id=6908929983101486593" TargetMode="External"/><Relationship Id="rId195" Type="http://schemas.openxmlformats.org/officeDocument/2006/relationships/hyperlink" Target="https://www.tiktok.com/@hat590/video/6989576551998262555?is_copy_url=0&amp;is_from_webapp=v1&amp;sender_device=pc&amp;sender_web_id=6908929983101486593" TargetMode="External"/><Relationship Id="rId199" Type="http://schemas.openxmlformats.org/officeDocument/2006/relationships/hyperlink" Target="https://www.facebook.com/AnhTu.BoysCOCA/videos/499013747831709" TargetMode="External"/><Relationship Id="rId150" Type="http://schemas.openxmlformats.org/officeDocument/2006/relationships/hyperlink" Target="https://www.tiktok.com/@tieungao1907/video/6989825215723244827?" TargetMode="External"/><Relationship Id="rId271" Type="http://schemas.openxmlformats.org/officeDocument/2006/relationships/hyperlink" Target="https://www.tiktok.com/@yona.224/video/6991050118011063579?" TargetMode="External"/><Relationship Id="rId392" Type="http://schemas.openxmlformats.org/officeDocument/2006/relationships/hyperlink" Target="https://www.tiktok.com/@phaminhiu/video/6994772365624298778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70" Type="http://schemas.openxmlformats.org/officeDocument/2006/relationships/hyperlink" Target="https://www.tiktok.com/@yona.224/video/6990667503278116122?" TargetMode="External"/><Relationship Id="rId391" Type="http://schemas.openxmlformats.org/officeDocument/2006/relationships/hyperlink" Target="https://www.tiktok.com/@phaminhiu/video/6993330854671961371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90" Type="http://schemas.openxmlformats.org/officeDocument/2006/relationships/hyperlink" Target="https://www.tiktok.com/@phaminhiu/video/6992489165136989467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" Type="http://schemas.openxmlformats.org/officeDocument/2006/relationships/hyperlink" Target="https://www.facebook.com/nguyen.huyenthu.716/videos/2920449061508309" TargetMode="External"/><Relationship Id="rId2" Type="http://schemas.openxmlformats.org/officeDocument/2006/relationships/hyperlink" Target="https://www.tiktok.com/@nhyyng/video/6987713962817228059?" TargetMode="External"/><Relationship Id="rId3" Type="http://schemas.openxmlformats.org/officeDocument/2006/relationships/hyperlink" Target="https://www.tiktok.com/@giangdeyy0/video/6986251851104554266?" TargetMode="External"/><Relationship Id="rId149" Type="http://schemas.openxmlformats.org/officeDocument/2006/relationships/hyperlink" Target="https://www.tiktok.com/@tieungao1907/video/6989560534291008794?" TargetMode="External"/><Relationship Id="rId4" Type="http://schemas.openxmlformats.org/officeDocument/2006/relationships/hyperlink" Target="https://www.tiktok.com/@giangdeyy0/video/6987221320555711770?is_copy_url=0&amp;is_from_webapp=v1&amp;sender_device=pc&amp;sender_web_id=6908929983101486593" TargetMode="External"/><Relationship Id="rId148" Type="http://schemas.openxmlformats.org/officeDocument/2006/relationships/hyperlink" Target="https://vt.tiktok.com/ZGJAJB8Ue/" TargetMode="External"/><Relationship Id="rId269" Type="http://schemas.openxmlformats.org/officeDocument/2006/relationships/hyperlink" Target="https://www.tiktok.com/@yona.224/video/6990191602945903899?" TargetMode="External"/><Relationship Id="rId9" Type="http://schemas.openxmlformats.org/officeDocument/2006/relationships/hyperlink" Target="https://www.tiktok.com/@thianguyen2001/video/6984759162777439514?fbclid=IwAR2K88TH_6Pxwa31Ff96qvddJoh9dCU0fDhOpZGRrmFbW6yhW__kQWi3yLo&amp;is_copy_url=0&amp;is_from_webapp=v1&amp;sender_device=pc&amp;sender_web_id=6908929983101486593" TargetMode="External"/><Relationship Id="rId143" Type="http://schemas.openxmlformats.org/officeDocument/2006/relationships/hyperlink" Target="https://www.tiktok.com/@duchien118/video/6988078772960382235?" TargetMode="External"/><Relationship Id="rId264" Type="http://schemas.openxmlformats.org/officeDocument/2006/relationships/hyperlink" Target="https://www.tiktok.com/@ngannt212/video/6994281578071444738?is_copy_url=0&amp;is_from_webapp=v1&amp;sender_device=pc&amp;sender_web_id=6908929983101486593" TargetMode="External"/><Relationship Id="rId385" Type="http://schemas.openxmlformats.org/officeDocument/2006/relationships/hyperlink" Target="https://www.tiktok.com/@hht0911/video/6988773712031976730?lang=vi-VN&amp;is_copy_url=0&amp;is_from_webapp=v1&amp;sender_device=pc&amp;sender_web_id=6983582057944237570" TargetMode="External"/><Relationship Id="rId142" Type="http://schemas.openxmlformats.org/officeDocument/2006/relationships/hyperlink" Target="https://www.tiktok.com/@hoangtiendong/video/6988323926350892314?" TargetMode="External"/><Relationship Id="rId263" Type="http://schemas.openxmlformats.org/officeDocument/2006/relationships/hyperlink" Target="https://www.tiktok.com/@chutieuhan10012001/video/6994390473704017178?is_copy_url=0&amp;is_from_webapp=v1&amp;sender_device=pc&amp;sender_web_id=6908929983101486593" TargetMode="External"/><Relationship Id="rId384" Type="http://schemas.openxmlformats.org/officeDocument/2006/relationships/hyperlink" Target="https://www.tiktok.com/@meous99/video/6997343418158419227?" TargetMode="External"/><Relationship Id="rId141" Type="http://schemas.openxmlformats.org/officeDocument/2006/relationships/hyperlink" Target="https://www.tiktok.com/@letrunghoang/video/6988442276729015579?" TargetMode="External"/><Relationship Id="rId262" Type="http://schemas.openxmlformats.org/officeDocument/2006/relationships/hyperlink" Target="https://www.tiktok.com/@dienmy_16th2/video/6989929177898110235?lang=vi-VN&amp;fbclid=IwAR2DIlZqcWCtP2YCucUKJnX-ychRUM6elc1sc2kkvie8Ur2WFJlaTg3C7yQ&amp;is_copy_url=0&amp;is_from_webapp=v1&amp;sender_device=pc&amp;sender_web_id=6908929983101486593" TargetMode="External"/><Relationship Id="rId383" Type="http://schemas.openxmlformats.org/officeDocument/2006/relationships/hyperlink" Target="https://www.tiktok.com/@tuan_bo/video/6992448854272511259?" TargetMode="External"/><Relationship Id="rId140" Type="http://schemas.openxmlformats.org/officeDocument/2006/relationships/hyperlink" Target="https://www.tiktok.com/@letrunghoang/video/6987701011628428570?" TargetMode="External"/><Relationship Id="rId261" Type="http://schemas.openxmlformats.org/officeDocument/2006/relationships/hyperlink" Target="https://www.tiktok.com/@trangchun186/video/6996262197651410203?lang=vi-VN&amp;is_copy_url=0&amp;is_from_webapp=v1&amp;sender_device=pc&amp;sender_web_id=6908929983101486593" TargetMode="External"/><Relationship Id="rId382" Type="http://schemas.openxmlformats.org/officeDocument/2006/relationships/hyperlink" Target="https://www.tiktok.com/@tuan_bo/video/6991701622132952346?" TargetMode="External"/><Relationship Id="rId5" Type="http://schemas.openxmlformats.org/officeDocument/2006/relationships/hyperlink" Target="https://www.tiktok.com/@giangdeyy0/video/6987288042763504922?" TargetMode="External"/><Relationship Id="rId147" Type="http://schemas.openxmlformats.org/officeDocument/2006/relationships/hyperlink" Target="https://www.tiktok.com/@minhnhatdzvcl/video/6989563123632000283?" TargetMode="External"/><Relationship Id="rId268" Type="http://schemas.openxmlformats.org/officeDocument/2006/relationships/hyperlink" Target="https://www.tiktok.com/@yona.224/video/6989929438775479579?" TargetMode="External"/><Relationship Id="rId389" Type="http://schemas.openxmlformats.org/officeDocument/2006/relationships/hyperlink" Target="https://www.tiktok.com/@phaminhiu/video/6991717039761149210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" Type="http://schemas.openxmlformats.org/officeDocument/2006/relationships/hyperlink" Target="https://www.tiktok.com/@giangdeyy0/video/6987566550714797338?" TargetMode="External"/><Relationship Id="rId146" Type="http://schemas.openxmlformats.org/officeDocument/2006/relationships/hyperlink" Target="https://www.tiktok.com/@thanhdolphin03082000/video/6988845269173554458?" TargetMode="External"/><Relationship Id="rId267" Type="http://schemas.openxmlformats.org/officeDocument/2006/relationships/hyperlink" Target="https://www.tiktok.com/@yona.224/video/6989560712561462554?" TargetMode="External"/><Relationship Id="rId388" Type="http://schemas.openxmlformats.org/officeDocument/2006/relationships/hyperlink" Target="https://www.tiktok.com/@phaminhiu/video/6991455696688581915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7" Type="http://schemas.openxmlformats.org/officeDocument/2006/relationships/hyperlink" Target="https://www.tiktok.com/@thuyngann_16/video/6988304363961765146?" TargetMode="External"/><Relationship Id="rId145" Type="http://schemas.openxmlformats.org/officeDocument/2006/relationships/hyperlink" Target="https://www.tiktok.com/@xuanduong_0403/video/6988463245187222810?" TargetMode="External"/><Relationship Id="rId266" Type="http://schemas.openxmlformats.org/officeDocument/2006/relationships/hyperlink" Target="https://www.tiktok.com/@phucanhh_/video/6997609518356073754?_d=secCgYIASAHKAESMgowT4f9CfHjAxDJxqNULf511uAHPYxqwOF7Y0scVghjMBAZqAPAdmMdKvqqNjawhU5rGgA%3D&amp;checksum=7c6e7b0a81db4eac0280943e3d9a9bffe01c3adc0d082a8d64f048fb04f9bb0e&amp;language=vi&amp;mid=6997609513255766811&amp;preview_pb=0&amp;region=VN&amp;sec_user_id=MS4wLjABAAAAzih8nWx5fp_M_9ibbXdWDHTKo2DTeA7H7r1IJOz6Dyg&amp;share_app_id=1180&amp;share_item_id=6997609518356073754&amp;share_link_id=30629CE4-4F98-4FB3-BD0B-92B7D9A5C78B&amp;source=h5_t&amp;timestamp=1629257985&amp;tt_from=copy&amp;u_code=i28e7mlj&amp;user_id=61638435651&amp;utm_campaign=client_share&amp;utm_medium=ios&amp;utm_source=copy&amp;_r=1&amp;is_copy_url=0&amp;is_from_webapp=v1&amp;sender_device=pc&amp;sender_web_id=6908929983101486593" TargetMode="External"/><Relationship Id="rId387" Type="http://schemas.openxmlformats.org/officeDocument/2006/relationships/hyperlink" Target="https://www.tiktok.com/@phaminhiu/video/6991387276009852187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8" Type="http://schemas.openxmlformats.org/officeDocument/2006/relationships/hyperlink" Target="https://www.tiktok.com/@shoppingfamily_/video/6985609926110432538?" TargetMode="External"/><Relationship Id="rId144" Type="http://schemas.openxmlformats.org/officeDocument/2006/relationships/hyperlink" Target="https://www.tiktok.com/@duchien118/video/6988762606756498714?" TargetMode="External"/><Relationship Id="rId265" Type="http://schemas.openxmlformats.org/officeDocument/2006/relationships/hyperlink" Target="https://www.facebook.com/nah.anh.1428/videos/985158548928141" TargetMode="External"/><Relationship Id="rId386" Type="http://schemas.openxmlformats.org/officeDocument/2006/relationships/hyperlink" Target="https://www.tiktok.com/@hht0911/video/6991815536543796507?lang=vi-VN&amp;is_copy_url=0&amp;is_from_webapp=v1&amp;sender_device=pc&amp;sender_web_id=6983582057944237570" TargetMode="External"/><Relationship Id="rId260" Type="http://schemas.openxmlformats.org/officeDocument/2006/relationships/hyperlink" Target="https://www.tiktok.com/@trangchun186/video/6994412546321124634?lang=vi-VN&amp;is_copy_url=0&amp;is_from_webapp=v1&amp;sender_device=pc&amp;sender_web_id=6908929983101486593" TargetMode="External"/><Relationship Id="rId381" Type="http://schemas.openxmlformats.org/officeDocument/2006/relationships/hyperlink" Target="https://www.tiktok.com/@quynh2001/video/6995363443029167387?" TargetMode="External"/><Relationship Id="rId380" Type="http://schemas.openxmlformats.org/officeDocument/2006/relationships/hyperlink" Target="https://www.youtube.com/watch?v=68YcSMctC-A&amp;t=14s" TargetMode="External"/><Relationship Id="rId139" Type="http://schemas.openxmlformats.org/officeDocument/2006/relationships/hyperlink" Target="https://www.tiktok.com/@vansat97/video/6988390846999596314?_" TargetMode="External"/><Relationship Id="rId138" Type="http://schemas.openxmlformats.org/officeDocument/2006/relationships/hyperlink" Target="https://www.tiktok.com/@meous99/video/6987701467926891802?" TargetMode="External"/><Relationship Id="rId259" Type="http://schemas.openxmlformats.org/officeDocument/2006/relationships/hyperlink" Target="https://www.tiktok.com/@kembanhque/video/6993663818228452634?is_copy_url=0&amp;is_from_webapp=v1&amp;sender_device=pc&amp;sender_web_id=6908929983101486593" TargetMode="External"/><Relationship Id="rId137" Type="http://schemas.openxmlformats.org/officeDocument/2006/relationships/hyperlink" Target="https://www.facebook.com/story.php?story_fbid=2107821152726732&amp;id=100004966026889" TargetMode="External"/><Relationship Id="rId258" Type="http://schemas.openxmlformats.org/officeDocument/2006/relationships/hyperlink" Target="https://www.tiktok.com/@kembanhque/video/6989953329786817819?is_copy_url=0&amp;is_from_webapp=v1&amp;sender_device=pc&amp;sender_web_id=6908929983101486593" TargetMode="External"/><Relationship Id="rId379" Type="http://schemas.openxmlformats.org/officeDocument/2006/relationships/hyperlink" Target="https://www.tiktok.com/@minhnhatdzvcl/video/6993668410890521882?" TargetMode="External"/><Relationship Id="rId132" Type="http://schemas.openxmlformats.org/officeDocument/2006/relationships/hyperlink" Target="https://www.facebook.com/100013229984459/posts/1252675021850152/?d=n" TargetMode="External"/><Relationship Id="rId253" Type="http://schemas.openxmlformats.org/officeDocument/2006/relationships/hyperlink" Target="https://www.tiktok.com/@chungtunn/video/6992176639752801562?lang=vi-VN&amp;is_copy_url=0&amp;is_from_webapp=v1&amp;sender_device=pc&amp;sender_web_id=6908929983101486593" TargetMode="External"/><Relationship Id="rId374" Type="http://schemas.openxmlformats.org/officeDocument/2006/relationships/hyperlink" Target="https://www.facebook.com/tieungaocute/videos/893728304547576" TargetMode="External"/><Relationship Id="rId495" Type="http://schemas.openxmlformats.org/officeDocument/2006/relationships/hyperlink" Target="https://www.instagram.com/reel/CR1OPZPDuaP/" TargetMode="External"/><Relationship Id="rId131" Type="http://schemas.openxmlformats.org/officeDocument/2006/relationships/hyperlink" Target="https://www.tiktok.com/@hoangthi_phuongthao/video/6984748327371820314?" TargetMode="External"/><Relationship Id="rId252" Type="http://schemas.openxmlformats.org/officeDocument/2006/relationships/hyperlink" Target="https://www.tiktok.com/@vykhang0103/video/6994787192748969243?lang=vi-VN&amp;is_copy_url=0&amp;is_from_webapp=v1&amp;sender_device=pc&amp;sender_web_id=6908929983101486593" TargetMode="External"/><Relationship Id="rId373" Type="http://schemas.openxmlformats.org/officeDocument/2006/relationships/hyperlink" Target="https://www.tiktok.com/@tieungao1907/video/6996503654287068442?" TargetMode="External"/><Relationship Id="rId494" Type="http://schemas.openxmlformats.org/officeDocument/2006/relationships/hyperlink" Target="https://www.instagram.com/reel/CRydlrjDHH1/" TargetMode="External"/><Relationship Id="rId130" Type="http://schemas.openxmlformats.org/officeDocument/2006/relationships/hyperlink" Target="https://www.facebook.com/100067564274854/posts/143402697921872/?d=n" TargetMode="External"/><Relationship Id="rId251" Type="http://schemas.openxmlformats.org/officeDocument/2006/relationships/hyperlink" Target="https://www.tiktok.com/@choul2002/video/6995145638467882267?lang=vi-VN&amp;is_copy_url=0&amp;is_from_webapp=v1&amp;sender_device=pc&amp;sender_web_id=6908929983101486593" TargetMode="External"/><Relationship Id="rId372" Type="http://schemas.openxmlformats.org/officeDocument/2006/relationships/hyperlink" Target="https://www.tiktok.com/@tieungao1907/video/6993907369440759067?" TargetMode="External"/><Relationship Id="rId493" Type="http://schemas.openxmlformats.org/officeDocument/2006/relationships/hyperlink" Target="https://www.tiktok.com/@toanprdsofficial/video/6989587951852293402?is_copy_url=0&amp;is_from_webapp=v1&amp;sender_device=pc&amp;sender_web_id=6908929983101486593" TargetMode="External"/><Relationship Id="rId250" Type="http://schemas.openxmlformats.org/officeDocument/2006/relationships/hyperlink" Target="https://www.tiktok.com/@choul2002/video/6994770713899044123?lang=vi-VN&amp;is_copy_url=0&amp;is_from_webapp=v1&amp;sender_device=pc&amp;sender_web_id=6908929983101486593" TargetMode="External"/><Relationship Id="rId371" Type="http://schemas.openxmlformats.org/officeDocument/2006/relationships/hyperlink" Target="https://www.tiktok.com/@tieungao1907/video/6993539577990450459?" TargetMode="External"/><Relationship Id="rId492" Type="http://schemas.openxmlformats.org/officeDocument/2006/relationships/hyperlink" Target="https://www.tiktok.com/@toanprdsofficial/video/6989206587835419931?is_copy_url=0&amp;is_from_webapp=v1&amp;sender_device=pc&amp;sender_web_id=6908929983101486593" TargetMode="External"/><Relationship Id="rId136" Type="http://schemas.openxmlformats.org/officeDocument/2006/relationships/hyperlink" Target="https://www.facebook.com/vuthiha89/posts/1956834161136593" TargetMode="External"/><Relationship Id="rId257" Type="http://schemas.openxmlformats.org/officeDocument/2006/relationships/hyperlink" Target="https://www.tiktok.com/@nhungtinhyeu/video/6992410592246107418?lang=vi-VN&amp;is_copy_url=0&amp;is_from_webapp=v1&amp;sender_device=pc&amp;sender_web_id=6908929983101486593" TargetMode="External"/><Relationship Id="rId378" Type="http://schemas.openxmlformats.org/officeDocument/2006/relationships/hyperlink" Target="https://www.tiktok.com/@minhnhatdzvcl/video/6993280233017330971?" TargetMode="External"/><Relationship Id="rId135" Type="http://schemas.openxmlformats.org/officeDocument/2006/relationships/hyperlink" Target="https://www.tiktok.com/@kiethatinh.2000/video/6988459710299131162?" TargetMode="External"/><Relationship Id="rId256" Type="http://schemas.openxmlformats.org/officeDocument/2006/relationships/hyperlink" Target="https://www.tiktok.com/@nhungtinhyeu/video/6991429221809720603?lang=vi-VN&amp;is_copy_url=0&amp;is_from_webapp=v1&amp;sender_device=pc&amp;sender_web_id=6908929983101486593" TargetMode="External"/><Relationship Id="rId377" Type="http://schemas.openxmlformats.org/officeDocument/2006/relationships/hyperlink" Target="https://www.tiktok.com/@minhnhatdzvcl/video/6992799213088263451?" TargetMode="External"/><Relationship Id="rId498" Type="http://schemas.openxmlformats.org/officeDocument/2006/relationships/drawing" Target="../drawings/drawing4.xml"/><Relationship Id="rId134" Type="http://schemas.openxmlformats.org/officeDocument/2006/relationships/hyperlink" Target="https://www.tiktok.com/@haiphongphoto.x/video/6987339900899036443?" TargetMode="External"/><Relationship Id="rId255" Type="http://schemas.openxmlformats.org/officeDocument/2006/relationships/hyperlink" Target="https://www.tiktok.com/@fit.kiss/video/6989147350895840538?lang=vi-VN&amp;is_copy_url=0&amp;is_from_webapp=v1&amp;sender_device=pc&amp;sender_web_id=6908929983101486593" TargetMode="External"/><Relationship Id="rId376" Type="http://schemas.openxmlformats.org/officeDocument/2006/relationships/hyperlink" Target="https://www.tiktok.com/@minhnhatdzvcl/video/6991428643280964890?" TargetMode="External"/><Relationship Id="rId497" Type="http://schemas.openxmlformats.org/officeDocument/2006/relationships/hyperlink" Target="https://www.tiktok.com/@baduyyyy/video/6989206445728238874?" TargetMode="External"/><Relationship Id="rId133" Type="http://schemas.openxmlformats.org/officeDocument/2006/relationships/hyperlink" Target="https://www.instagram.com/p/CRrBP9HFtOj/" TargetMode="External"/><Relationship Id="rId254" Type="http://schemas.openxmlformats.org/officeDocument/2006/relationships/hyperlink" Target="https://www.tiktok.com/@anhbodoi77/video/6986854662611733786?lang=vi-VN&amp;is_copy_url=0&amp;is_from_webapp=v1&amp;sender_device=pc&amp;sender_web_id=6908929983101486593" TargetMode="External"/><Relationship Id="rId375" Type="http://schemas.openxmlformats.org/officeDocument/2006/relationships/hyperlink" Target="https://www.facebook.com/tieungaocute/videos/283351293556690" TargetMode="External"/><Relationship Id="rId496" Type="http://schemas.openxmlformats.org/officeDocument/2006/relationships/hyperlink" Target="https://www.facebook.com/106896074362727/videos/557778102079599" TargetMode="External"/><Relationship Id="rId172" Type="http://schemas.openxmlformats.org/officeDocument/2006/relationships/hyperlink" Target="https://www.tiktok.com/@hth.1909/video/6992902618666257690?l=&amp;is_copy_url=0&amp;is_from_webapp=v1&amp;sender_device=pc&amp;sender_web_id=6908929983101486593" TargetMode="External"/><Relationship Id="rId293" Type="http://schemas.openxmlformats.org/officeDocument/2006/relationships/hyperlink" Target="https://www.tiktok.com/@quely94/video/6989453718311669019?" TargetMode="External"/><Relationship Id="rId171" Type="http://schemas.openxmlformats.org/officeDocument/2006/relationships/hyperlink" Target="https://www.tiktok.com/@hth.1909/video/6992881740876434714?l=&amp;is_copy_url=0&amp;is_from_webapp=v1&amp;sender_device=pc&amp;sender_web_id=6908929983101486593" TargetMode="External"/><Relationship Id="rId292" Type="http://schemas.openxmlformats.org/officeDocument/2006/relationships/hyperlink" Target="https://www.tiktok.com/@phuonganh260499/video/6996517746364239131?" TargetMode="External"/><Relationship Id="rId170" Type="http://schemas.openxmlformats.org/officeDocument/2006/relationships/hyperlink" Target="https://www.tiktok.com/@phandactoan/video/6993306195180129562?is_copy_url=0&amp;is_from_webapp=v1&amp;sender_device=pc&amp;sender_web_id=6908929983101486593" TargetMode="External"/><Relationship Id="rId291" Type="http://schemas.openxmlformats.org/officeDocument/2006/relationships/hyperlink" Target="https://www.tiktok.com/@phuonganh260499/video/6995391462271651098?" TargetMode="External"/><Relationship Id="rId290" Type="http://schemas.openxmlformats.org/officeDocument/2006/relationships/hyperlink" Target="https://www.tiktok.com/@phuonganh260499/video/6993907259147324698?" TargetMode="External"/><Relationship Id="rId165" Type="http://schemas.openxmlformats.org/officeDocument/2006/relationships/hyperlink" Target="https://www.tiktok.com/@anhthuyet/video/6990303415523937563?" TargetMode="External"/><Relationship Id="rId286" Type="http://schemas.openxmlformats.org/officeDocument/2006/relationships/hyperlink" Target="https://www.tiktok.com/@phuonganh260499/video/6990197559016967450?" TargetMode="External"/><Relationship Id="rId164" Type="http://schemas.openxmlformats.org/officeDocument/2006/relationships/hyperlink" Target="https://www.tiktok.com/@cu_bo32/video/6991296623758363931?" TargetMode="External"/><Relationship Id="rId285" Type="http://schemas.openxmlformats.org/officeDocument/2006/relationships/hyperlink" Target="https://www.tiktok.com/@duongvayen11820/video/6996241475579251995?" TargetMode="External"/><Relationship Id="rId163" Type="http://schemas.openxmlformats.org/officeDocument/2006/relationships/hyperlink" Target="https://www.tiktok.com/@cu_bo32/video/6990337919793810715?" TargetMode="External"/><Relationship Id="rId284" Type="http://schemas.openxmlformats.org/officeDocument/2006/relationships/hyperlink" Target="https://www.tiktok.com/@duongvayen11820/video/6989197488074853659?" TargetMode="External"/><Relationship Id="rId162" Type="http://schemas.openxmlformats.org/officeDocument/2006/relationships/hyperlink" Target="https://www.tiktok.com/@yody_vn/video/6986634121699151106?lang=vi-VN&amp;is_copy_url=1&amp;is_from_webapp=v1" TargetMode="External"/><Relationship Id="rId283" Type="http://schemas.openxmlformats.org/officeDocument/2006/relationships/hyperlink" Target="https://www.facebook.com/camly.thaithi102/videos/367226451587731" TargetMode="External"/><Relationship Id="rId169" Type="http://schemas.openxmlformats.org/officeDocument/2006/relationships/hyperlink" Target="https://www.tiktok.com/@thokiwi98/video/6993677533438905627?is_copy_url=0&amp;is_from_webapp=v1&amp;sender_device=pc&amp;sender_web_id=6908929983101486593" TargetMode="External"/><Relationship Id="rId168" Type="http://schemas.openxmlformats.org/officeDocument/2006/relationships/hyperlink" Target="https://www.tiktok.com/@anhthuyet/video/6992906148156345627?lang=vi-VN&amp;is_copy_url=0&amp;is_from_webapp=v1&amp;sender_device=pc&amp;sender_web_id=6908929983101486593" TargetMode="External"/><Relationship Id="rId289" Type="http://schemas.openxmlformats.org/officeDocument/2006/relationships/hyperlink" Target="https://www.tiktok.com/@phuonganh260499/video/6992796274646846746?" TargetMode="External"/><Relationship Id="rId167" Type="http://schemas.openxmlformats.org/officeDocument/2006/relationships/hyperlink" Target="https://www.tiktok.com/@anhthuyet/video/6991049951816060186?lang=vi-VN&amp;is_copy_url=0&amp;is_from_webapp=v1&amp;sender_device=pc&amp;sender_web_id=6908929983101486593" TargetMode="External"/><Relationship Id="rId288" Type="http://schemas.openxmlformats.org/officeDocument/2006/relationships/hyperlink" Target="https://www.tiktok.com/@phuonganh260499/video/6990938927632813338?" TargetMode="External"/><Relationship Id="rId166" Type="http://schemas.openxmlformats.org/officeDocument/2006/relationships/hyperlink" Target="https://www.tiktok.com/@anhthuyet/video/6990550597258841370?" TargetMode="External"/><Relationship Id="rId287" Type="http://schemas.openxmlformats.org/officeDocument/2006/relationships/hyperlink" Target="https://www.tiktok.com/@phuonganh260499/video/6990624520012942618?" TargetMode="External"/><Relationship Id="rId161" Type="http://schemas.openxmlformats.org/officeDocument/2006/relationships/hyperlink" Target="https://www.tiktok.com/@yody_vn/video/6984773909811842305?lang=vi-VN&amp;is_copy_url=1&amp;is_from_webapp=v1" TargetMode="External"/><Relationship Id="rId282" Type="http://schemas.openxmlformats.org/officeDocument/2006/relationships/hyperlink" Target="https://www.facebook.com/camly.thaithi102/videos/3033190620291553" TargetMode="External"/><Relationship Id="rId160" Type="http://schemas.openxmlformats.org/officeDocument/2006/relationships/hyperlink" Target="https://www.tiktok.com/@yody_vn/video/6984268226435779841?lang=vi-VN&amp;is_copy_url=1&amp;is_from_webapp=v1" TargetMode="External"/><Relationship Id="rId281" Type="http://schemas.openxmlformats.org/officeDocument/2006/relationships/hyperlink" Target="https://www.facebook.com/tuongvi69/videos/905967009996156" TargetMode="External"/><Relationship Id="rId280" Type="http://schemas.openxmlformats.org/officeDocument/2006/relationships/hyperlink" Target="https://www.youtube.com/watch?v=Y5rvBFN-2Uo" TargetMode="External"/><Relationship Id="rId159" Type="http://schemas.openxmlformats.org/officeDocument/2006/relationships/hyperlink" Target="https://www.tiktok.com/@yody_vn/video/6984026159004667163?lang=vi-VN&amp;is_copy_url=1&amp;is_from_webapp=v1" TargetMode="External"/><Relationship Id="rId154" Type="http://schemas.openxmlformats.org/officeDocument/2006/relationships/hyperlink" Target="https://www.tiktok.com/@kmquyen2002/video/6988808733971270939?" TargetMode="External"/><Relationship Id="rId275" Type="http://schemas.openxmlformats.org/officeDocument/2006/relationships/hyperlink" Target="https://www.tiktok.com/@yona.224/video/6996140121351294235?" TargetMode="External"/><Relationship Id="rId396" Type="http://schemas.openxmlformats.org/officeDocument/2006/relationships/hyperlink" Target="https://www.tiktok.com/@jackmafia/video/6990193271825829147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3" Type="http://schemas.openxmlformats.org/officeDocument/2006/relationships/hyperlink" Target="https://www.tiktok.com/@huongmin_/video/6989558933924908314?" TargetMode="External"/><Relationship Id="rId274" Type="http://schemas.openxmlformats.org/officeDocument/2006/relationships/hyperlink" Target="https://www.tiktok.com/@yona.224/video/6994010516196838683?" TargetMode="External"/><Relationship Id="rId395" Type="http://schemas.openxmlformats.org/officeDocument/2006/relationships/hyperlink" Target="https://www.tiktok.com/@jackmafia/video/6989545481214938395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2" Type="http://schemas.openxmlformats.org/officeDocument/2006/relationships/hyperlink" Target="https://www.tiktok.com/@huongmin_/video/6989192981291011355?" TargetMode="External"/><Relationship Id="rId273" Type="http://schemas.openxmlformats.org/officeDocument/2006/relationships/hyperlink" Target="https://www.tiktok.com/@yona.224/video/6991786537444805914?" TargetMode="External"/><Relationship Id="rId394" Type="http://schemas.openxmlformats.org/officeDocument/2006/relationships/hyperlink" Target="https://www.tiktok.com/@jackmafia/video/6989131054196002074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1" Type="http://schemas.openxmlformats.org/officeDocument/2006/relationships/hyperlink" Target="https://www.tiktok.com/@huongmin_/video/6988709465444912410?" TargetMode="External"/><Relationship Id="rId272" Type="http://schemas.openxmlformats.org/officeDocument/2006/relationships/hyperlink" Target="https://www.tiktok.com/@yona.224/video/6991414838811544859?" TargetMode="External"/><Relationship Id="rId393" Type="http://schemas.openxmlformats.org/officeDocument/2006/relationships/hyperlink" Target="https://www.tiktok.com/@phaminhiu/video/6996182943286807834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8" Type="http://schemas.openxmlformats.org/officeDocument/2006/relationships/hyperlink" Target="https://www.tiktok.com/@vuhphuong/video/6989596182729313563?" TargetMode="External"/><Relationship Id="rId279" Type="http://schemas.openxmlformats.org/officeDocument/2006/relationships/hyperlink" Target="https://www.youtube.com/watch?v=JOK8F_u5cFo&amp;t=16s" TargetMode="External"/><Relationship Id="rId157" Type="http://schemas.openxmlformats.org/officeDocument/2006/relationships/hyperlink" Target="https://www.tiktok.com/@vuhphuong/video/6989109459876334875?" TargetMode="External"/><Relationship Id="rId278" Type="http://schemas.openxmlformats.org/officeDocument/2006/relationships/hyperlink" Target="https://www.youtube.com/watch?v=C_OFt2C3irc&amp;t=36s" TargetMode="External"/><Relationship Id="rId399" Type="http://schemas.openxmlformats.org/officeDocument/2006/relationships/hyperlink" Target="https://www.tiktok.com/@diemho2001/video/698919388105308905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6" Type="http://schemas.openxmlformats.org/officeDocument/2006/relationships/hyperlink" Target="https://www.tiktok.com/@vuhphuong/video/6988861339540229403?" TargetMode="External"/><Relationship Id="rId277" Type="http://schemas.openxmlformats.org/officeDocument/2006/relationships/hyperlink" Target="https://www.tiktok.com/@hoaa.hanassii/video/6997354210878704922?" TargetMode="External"/><Relationship Id="rId398" Type="http://schemas.openxmlformats.org/officeDocument/2006/relationships/hyperlink" Target="https://www.tiktok.com/@kimoanh1428/video/6992918738517495067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3582057944237570" TargetMode="External"/><Relationship Id="rId155" Type="http://schemas.openxmlformats.org/officeDocument/2006/relationships/hyperlink" Target="https://www.tiktok.com/@kmquyen2002/video/6989196337422028059?" TargetMode="External"/><Relationship Id="rId276" Type="http://schemas.openxmlformats.org/officeDocument/2006/relationships/hyperlink" Target="https://www.tiktok.com/@hoaa.hanassii/video/6997245756352646426?" TargetMode="External"/><Relationship Id="rId397" Type="http://schemas.openxmlformats.org/officeDocument/2006/relationships/hyperlink" Target="https://www.tiktok.com/@kimoanh1428/video/6992793522759863579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3582057944237570" TargetMode="External"/><Relationship Id="rId40" Type="http://schemas.openxmlformats.org/officeDocument/2006/relationships/hyperlink" Target="https://www.tiktok.com/@moe1m77/video/6986165765447666971?" TargetMode="External"/><Relationship Id="rId42" Type="http://schemas.openxmlformats.org/officeDocument/2006/relationships/hyperlink" Target="https://www.tiktok.com/@hth.1909/video/6987213734360010011?l=&amp;is_copy_url=0&amp;is_from_webapp=v1&amp;sender_device=pc&amp;sender_web_id=6908929983101486593" TargetMode="External"/><Relationship Id="rId41" Type="http://schemas.openxmlformats.org/officeDocument/2006/relationships/hyperlink" Target="https://www.tiktok.com/@phandactoan/video/6989231727549992219?" TargetMode="External"/><Relationship Id="rId44" Type="http://schemas.openxmlformats.org/officeDocument/2006/relationships/hyperlink" Target="https://www.tiktok.com/@phun.anh/video/6985747312458976538?lang=vi-VN&amp;is_copy_url=0&amp;is_from_webapp=v1&amp;sender_device=pc&amp;sender_web_id=6908929983101486593" TargetMode="External"/><Relationship Id="rId43" Type="http://schemas.openxmlformats.org/officeDocument/2006/relationships/hyperlink" Target="https://www.tiktok.com/@hth.1909/video/6987359551163010331?l=&amp;is_copy_url=0&amp;is_from_webapp=v1&amp;sender_device=pc&amp;sender_web_id=6908929983101486593" TargetMode="External"/><Relationship Id="rId46" Type="http://schemas.openxmlformats.org/officeDocument/2006/relationships/hyperlink" Target="https://www.tiktok.com/@phun.anh/video/6987974852133113115?lang=vi-VN&amp;is_copy_url=0&amp;is_from_webapp=v1&amp;sender_device=pc&amp;sender_web_id=6908929983101486593" TargetMode="External"/><Relationship Id="rId45" Type="http://schemas.openxmlformats.org/officeDocument/2006/relationships/hyperlink" Target="https://www.tiktok.com/@phun.anh/video/6987227337142193435?lang=vi-VN&amp;is_copy_url=0&amp;is_from_webapp=v1&amp;sender_device=pc&amp;sender_web_id=6908929983101486593" TargetMode="External"/><Relationship Id="rId48" Type="http://schemas.openxmlformats.org/officeDocument/2006/relationships/hyperlink" Target="https://www.tiktok.com/@sunflizme/video/6986526055104400667?" TargetMode="External"/><Relationship Id="rId47" Type="http://schemas.openxmlformats.org/officeDocument/2006/relationships/hyperlink" Target="https://www.tiktok.com/@sunflizme/video/6985376475360906522?" TargetMode="External"/><Relationship Id="rId49" Type="http://schemas.openxmlformats.org/officeDocument/2006/relationships/hyperlink" Target="https://www.tiktok.com/@sunflizme/video/6986652181176831259?" TargetMode="External"/><Relationship Id="rId31" Type="http://schemas.openxmlformats.org/officeDocument/2006/relationships/hyperlink" Target="https://www.tiktok.com/@anhthuyet/video/6986964324917021979?lang=vi-VN&amp;is_copy_url=0&amp;is_from_webapp=v1&amp;sender_device=pc&amp;sender_web_id=6908929983101486593" TargetMode="External"/><Relationship Id="rId30" Type="http://schemas.openxmlformats.org/officeDocument/2006/relationships/hyperlink" Target="https://www.tiktok.com/@anhthuyet/video/6986225716740377882?lang=vi-VN&amp;is_copy_url=0&amp;is_from_webapp=v1&amp;sender_device=pc&amp;sender_web_id=6908929983101486593" TargetMode="External"/><Relationship Id="rId33" Type="http://schemas.openxmlformats.org/officeDocument/2006/relationships/hyperlink" Target="https://www.tiktok.com/@anhthuyet/video/6987708099490614555?lang=vi-VN&amp;is_copy_url=0&amp;is_from_webapp=v1&amp;sender_device=pc&amp;sender_web_id=6908929983101486593" TargetMode="External"/><Relationship Id="rId32" Type="http://schemas.openxmlformats.org/officeDocument/2006/relationships/hyperlink" Target="https://www.tiktok.com/@anhthuyet/video/6987343268275047707?lang=vi-VN&amp;is_copy_url=0&amp;is_from_webapp=v1&amp;sender_device=pc&amp;sender_web_id=6908929983101486593" TargetMode="External"/><Relationship Id="rId35" Type="http://schemas.openxmlformats.org/officeDocument/2006/relationships/hyperlink" Target="https://www.tiktok.com/@minhthanglv/video/6988824990095363355?" TargetMode="External"/><Relationship Id="rId34" Type="http://schemas.openxmlformats.org/officeDocument/2006/relationships/hyperlink" Target="https://www.tiktok.com/@anhthuyet/video/6983641021737389338?lang=vi-VN&amp;is_copy_url=0&amp;is_from_webapp=v1&amp;sender_device=pc&amp;sender_web_id=6908929983101486593" TargetMode="External"/><Relationship Id="rId37" Type="http://schemas.openxmlformats.org/officeDocument/2006/relationships/hyperlink" Target="https://www.tiktok.com/@thokiwi98/video/6985885789154561307?" TargetMode="External"/><Relationship Id="rId36" Type="http://schemas.openxmlformats.org/officeDocument/2006/relationships/hyperlink" Target="https://www.tiktok.com/@thokiwi98/video/6985501855975542042?" TargetMode="External"/><Relationship Id="rId39" Type="http://schemas.openxmlformats.org/officeDocument/2006/relationships/hyperlink" Target="https://www.tiktok.com/@thokiwi98/video/6987749455248313626?is_copy_url=0&amp;is_from_webapp=v1&amp;sender_device=pc&amp;sender_web_id=6908929983101486593" TargetMode="External"/><Relationship Id="rId38" Type="http://schemas.openxmlformats.org/officeDocument/2006/relationships/hyperlink" Target="https://www.tiktok.com/@thokiwi98/video/6986996760472325403?" TargetMode="External"/><Relationship Id="rId20" Type="http://schemas.openxmlformats.org/officeDocument/2006/relationships/hyperlink" Target="https://www.tiktok.com/@cu_bo32/video/6987339407518960922?lang=vi-VN&amp;is_copy_url=0&amp;is_from_webapp=v1&amp;sender_device=pc&amp;sender_web_id=6908929983101486593" TargetMode="External"/><Relationship Id="rId22" Type="http://schemas.openxmlformats.org/officeDocument/2006/relationships/hyperlink" Target="https://www.tiktok.com/@cu_bo32/video/6988713594175130907?lang=vi-VN&amp;is_copy_url=0&amp;is_from_webapp=v1&amp;sender_device=pc&amp;sender_web_id=6908929983101486593" TargetMode="External"/><Relationship Id="rId21" Type="http://schemas.openxmlformats.org/officeDocument/2006/relationships/hyperlink" Target="https://www.tiktok.com/@cu_bo32/video/6987989671120768283?lang=vi-VN&amp;is_copy_url=0&amp;is_from_webapp=v1&amp;sender_device=pc&amp;sender_web_id=6908929983101486593" TargetMode="External"/><Relationship Id="rId24" Type="http://schemas.openxmlformats.org/officeDocument/2006/relationships/hyperlink" Target="https://www.tiktok.com/@mai_xuan_son/video/6985395217721675035?lang=vi-VN&amp;is_copy_url=0&amp;is_from_webapp=v1&amp;sender_device=pc&amp;sender_web_id=6908929983101486593" TargetMode="External"/><Relationship Id="rId23" Type="http://schemas.openxmlformats.org/officeDocument/2006/relationships/hyperlink" Target="https://www.tiktok.com/@mai_xuan_son/video/6984757361055468826?lang=vi-VN&amp;is_copy_url=0&amp;is_from_webapp=v1&amp;sender_device=pc&amp;sender_web_id=6908929983101486593" TargetMode="External"/><Relationship Id="rId409" Type="http://schemas.openxmlformats.org/officeDocument/2006/relationships/hyperlink" Target="https://www.tiktok.com/@trangrung08/video/699280532644154908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4" Type="http://schemas.openxmlformats.org/officeDocument/2006/relationships/hyperlink" Target="https://www.tiktok.com/@ducvamy/video/6989506810268880154?lang=vi-VN&amp;is_copy_url=0&amp;is_from_webapp=v1&amp;sender_device=pc&amp;sender_web_id=6983582057944237570" TargetMode="External"/><Relationship Id="rId403" Type="http://schemas.openxmlformats.org/officeDocument/2006/relationships/hyperlink" Target="https://www.tiktok.com/@ducvamy/video/6988842287035927834?lang=vi-VN&amp;is_copy_url=0&amp;is_from_webapp=v1&amp;sender_device=pc&amp;sender_web_id=6983582057944237570" TargetMode="External"/><Relationship Id="rId402" Type="http://schemas.openxmlformats.org/officeDocument/2006/relationships/hyperlink" Target="https://www.tiktok.com/@diemho2001/video/698945546856957877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1" Type="http://schemas.openxmlformats.org/officeDocument/2006/relationships/hyperlink" Target="https://www.tiktok.com/@diemho2001/video/698927066007370473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8" Type="http://schemas.openxmlformats.org/officeDocument/2006/relationships/hyperlink" Target="https://www.tiktok.com/@trangrung08/video/699088397740187983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7" Type="http://schemas.openxmlformats.org/officeDocument/2006/relationships/hyperlink" Target="https://www.tiktok.com/@trangrung08/video/698910389128347983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6" Type="http://schemas.openxmlformats.org/officeDocument/2006/relationships/hyperlink" Target="https://www.tiktok.com/@ducvamy/video/6995087151092321563?lang=vi-VN&amp;is_copy_url=0&amp;is_from_webapp=v1&amp;sender_device=pc&amp;sender_web_id=6983582057944237570" TargetMode="External"/><Relationship Id="rId405" Type="http://schemas.openxmlformats.org/officeDocument/2006/relationships/hyperlink" Target="https://www.tiktok.com/@ducvamy/video/6990257045626703130?lang=vi-VN&amp;is_copy_url=0&amp;is_from_webapp=v1&amp;sender_device=pc&amp;sender_web_id=6983582057944237570" TargetMode="External"/><Relationship Id="rId26" Type="http://schemas.openxmlformats.org/officeDocument/2006/relationships/hyperlink" Target="https://www.tiktok.com/@baongoc.1906/video/6984347866856770842?" TargetMode="External"/><Relationship Id="rId25" Type="http://schemas.openxmlformats.org/officeDocument/2006/relationships/hyperlink" Target="https://www.tiktok.com/@mai_xuan_son/video/6985877587641896219?lang=vi-VN&amp;is_copy_url=0&amp;is_from_webapp=v1&amp;sender_device=pc&amp;sender_web_id=6908929983101486593" TargetMode="External"/><Relationship Id="rId28" Type="http://schemas.openxmlformats.org/officeDocument/2006/relationships/hyperlink" Target="https://www.tiktok.com/@anhthuyet/video/6984370824404897051?lang=vi-VN&amp;is_copy_url=0&amp;is_from_webapp=v1&amp;sender_device=pc&amp;sender_web_id=6908929983101486593" TargetMode="External"/><Relationship Id="rId27" Type="http://schemas.openxmlformats.org/officeDocument/2006/relationships/hyperlink" Target="https://www.tiktok.com/@baongoc.1906/video/6985915344045083931?" TargetMode="External"/><Relationship Id="rId400" Type="http://schemas.openxmlformats.org/officeDocument/2006/relationships/hyperlink" Target="https://www.tiktok.com/@diemho2001/video/698923148247263157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9" Type="http://schemas.openxmlformats.org/officeDocument/2006/relationships/hyperlink" Target="https://www.tiktok.com/@anhthuyet/video/6985504403096718619?lang=vi-VN&amp;is_copy_url=0&amp;is_from_webapp=v1&amp;sender_device=pc&amp;sender_web_id=6908929983101486593" TargetMode="External"/><Relationship Id="rId11" Type="http://schemas.openxmlformats.org/officeDocument/2006/relationships/hyperlink" Target="https://www.tiktok.com/@thianguyen2001/video/6987770920102300954?fbclid=IwAR2K88TH_6Pxwa31Ff96qvddJoh9dCU0fDhOpZGRrmFbW6yhW__kQWi3yLo&amp;is_copy_url=0&amp;is_from_webapp=v1&amp;sender_device=pc&amp;sender_web_id=6908929983101486593" TargetMode="External"/><Relationship Id="rId10" Type="http://schemas.openxmlformats.org/officeDocument/2006/relationships/hyperlink" Target="https://www.tiktok.com/@thianguyen2001/video/6985927736422370586?" TargetMode="External"/><Relationship Id="rId13" Type="http://schemas.openxmlformats.org/officeDocument/2006/relationships/hyperlink" Target="https://www.tiktok.com/@soojin51296/video/6988474391059369243?is_copy_url=0&amp;is_from_webapp=v1&amp;sender_device=pc&amp;sender_web_id=6908929983101486593" TargetMode="External"/><Relationship Id="rId12" Type="http://schemas.openxmlformats.org/officeDocument/2006/relationships/hyperlink" Target="https://www.tiktok.com/@qh.bland/video/6987723855364115739?" TargetMode="External"/><Relationship Id="rId15" Type="http://schemas.openxmlformats.org/officeDocument/2006/relationships/hyperlink" Target="https://www.tiktok.com/@cu_bo32/video/6984622779647708442?lang=vi-VN&amp;is_copy_url=0&amp;is_from_webapp=v1&amp;sender_device=pc&amp;sender_web_id=6908929983101486593" TargetMode="External"/><Relationship Id="rId14" Type="http://schemas.openxmlformats.org/officeDocument/2006/relationships/hyperlink" Target="https://www.tiktok.com/@cu_bo32/video/6984019010870463771?lang=vi-VN&amp;is_copy_url=0&amp;is_from_webapp=v1&amp;sender_device=pc&amp;sender_web_id=6908929983101486593" TargetMode="External"/><Relationship Id="rId17" Type="http://schemas.openxmlformats.org/officeDocument/2006/relationships/hyperlink" Target="https://www.tiktok.com/@cu_bo32/video/6985710987580017947?lang=vi-VN&amp;is_copy_url=0&amp;is_from_webapp=v1&amp;sender_device=pc&amp;sender_web_id=6908929983101486593" TargetMode="External"/><Relationship Id="rId16" Type="http://schemas.openxmlformats.org/officeDocument/2006/relationships/hyperlink" Target="https://www.tiktok.com/@cu_bo32/video/6984960307118574874?lang=vi-VN&amp;is_copy_url=0&amp;is_from_webapp=v1&amp;sender_device=pc&amp;sender_web_id=6908929983101486593" TargetMode="External"/><Relationship Id="rId19" Type="http://schemas.openxmlformats.org/officeDocument/2006/relationships/hyperlink" Target="https://www.tiktok.com/@cu_bo32/video/6986485072950005019?lang=vi-VN&amp;is_copy_url=0&amp;is_from_webapp=v1&amp;sender_device=pc&amp;sender_web_id=6908929983101486593" TargetMode="External"/><Relationship Id="rId18" Type="http://schemas.openxmlformats.org/officeDocument/2006/relationships/hyperlink" Target="https://www.tiktok.com/@cu_bo32/video/6986086729610480923?lang=vi-VN&amp;is_copy_url=0&amp;is_from_webapp=v1&amp;sender_device=pc&amp;sender_web_id=6908929983101486593" TargetMode="External"/><Relationship Id="rId84" Type="http://schemas.openxmlformats.org/officeDocument/2006/relationships/hyperlink" Target="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" TargetMode="External"/><Relationship Id="rId83" Type="http://schemas.openxmlformats.org/officeDocument/2006/relationships/hyperlink" Target="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86" Type="http://schemas.openxmlformats.org/officeDocument/2006/relationships/hyperlink" Target="https://www.tiktok.com/@diemho2001/video/6986142575874936090?lang=vi-VN&amp;is_copy_url=0&amp;is_from_webapp=v1&amp;sender_device=pc&amp;sender_web_id=6982736742253446658" TargetMode="External"/><Relationship Id="rId85" Type="http://schemas.openxmlformats.org/officeDocument/2006/relationships/hyperlink" Target="https://www.tiktok.com/@diemho2001/video/6985854256574172442?lang=vi-VN&amp;is_copy_url=0&amp;is_from_webapp=v1&amp;sender_device=pc&amp;sender_web_id=6982736742253446658" TargetMode="External"/><Relationship Id="rId88" Type="http://schemas.openxmlformats.org/officeDocument/2006/relationships/hyperlink" Target="https://www.tiktok.com/@diemho2001/video/698735259099670453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87" Type="http://schemas.openxmlformats.org/officeDocument/2006/relationships/hyperlink" Target="https://www.tiktok.com/@diemho2001/video/6986865973164887322?_d=secCgYIASAHKAESMgow9NJnTsj1sFLfv%2FND6tGFyVWNU4sRS1Ysgw6zbbs3%2FXQSp6nfjHKXZSear2%2BG7DQwGgA%3D&amp;checksum=fcd66aaad65073745e8bdc650f9b4df225dd157fc0b66091eea02573d7baf656&amp;language=vi&amp;mid=0&amp;preview_pb=0&amp;region=VN&amp;sec_user_id=MS4wLjABAAAAeUyqxr1lLghoR-BN_0fHPOJw_sBypPJQgRk-u3fD-jNvyGN7SgpJV_fqPKMSG6Nl&amp;share_app_id=1180&amp;share_item_id=6986865973164887322&amp;share_link_id=30E35354-5834-4BBE-815B-D9FD54DC332B&amp;source=h5_t&amp;timestamp=1626756519&amp;tt_from=copy&amp;u_code=dhj3d9i31j850i&amp;user_id=6943273166978712578&amp;utm_campaign=client_share&amp;utm_medium=ios&amp;utm_source=copy&amp;_r=1&amp;is_copy_url=0&amp;is_from_webapp=v1&amp;sender_device=pc&amp;sender_web_id=6983582057944237570" TargetMode="External"/><Relationship Id="rId89" Type="http://schemas.openxmlformats.org/officeDocument/2006/relationships/hyperlink" Target="https://www.tiktok.com/@diemho2001/video/6987380795577077019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80" Type="http://schemas.openxmlformats.org/officeDocument/2006/relationships/hyperlink" Target="https://www.facebook.com/thanh.duong.5220/videos/133547462228191" TargetMode="External"/><Relationship Id="rId82" Type="http://schemas.openxmlformats.org/officeDocument/2006/relationships/hyperlink" Target="https://www.facebook.com/sakura.ha.vt/posts/3002325446670099" TargetMode="External"/><Relationship Id="rId81" Type="http://schemas.openxmlformats.org/officeDocument/2006/relationships/hyperlink" Target="https://www.facebook.com/100004254121912/posts/2036618319823286/?d=n" TargetMode="External"/><Relationship Id="rId73" Type="http://schemas.openxmlformats.org/officeDocument/2006/relationships/hyperlink" Target="https://www.facebook.com/nganthithuhien/videos/4171727379561493" TargetMode="External"/><Relationship Id="rId72" Type="http://schemas.openxmlformats.org/officeDocument/2006/relationships/hyperlink" Target="https://www.tiktok.com/@h21052001/video/6986880680403684635?is_copy_url=0&amp;is_from_webapp=v1&amp;sender_device=pc&amp;sender_web_id=6908929983101486593" TargetMode="External"/><Relationship Id="rId75" Type="http://schemas.openxmlformats.org/officeDocument/2006/relationships/hyperlink" Target="https://www.facebook.com/100005610043014/posts/1636713313192321/?d=n" TargetMode="External"/><Relationship Id="rId74" Type="http://schemas.openxmlformats.org/officeDocument/2006/relationships/hyperlink" Target="https://www.facebook.com/Changchi.1604/videos/165010988924001" TargetMode="External"/><Relationship Id="rId77" Type="http://schemas.openxmlformats.org/officeDocument/2006/relationships/hyperlink" Target="https://www.facebook.com/luong.huyenkha/posts/994937047936105" TargetMode="External"/><Relationship Id="rId76" Type="http://schemas.openxmlformats.org/officeDocument/2006/relationships/hyperlink" Target="https://www.tiktok.com/@buingocphuongtrang/video/6986635841242156314" TargetMode="External"/><Relationship Id="rId79" Type="http://schemas.openxmlformats.org/officeDocument/2006/relationships/hyperlink" Target="https://www.tiktok.com/@hi.am.gnud/video/6986862109560704282?_d=secCgYIASAHKAESMgowuBOu3szKhA24dO1NXtYdbrPJT7IV%2FrIhboyI%2Bsm0%2FAYEgmURtjuViMehV6HXn3sjGgA%3D&amp;checksum=ba2a048923190e3f6539c2f9fc368408d9ccf34fa93febca981642cd85ed4a79&amp;language=vi&amp;mid=6986862110814833434&amp;preview_pb=0&amp;region=VN&amp;sec_user_id=MS4wLjABAAAA3kDh-oQAIKV8ovEghqzUXXiG-OTJE7C7dqbXJMWT-mviRv0PPlYsBTmfCzdsUaRs&amp;share_app_id=1180&amp;share_item_id=6986862109560704282&amp;share_link_id=70E9CCD7-FFAD-474C-B282-0216F172C7C7&amp;source=h5_t&amp;timestamp=1626759114&amp;tt_from=copy&amp;u_code=d6i1fjfa18g5b1&amp;user_id=6701181011680117761&amp;utm_campaign=client_share&amp;utm_medium=ios&amp;utm_source=copy&amp;_r=1" TargetMode="External"/><Relationship Id="rId78" Type="http://schemas.openxmlformats.org/officeDocument/2006/relationships/hyperlink" Target="https://www.facebook.com/binhan.072020/videos/528807201570435" TargetMode="External"/><Relationship Id="rId71" Type="http://schemas.openxmlformats.org/officeDocument/2006/relationships/hyperlink" Target="https://www.tiktok.com/@thinhnguyenart_official/video/6987658404219161882?is_copy_url=0&amp;is_from_webapp=v1&amp;sender_device=pc&amp;sender_web_id=6908929983101486593" TargetMode="External"/><Relationship Id="rId70" Type="http://schemas.openxmlformats.org/officeDocument/2006/relationships/hyperlink" Target="https://www.tiktok.com/@thinhnguyenart_official/video/6986805848148364570?is_copy_url=0&amp;is_from_webapp=v1&amp;sender_device=pc&amp;sender_web_id=6908929983101486593" TargetMode="External"/><Relationship Id="rId62" Type="http://schemas.openxmlformats.org/officeDocument/2006/relationships/hyperlink" Target="https://www.facebook.com/thaonhi.lam.16121/videos/495856034847593" TargetMode="External"/><Relationship Id="rId61" Type="http://schemas.openxmlformats.org/officeDocument/2006/relationships/hyperlink" Target="https://www.facebook.com/100034376687766/videos/1011431982958642" TargetMode="External"/><Relationship Id="rId64" Type="http://schemas.openxmlformats.org/officeDocument/2006/relationships/hyperlink" Target="https://www.facebook.com/100028527371304/videos/557859528559826" TargetMode="External"/><Relationship Id="rId63" Type="http://schemas.openxmlformats.org/officeDocument/2006/relationships/hyperlink" Target="https://www.tiktok.com/@nhinguyenn84/video/6988885802331819291?is_copy_url=0&amp;is_from_webapp=v1&amp;sender_device=pc&amp;sender_web_id=6908929983101486593" TargetMode="External"/><Relationship Id="rId66" Type="http://schemas.openxmlformats.org/officeDocument/2006/relationships/hyperlink" Target="https://www.tiktok.com/@bedangbae/video/6988479754257173787?is_copy_url=0&amp;is_from_webapp=v1&amp;sender_device=pc&amp;sender_web_id=6908929983101486593" TargetMode="External"/><Relationship Id="rId65" Type="http://schemas.openxmlformats.org/officeDocument/2006/relationships/hyperlink" Target="https://www.tiktok.com/@bedangbae/video/6984029292141350170?is_copy_url=0&amp;is_from_webapp=v1&amp;sender_device=pc&amp;sender_web_id=6908929983101486593" TargetMode="External"/><Relationship Id="rId68" Type="http://schemas.openxmlformats.org/officeDocument/2006/relationships/hyperlink" Target="https://www.tiktok.com/@toanprdsofficial/video/6987722032494546202?is_copy_url=0&amp;is_from_webapp=v1&amp;sender_device=pc&amp;sender_web_id=6908929983101486593" TargetMode="External"/><Relationship Id="rId67" Type="http://schemas.openxmlformats.org/officeDocument/2006/relationships/hyperlink" Target="https://www.tiktok.com/@bedangbae/video/6988850866996464922?is_copy_url=0&amp;is_from_webapp=v1&amp;sender_device=pc&amp;sender_web_id=6908929983101486593" TargetMode="External"/><Relationship Id="rId60" Type="http://schemas.openxmlformats.org/officeDocument/2006/relationships/hyperlink" Target="https://www.tiktok.com/@moclan24/video/6985398456982490394?is_copy_url=0&amp;is_from_webapp=v1&amp;sender_device=pc&amp;sender_web_id=6908929983101486593" TargetMode="External"/><Relationship Id="rId69" Type="http://schemas.openxmlformats.org/officeDocument/2006/relationships/hyperlink" Target="https://www.instagram.com/reel/CRoQb_QDvXz/" TargetMode="External"/><Relationship Id="rId51" Type="http://schemas.openxmlformats.org/officeDocument/2006/relationships/hyperlink" Target="https://www.tiktok.com/@behyblack/video/6985394076241661210?is_copy_url=0&amp;is_from_webapp=v1&amp;sender_device=pc&amp;sender_web_id=6908929983101486593" TargetMode="External"/><Relationship Id="rId50" Type="http://schemas.openxmlformats.org/officeDocument/2006/relationships/hyperlink" Target="https://www.tiktok.com/@mango011101/video/6988452233641872666?is_copy_url=0&amp;is_from_webapp=v1&amp;sender_device=pc&amp;sender_web_id=6908929983101486593" TargetMode="External"/><Relationship Id="rId53" Type="http://schemas.openxmlformats.org/officeDocument/2006/relationships/hyperlink" Target="https://www.tiktok.com/@hoduyphuong/video/6987601217287507227?_=&amp;is_copy_url=0&amp;is_from_webapp=v1&amp;sender_device=pc&amp;sender_web_id=6908929983101486593" TargetMode="External"/><Relationship Id="rId52" Type="http://schemas.openxmlformats.org/officeDocument/2006/relationships/hyperlink" Target="https://www.tiktok.com/@hoduyphuong/video/6986852837477109018?_=&amp;is_copy_url=0&amp;is_from_webapp=v1&amp;sender_device=pc&amp;sender_web_id=6908929983101486593" TargetMode="External"/><Relationship Id="rId55" Type="http://schemas.openxmlformats.org/officeDocument/2006/relationships/hyperlink" Target="https://www.instagram.com/p/CRqeQUYHT4r/?utm_medium=copy_link" TargetMode="External"/><Relationship Id="rId54" Type="http://schemas.openxmlformats.org/officeDocument/2006/relationships/hyperlink" Target="https://www.facebook.com/100004356046481/posts/1911476309007552/" TargetMode="External"/><Relationship Id="rId57" Type="http://schemas.openxmlformats.org/officeDocument/2006/relationships/hyperlink" Target="https://www.facebook.com/tienanh.vu.334/videos/358632378979133" TargetMode="External"/><Relationship Id="rId56" Type="http://schemas.openxmlformats.org/officeDocument/2006/relationships/hyperlink" Target="https://www.facebook.com/100006045494111/videos/781616739195419" TargetMode="External"/><Relationship Id="rId59" Type="http://schemas.openxmlformats.org/officeDocument/2006/relationships/hyperlink" Target="https://www.facebook.com/moclanla/videos/810057876567671" TargetMode="External"/><Relationship Id="rId58" Type="http://schemas.openxmlformats.org/officeDocument/2006/relationships/hyperlink" Target="https://www.tiktok.com/@hoanglong86a/video/6987977038158187802?is_copy_url=0&amp;is_from_webapp=v1&amp;sender_device=pc&amp;sender_web_id=6908929983101486593" TargetMode="External"/><Relationship Id="rId107" Type="http://schemas.openxmlformats.org/officeDocument/2006/relationships/hyperlink" Target="https://www.tiktok.com/@tolathule/video/6988004214760869146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8" Type="http://schemas.openxmlformats.org/officeDocument/2006/relationships/hyperlink" Target="https://www.tiktok.com/@thinhnguyenart_official/video/6995123863264824578?is_copy_url=0&amp;is_from_webapp=v1&amp;sender_device=pc&amp;sender_web_id=6908929983101486593" TargetMode="External"/><Relationship Id="rId349" Type="http://schemas.openxmlformats.org/officeDocument/2006/relationships/hyperlink" Target="https://www.tiktok.com/@huynh4nhh/video/6994261827660057882?" TargetMode="External"/><Relationship Id="rId106" Type="http://schemas.openxmlformats.org/officeDocument/2006/relationships/hyperlink" Target="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7" Type="http://schemas.openxmlformats.org/officeDocument/2006/relationships/hyperlink" Target="https://www.tiktok.com/@thinhnguyenart_official/video/6994398310421318914?is_copy_url=0&amp;is_from_webapp=v1&amp;sender_device=pc&amp;sender_web_id=6908929983101486593" TargetMode="External"/><Relationship Id="rId348" Type="http://schemas.openxmlformats.org/officeDocument/2006/relationships/hyperlink" Target="https://www.tiktok.com/@huynh4nhh/video/6993884571368574235?" TargetMode="External"/><Relationship Id="rId469" Type="http://schemas.openxmlformats.org/officeDocument/2006/relationships/hyperlink" Target="https://www.tiktok.com/@dinhlanphuongmethorua/video/6990714957226577178?_d=secCgYIASAHKAESMgowfO5gbAwhqoNq%2FPgehzzqa5feJA65OVxXVLJJYI%2F8AE8cf9y2%2B3nhPdQpYoritmDmGgA%3D&amp;language=vi&amp;preview_pb=0&amp;sec_user_id=MS4wLjABAAAArLBC2Plw0trRKoJd7BWSBwTKEcrusTey5lvl69K9N_ZVvpcpJEdRxjY1gCdzkBgc&amp;share_item_id=6990714957226577178&amp;share_link_id=A4F4F958-3D84-4BD4-8F80-7FA083269B96&amp;source=h5_m&amp;timestamp=1627652672&amp;tt_from=messenger&amp;u_code=djk25g44k3324a&amp;user_id=6987999890643289115&amp;utm_campaign=client_share&amp;utm_medium=ios&amp;utm_source=messenger&amp;_r=1&amp;fbclid=IwAR0u6JX8ikkhxtvSwpz3GksssqOxJBjcmzezz560RJR10i-rAm7G4t0jKUY&amp;is_copy_url=0&amp;is_from_webapp=v1&amp;sender_device=pc&amp;sender_web_id=6983582057944237570" TargetMode="External"/><Relationship Id="rId105" Type="http://schemas.openxmlformats.org/officeDocument/2006/relationships/hyperlink" Target="https://www.tiktok.com/@truongvihihi/video/698833826973378485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6" Type="http://schemas.openxmlformats.org/officeDocument/2006/relationships/hyperlink" Target="https://www.tiktok.com/@letrang_2k2/video/6995146019751136538?lang=vi-VN&amp;is_copy_url=0&amp;is_from_webapp=v1&amp;sender_device=pc&amp;sender_web_id=6908929983101486593" TargetMode="External"/><Relationship Id="rId347" Type="http://schemas.openxmlformats.org/officeDocument/2006/relationships/hyperlink" Target="https://www.tiktok.com/@huynh4nhh/video/6993275599431224603?" TargetMode="External"/><Relationship Id="rId468" Type="http://schemas.openxmlformats.org/officeDocument/2006/relationships/hyperlink" Target="https://www.facebook.com/phung.thanhxuan/videos/642663623375275" TargetMode="External"/><Relationship Id="rId104" Type="http://schemas.openxmlformats.org/officeDocument/2006/relationships/hyperlink" Target="https://www.tiktok.com/@truongvihihi/video/698796700757236457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5" Type="http://schemas.openxmlformats.org/officeDocument/2006/relationships/hyperlink" Target="https://www.tiktok.com/@sunflizme/video/6994069667283356955?_d=secCgYIASAHKAESMgowsrLIXTxOhAs0pNeHLVxYGD2%2FUhawI1d3LCexjk4W1KFtf7BVolJ93XOmoNNWGWImGgA%3D&amp;checksum=eecccc653761ee892f43f3ae2d48e32f370d0bc812eef5e6b5b0ace544483258&amp;language=vi&amp;mid=6985376460475206427&amp;preview_pb=0&amp;region=VN&amp;sec_user_id=MS4wLjABAAAA_7Qd1g5GTuF1Q376HGjNDL7HZIiPQniGA9zTAikABBmk5w4f9CyEPbxILEBKdMi-&amp;share_app_id=1180&amp;share_item_id=6985376475360906522&amp;share_link_id=802AC648-9E6E-4982-8CA3-0FF927A89A09&amp;source=h5_t&amp;timestamp=1626417283&amp;tt_from=copy&amp;u_code=d0f1b4hjljkh17&amp;user_id=6566826464812662785&amp;utm_campaign=client_share&amp;utm_medium=ios&amp;utm_source=copy&amp;_r=1&amp;is_copy_url=0&amp;is_from_webapp=v1&amp;sender_device=pc&amp;sender_web_id=6908929983101486593" TargetMode="External"/><Relationship Id="rId346" Type="http://schemas.openxmlformats.org/officeDocument/2006/relationships/hyperlink" Target="https://www.tiktok.com/@thuonghienn/video/6996620377145232666?" TargetMode="External"/><Relationship Id="rId467" Type="http://schemas.openxmlformats.org/officeDocument/2006/relationships/hyperlink" Target="https://www.facebook.com/phuongthanh.nguyen.906/videos/260431488968154" TargetMode="External"/><Relationship Id="rId109" Type="http://schemas.openxmlformats.org/officeDocument/2006/relationships/hyperlink" Target="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08" Type="http://schemas.openxmlformats.org/officeDocument/2006/relationships/hyperlink" Target="https://www.tiktok.com/@tolathule/video/698836598451187228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9" Type="http://schemas.openxmlformats.org/officeDocument/2006/relationships/hyperlink" Target="https://www.tiktok.com/@ngoafood_/video/6992931191955541274?" TargetMode="External"/><Relationship Id="rId220" Type="http://schemas.openxmlformats.org/officeDocument/2006/relationships/hyperlink" Target="https://www.tiktok.com/@chutieuhan10012001/video/6991051453611674907?is_copy_url=0&amp;is_from_webapp=v1&amp;sender_device=pc&amp;sender_web_id=6908929983101486593" TargetMode="External"/><Relationship Id="rId341" Type="http://schemas.openxmlformats.org/officeDocument/2006/relationships/hyperlink" Target="https://www.facebook.com/YonCuon/videos/293025969257634" TargetMode="External"/><Relationship Id="rId462" Type="http://schemas.openxmlformats.org/officeDocument/2006/relationships/hyperlink" Target="https://www.tiktok.com/@truong_qn/video/6990269678895516955?is_copy_url=0&amp;is_from_webapp=v1&amp;sender_device=pc&amp;sender_web_id=6983582057944237570" TargetMode="External"/><Relationship Id="rId340" Type="http://schemas.openxmlformats.org/officeDocument/2006/relationships/hyperlink" Target="https://www.facebook.com/YonCuon/videos/1238475999948922" TargetMode="External"/><Relationship Id="rId461" Type="http://schemas.openxmlformats.org/officeDocument/2006/relationships/hyperlink" Target="https://www.tiktok.com/@truong_qn/video/6989472522370682139?is_copy_url=0&amp;is_from_webapp=v1&amp;sender_device=pc&amp;sender_web_id=6983582057944237570" TargetMode="External"/><Relationship Id="rId460" Type="http://schemas.openxmlformats.org/officeDocument/2006/relationships/hyperlink" Target="https://www.tiktok.com/@truong_qn/video/6989151063471410459?_d=secCgYIASAHKAESMgowLmkz2ExDeXgIan7x9mIDHD42x50hbwkhN6YhbJMydsVrPR6q1fBpzh6vkDM0TKIVGgA%3D&amp;checksum=33ed7467324e4cdbf4534f452319febb41f460733250324d052d4f437f6462cc&amp;language=vi&amp;mid=6989151045662411546&amp;preview_pb=0&amp;region=VN&amp;sec_user_id=MS4wLjABAAAAmB3MYYXyfQYprgA8aA5T77tiKXFhU1vrXaG1Da2OPuU1bqLlT4eYYH1xLEp_8BqU&amp;share_app_id=1180&amp;share_item_id=6989151063471410459&amp;share_link_id=cb53a587-f431-4e37-bee0-930c25b028f4&amp;source=h5_t&amp;timestamp=1627289026&amp;u_code=cldl5l4c115fbi&amp;user_id=6521910605594918914&amp;utm_campaign=client_share&amp;utm_medium=android&amp;utm_source=copy&amp;_r=1&amp;is_copy_url=0&amp;is_from_webapp=v1&amp;sender_device=pc&amp;sender_web_id=6983582057944237570" TargetMode="External"/><Relationship Id="rId103" Type="http://schemas.openxmlformats.org/officeDocument/2006/relationships/hyperlink" Target="https://www.tiktok.com/@truongvihihi/video/698760243202923241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4" Type="http://schemas.openxmlformats.org/officeDocument/2006/relationships/hyperlink" Target="https://www.youtube.com/watch?v=A8wUVr6AGrI&amp;t=439s" TargetMode="External"/><Relationship Id="rId345" Type="http://schemas.openxmlformats.org/officeDocument/2006/relationships/hyperlink" Target="https://www.facebook.com/nmtvlog99/videos/334196018448843" TargetMode="External"/><Relationship Id="rId466" Type="http://schemas.openxmlformats.org/officeDocument/2006/relationships/hyperlink" Target="https://www.tiktok.com/@truong_qn/video/6995485588703022362?is_copy_url=0&amp;is_from_webapp=v1&amp;sender_device=pc&amp;sender_web_id=6983582057944237570" TargetMode="External"/><Relationship Id="rId102" Type="http://schemas.openxmlformats.org/officeDocument/2006/relationships/hyperlink" Target="https://www.tiktok.com/@truongvihihi/video/6986965369126800666?lang=vi-VN&amp;is_copy_url=0&amp;is_from_webapp=v1&amp;sender_device=pc&amp;sender_web_id=6983582057944237570" TargetMode="External"/><Relationship Id="rId223" Type="http://schemas.openxmlformats.org/officeDocument/2006/relationships/hyperlink" Target="https://www.tiktok.com/@cuonghancouple/video/6993927255118384410?is_copy_url=0&amp;is_from_webapp=v1&amp;sender_device=pc&amp;sender_web_id=6908929983101486593" TargetMode="External"/><Relationship Id="rId344" Type="http://schemas.openxmlformats.org/officeDocument/2006/relationships/hyperlink" Target="https://www.facebook.com/nmtvlog99/videos/2800359736933697" TargetMode="External"/><Relationship Id="rId465" Type="http://schemas.openxmlformats.org/officeDocument/2006/relationships/hyperlink" Target="https://www.tiktok.com/@truong_qn/video/6994386467934063898?is_copy_url=0&amp;is_from_webapp=v1&amp;sender_device=pc&amp;sender_web_id=6983582057944237570" TargetMode="External"/><Relationship Id="rId101" Type="http://schemas.openxmlformats.org/officeDocument/2006/relationships/hyperlink" Target="https://www.tiktok.com/@truongvihihi/video/6986581662444424475?lang=vi-VN&amp;is_copy_url=0&amp;is_from_webapp=v1&amp;sender_device=pc&amp;sender_web_id=6983582057944237570" TargetMode="External"/><Relationship Id="rId222" Type="http://schemas.openxmlformats.org/officeDocument/2006/relationships/hyperlink" Target="https://www.tiktok.com/@cuonghancouple/video/6992911283016256795?is_copy_url=0&amp;is_from_webapp=v1&amp;sender_device=pc&amp;sender_web_id=6908929983101486593" TargetMode="External"/><Relationship Id="rId343" Type="http://schemas.openxmlformats.org/officeDocument/2006/relationships/hyperlink" Target="https://www.facebook.com/nmtvlog99/videos/160322706174959" TargetMode="External"/><Relationship Id="rId464" Type="http://schemas.openxmlformats.org/officeDocument/2006/relationships/hyperlink" Target="https://www.tiktok.com/@truong_qn/video/6992508021448494363?is_copy_url=0&amp;is_from_webapp=v1&amp;sender_device=pc&amp;sender_web_id=6983582057944237570" TargetMode="External"/><Relationship Id="rId100" Type="http://schemas.openxmlformats.org/officeDocument/2006/relationships/hyperlink" Target="https://www.tiktok.com/@truongvihihi/video/6986123091936120090?lang=vi-VN&amp;is_copy_url=0&amp;is_from_webapp=v1&amp;sender_device=pc&amp;sender_web_id=6983582057944237570" TargetMode="External"/><Relationship Id="rId221" Type="http://schemas.openxmlformats.org/officeDocument/2006/relationships/hyperlink" Target="https://www.tiktok.com/@cuonghancouple/video/6991051587275722011?is_copy_url=0&amp;is_from_webapp=v1&amp;sender_device=pc&amp;sender_web_id=6908929983101486593" TargetMode="External"/><Relationship Id="rId342" Type="http://schemas.openxmlformats.org/officeDocument/2006/relationships/hyperlink" Target="https://www.facebook.com/nmtvlog99/videos/519221099360964" TargetMode="External"/><Relationship Id="rId463" Type="http://schemas.openxmlformats.org/officeDocument/2006/relationships/hyperlink" Target="https://www.tiktok.com/@truong_qn/video/6991030818583907611?is_copy_url=0&amp;is_from_webapp=v1&amp;sender_device=pc&amp;sender_web_id=6983582057944237570" TargetMode="External"/><Relationship Id="rId217" Type="http://schemas.openxmlformats.org/officeDocument/2006/relationships/hyperlink" Target="https://www.facebook.com/106896074362727/videos/358189612342573" TargetMode="External"/><Relationship Id="rId338" Type="http://schemas.openxmlformats.org/officeDocument/2006/relationships/hyperlink" Target="https://www.facebook.com/YonCuon/videos/345495407077361" TargetMode="External"/><Relationship Id="rId459" Type="http://schemas.openxmlformats.org/officeDocument/2006/relationships/hyperlink" Target="https://www.facebook.com/100005340498640/videos/505387720562605" TargetMode="External"/><Relationship Id="rId216" Type="http://schemas.openxmlformats.org/officeDocument/2006/relationships/hyperlink" Target="https://www.tiktok.com/@ngannt212/video/6993272602756271361?is_copy_url=0&amp;is_from_webapp=v1&amp;sender_device=pc&amp;sender_web_id=6908929983101486593" TargetMode="External"/><Relationship Id="rId337" Type="http://schemas.openxmlformats.org/officeDocument/2006/relationships/hyperlink" Target="https://www.facebook.com/le.havy.7121/videos/4091299580995454" TargetMode="External"/><Relationship Id="rId458" Type="http://schemas.openxmlformats.org/officeDocument/2006/relationships/hyperlink" Target="https://www.tiktok.com/@10103anh/video/6992494608265612570?is_copy_url=0&amp;is_from_webapp=v1&amp;sender_device=pc&amp;sender_web_id=6983582057944237570" TargetMode="External"/><Relationship Id="rId215" Type="http://schemas.openxmlformats.org/officeDocument/2006/relationships/hyperlink" Target="https://www.tiktok.com/@ngannt212/video/6989825465703763227?is_copy_url=0&amp;is_from_webapp=v1&amp;sender_device=pc&amp;sender_web_id=6908929983101486593" TargetMode="External"/><Relationship Id="rId336" Type="http://schemas.openxmlformats.org/officeDocument/2006/relationships/hyperlink" Target="https://www.facebook.com/caammxuynhh/videos/1423985334637846" TargetMode="External"/><Relationship Id="rId457" Type="http://schemas.openxmlformats.org/officeDocument/2006/relationships/hyperlink" Target="https://www.tiktok.com/@_ram215/video/6996546066585799963?is_copy_url=0&amp;is_from_webapp=v1&amp;sender_device=pc&amp;sender_web_id=6983582057944237570" TargetMode="External"/><Relationship Id="rId214" Type="http://schemas.openxmlformats.org/officeDocument/2006/relationships/hyperlink" Target="https://www.facebook.com/01633166673h/videos/1033006097103767" TargetMode="External"/><Relationship Id="rId335" Type="http://schemas.openxmlformats.org/officeDocument/2006/relationships/hyperlink" Target="https://www.tiktok.com/@besam2403/video/6995874077416115482?sender_device=mobile&amp;sender_web_id=6986624137116976642&amp;is_from_webapp=v1&amp;is_copy_url=0" TargetMode="External"/><Relationship Id="rId456" Type="http://schemas.openxmlformats.org/officeDocument/2006/relationships/hyperlink" Target="https://www.tiktok.com/@_ram215/video/6993185588618808602?is_copy_url=0&amp;is_from_webapp=v1&amp;sender_device=pc&amp;sender_web_id=6983582057944237570" TargetMode="External"/><Relationship Id="rId219" Type="http://schemas.openxmlformats.org/officeDocument/2006/relationships/hyperlink" Target="https://www.tiktok.com/@chutieuhan10012001/video/6993927950177455386?is_copy_url=0&amp;is_from_webapp=v1&amp;sender_device=pc&amp;sender_web_id=6908929983101486593" TargetMode="External"/><Relationship Id="rId218" Type="http://schemas.openxmlformats.org/officeDocument/2006/relationships/hyperlink" Target="https://www.tiktok.com/@chutieuhan10012001/video/6992910488677960987?is_copy_url=0&amp;is_from_webapp=v1&amp;sender_device=pc&amp;sender_web_id=6908929983101486593" TargetMode="External"/><Relationship Id="rId339" Type="http://schemas.openxmlformats.org/officeDocument/2006/relationships/hyperlink" Target="https://www.facebook.com/YonCuon/videos/815157779368764" TargetMode="External"/><Relationship Id="rId330" Type="http://schemas.openxmlformats.org/officeDocument/2006/relationships/hyperlink" Target="https://www.facebook.com/toanduyduy88/videos/874360593435788" TargetMode="External"/><Relationship Id="rId451" Type="http://schemas.openxmlformats.org/officeDocument/2006/relationships/hyperlink" Target="https://www.tiktok.com/@d.l9801/video/6996978245279239451?lang=vi-VN&amp;is_copy_url=0&amp;is_from_webapp=v1&amp;sender_device=pc&amp;sender_web_id=6983582057944237570" TargetMode="External"/><Relationship Id="rId450" Type="http://schemas.openxmlformats.org/officeDocument/2006/relationships/hyperlink" Target="https://www.tiktok.com/@d.l9801/video/6989189622660173082?lang=vi-VN&amp;is_copy_url=0&amp;is_from_webapp=v1&amp;sender_device=pc&amp;sender_web_id=6983582057944237570" TargetMode="External"/><Relationship Id="rId213" Type="http://schemas.openxmlformats.org/officeDocument/2006/relationships/hyperlink" Target="https://www.tiktok.com/@anhtiendola/video/6994024593291873563?lang=vi-VN&amp;is_copy_url=0&amp;is_from_webapp=v1&amp;sender_device=pc&amp;sender_web_id=6908929983101486593" TargetMode="External"/><Relationship Id="rId334" Type="http://schemas.openxmlformats.org/officeDocument/2006/relationships/hyperlink" Target="https://www.facebook.com/100007200393912/posts/2936098316640153/?d=n" TargetMode="External"/><Relationship Id="rId455" Type="http://schemas.openxmlformats.org/officeDocument/2006/relationships/hyperlink" Target="https://www.tiktok.com/@_ram215/video/6992033998566460698?is_copy_url=0&amp;is_from_webapp=v1&amp;sender_device=pc&amp;sender_web_id=6983582057944237570" TargetMode="External"/><Relationship Id="rId212" Type="http://schemas.openxmlformats.org/officeDocument/2006/relationships/hyperlink" Target="https://www.tiktok.com/@badt99/video/6993612052770098459?is_copy_url=0&amp;is_from_webapp=v1&amp;sender_device=pc&amp;sender_web_id=6908929983101486593" TargetMode="External"/><Relationship Id="rId333" Type="http://schemas.openxmlformats.org/officeDocument/2006/relationships/hyperlink" Target="https://www.facebook.com/100007197069413/posts/2893460727570468/?d=n" TargetMode="External"/><Relationship Id="rId454" Type="http://schemas.openxmlformats.org/officeDocument/2006/relationships/hyperlink" Target="https://www.tiktok.com/@_ram215/video/6991616014534413595?is_copy_url=0&amp;is_from_webapp=v1&amp;sender_device=pc&amp;sender_web_id=6983582057944237570" TargetMode="External"/><Relationship Id="rId211" Type="http://schemas.openxmlformats.org/officeDocument/2006/relationships/hyperlink" Target="https://www.tiktok.com/@badt99/video/6992029651119934747?is_copy_url=0&amp;is_from_webapp=v1&amp;sender_device=pc&amp;sender_web_id=6908929983101486593" TargetMode="External"/><Relationship Id="rId332" Type="http://schemas.openxmlformats.org/officeDocument/2006/relationships/hyperlink" Target="https://www.facebook.com/100069810784981/posts/124533986550294/?d=n" TargetMode="External"/><Relationship Id="rId453" Type="http://schemas.openxmlformats.org/officeDocument/2006/relationships/hyperlink" Target="https://www.tiktok.com/@_ram215/video/6990163737533631770?lang=vi-VN&amp;is_copy_url=0&amp;is_from_webapp=v1&amp;sender_device=pc&amp;sender_web_id=6983582057944237570" TargetMode="External"/><Relationship Id="rId210" Type="http://schemas.openxmlformats.org/officeDocument/2006/relationships/hyperlink" Target="https://www.tiktok.com/@badt99/video/6990905217294306586?is_copy_url=0&amp;is_from_webapp=v1&amp;sender_device=pc&amp;sender_web_id=6908929983101486593" TargetMode="External"/><Relationship Id="rId331" Type="http://schemas.openxmlformats.org/officeDocument/2006/relationships/hyperlink" Target="https://www.facebook.com/100043082003294/posts/483685963077466/?d=n" TargetMode="External"/><Relationship Id="rId452" Type="http://schemas.openxmlformats.org/officeDocument/2006/relationships/hyperlink" Target="https://www.tiktok.com/@_ram215/video/6989810625182534939?lang=vi-VN&amp;is_copy_url=0&amp;is_from_webapp=v1&amp;sender_device=pc&amp;sender_web_id=6983582057944237570" TargetMode="External"/><Relationship Id="rId370" Type="http://schemas.openxmlformats.org/officeDocument/2006/relationships/hyperlink" Target="https://www.tiktok.com/@tieungao1907/video/6992799321049648410?" TargetMode="External"/><Relationship Id="rId491" Type="http://schemas.openxmlformats.org/officeDocument/2006/relationships/hyperlink" Target="https://www.tiktok.com/@khanhkhie/video/6989582358781496602?is_copy_url=0&amp;is_from_webapp=v1&amp;sender_device=pc&amp;sender_web_id=6908929983101486593" TargetMode="External"/><Relationship Id="rId490" Type="http://schemas.openxmlformats.org/officeDocument/2006/relationships/hyperlink" Target="https://www.tiktok.com/@hoduyphuong/video/6989822411969547546?_=&amp;is_copy_url=0&amp;is_from_webapp=v1&amp;sender_device=pc&amp;sender_web_id=6908929983101486593" TargetMode="External"/><Relationship Id="rId129" Type="http://schemas.openxmlformats.org/officeDocument/2006/relationships/hyperlink" Target="https://www.facebook.com/100010592763690/posts/2391267727902963/?d=n" TargetMode="External"/><Relationship Id="rId128" Type="http://schemas.openxmlformats.org/officeDocument/2006/relationships/hyperlink" Target="https://www.facebook.com/100007838504341/posts/3003094156628505/?d=n" TargetMode="External"/><Relationship Id="rId249" Type="http://schemas.openxmlformats.org/officeDocument/2006/relationships/hyperlink" Target="https://www.tiktok.com/@ahihiquyenday/video/6990687687711739162?lang=vi-VN&amp;fbclid=IwAR1OcqMXlBeLquV_ASqxpA4xNnVjN877h_5w896cPMiy3GTLmCtTDeUlygo&amp;is_copy_url=0&amp;is_from_webapp=v1&amp;sender_device=pc&amp;sender_web_id=6908929983101486593" TargetMode="External"/><Relationship Id="rId127" Type="http://schemas.openxmlformats.org/officeDocument/2006/relationships/hyperlink" Target="https://www.tiktok.com/@lrb291/video/6985890980520004891?" TargetMode="External"/><Relationship Id="rId248" Type="http://schemas.openxmlformats.org/officeDocument/2006/relationships/hyperlink" Target="https://www.tiktok.com/@nqhunn/video/6990258061231295770?lang=vi-VN&amp;is_copy_url=0&amp;is_from_webapp=v1&amp;sender_device=pc&amp;sender_web_id=6908929983101486593" TargetMode="External"/><Relationship Id="rId369" Type="http://schemas.openxmlformats.org/officeDocument/2006/relationships/hyperlink" Target="https://www.tiktok.com/@tieungao1907/video/6992152112226422042?" TargetMode="External"/><Relationship Id="rId126" Type="http://schemas.openxmlformats.org/officeDocument/2006/relationships/hyperlink" Target="https://www.tiktok.com/@linhpu1412/video/6984629939911920922?" TargetMode="External"/><Relationship Id="rId247" Type="http://schemas.openxmlformats.org/officeDocument/2006/relationships/hyperlink" Target="https://www.tiktok.com/@hoduyphuong/video/6994648169946631450?_=&amp;is_copy_url=0&amp;is_from_webapp=v1&amp;sender_device=pc&amp;sender_web_id=6908929983101486593" TargetMode="External"/><Relationship Id="rId368" Type="http://schemas.openxmlformats.org/officeDocument/2006/relationships/hyperlink" Target="https://www.tiktok.com/@tieungao1907/video/6990195785925266715?" TargetMode="External"/><Relationship Id="rId489" Type="http://schemas.openxmlformats.org/officeDocument/2006/relationships/hyperlink" Target="https://www.tiktok.com/@hoduyphuong/video/6989081767756025114?_=&amp;is_copy_url=0&amp;is_from_webapp=v1&amp;sender_device=pc&amp;sender_web_id=6908929983101486593" TargetMode="External"/><Relationship Id="rId121" Type="http://schemas.openxmlformats.org/officeDocument/2006/relationships/hyperlink" Target="https://www.facebook.com/100004629070346/posts/2004499493047667/?d=n" TargetMode="External"/><Relationship Id="rId242" Type="http://schemas.openxmlformats.org/officeDocument/2006/relationships/hyperlink" Target="https://www.tiktok.com/@letrang_2k2/video/6996520221645360410?lang=vi-VN&amp;is_copy_url=0&amp;is_from_webapp=v1&amp;sender_device=pc&amp;sender_web_id=6908929983101486593" TargetMode="External"/><Relationship Id="rId363" Type="http://schemas.openxmlformats.org/officeDocument/2006/relationships/hyperlink" Target="https://www.tiktok.com/@vuhphuong/video/6990605119071063322?" TargetMode="External"/><Relationship Id="rId484" Type="http://schemas.openxmlformats.org/officeDocument/2006/relationships/hyperlink" Target="https://www.tiktok.com/@nguyenhanghuong96/video/6993308751197424922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120" Type="http://schemas.openxmlformats.org/officeDocument/2006/relationships/hyperlink" Target="https://www.tiktok.com/@trungke.ontiktok/video/6988082977817382170?lang=vi-VN&amp;is_copy_url=0&amp;is_from_webapp=v1&amp;sender_device=pc&amp;sender_web_id=6982736742253446658" TargetMode="External"/><Relationship Id="rId241" Type="http://schemas.openxmlformats.org/officeDocument/2006/relationships/hyperlink" Target="https://www.tiktok.com/@letrang_2k2/video/6995771966208707867?lang=vi-VN&amp;is_copy_url=0&amp;is_from_webapp=v1&amp;sender_device=pc&amp;sender_web_id=6908929983101486593" TargetMode="External"/><Relationship Id="rId362" Type="http://schemas.openxmlformats.org/officeDocument/2006/relationships/hyperlink" Target="https://www.facebook.com/NguyenNhatHoangHon/videos/211853327452130" TargetMode="External"/><Relationship Id="rId483" Type="http://schemas.openxmlformats.org/officeDocument/2006/relationships/hyperlink" Target="https://www.tiktok.com/@tienkhautrang200299/video/6996981453611420954?is_copy_url=0&amp;is_from_webapp=v1&amp;sender_device=pc&amp;sender_web_id=6983582057944237570" TargetMode="External"/><Relationship Id="rId240" Type="http://schemas.openxmlformats.org/officeDocument/2006/relationships/hyperlink" Target="https://www.tiktok.com/@letrang_2k2/video/6994684555940695323?lang=vi-VN&amp;is_copy_url=0&amp;is_from_webapp=v1&amp;sender_device=pc&amp;sender_web_id=6908929983101486593" TargetMode="External"/><Relationship Id="rId361" Type="http://schemas.openxmlformats.org/officeDocument/2006/relationships/hyperlink" Target="https://www.facebook.com/NguyenNhatHoangHon/videos/3086011155009495" TargetMode="External"/><Relationship Id="rId482" Type="http://schemas.openxmlformats.org/officeDocument/2006/relationships/hyperlink" Target="https://www.facebook.com/trungthu9x/videos/4302304036494266" TargetMode="External"/><Relationship Id="rId360" Type="http://schemas.openxmlformats.org/officeDocument/2006/relationships/hyperlink" Target="https://www.tiktok.com/@nhathoanghon/video/6996498611945180443?" TargetMode="External"/><Relationship Id="rId481" Type="http://schemas.openxmlformats.org/officeDocument/2006/relationships/hyperlink" Target="https://www.tiktok.com/@hkl209/video/6996989575365250330?_d=secCgYIASAHKAESMgowcXa5QiEGVeEYGpz0c4C51r4Nwtk%2Fw4PhII2UZz8Dkcr2GjD9r6ecTbL6iu3J%2BJhzGgA%3D&amp;checksum=6d3c27d5eb2ffb3d2c4d861295cc7cf447020ef7aa6f2f65addb44f4fe0f3d67&amp;language=vi&amp;sec_uid=MS4wLjABAAAAbEy_ZU7J4xveIKBfuCXUVuIOSuNwZTiQ6RCOU5_gEeJPm4HfAItMKJOhmv43aDEo&amp;sec_user_id=MS4wLjABAAAAbEy_ZU7J4xveIKBfuCXUVuIOSuNwZTiQ6RCOU5_gEeJPm4HfAItMKJOhmv43aDEo&amp;share_app_id=1180&amp;share_author_id=6763629426921309186&amp;share_link_id=B9708286-A1C6-4040-A9E1-F4BC6C2056DC&amp;tt_from=copy&amp;u_code=d9ee34mghic707&amp;user_id=6763629426921309186&amp;utm_campaign=client_share&amp;utm_medium=ios&amp;utm_source=copy&amp;source=h5_t&amp;_r=1&amp;is_copy_url=0&amp;is_from_webapp=v1&amp;sender_device=pc&amp;sender_web_id=6983582057944237570" TargetMode="External"/><Relationship Id="rId125" Type="http://schemas.openxmlformats.org/officeDocument/2006/relationships/hyperlink" Target="https://www.tiktok.com/@thuycute05123/video/6985715429998185754?lang=vi-VN&amp;is_copy_url=0&amp;is_from_webapp=v1&amp;sender_device=pc&amp;sender_web_id=6992511724982355458" TargetMode="External"/><Relationship Id="rId246" Type="http://schemas.openxmlformats.org/officeDocument/2006/relationships/hyperlink" Target="https://www.tiktok.com/@hth.1909/video/6994767042830290202?l=&amp;is_copy_url=0&amp;is_from_webapp=v1&amp;sender_device=pc&amp;sender_web_id=6908929983101486593" TargetMode="External"/><Relationship Id="rId367" Type="http://schemas.openxmlformats.org/officeDocument/2006/relationships/hyperlink" Target="https://www.tiktok.com/@huongmin_/video/6991695117237226779?" TargetMode="External"/><Relationship Id="rId488" Type="http://schemas.openxmlformats.org/officeDocument/2006/relationships/hyperlink" Target="https://www.facebook.com/pu.be.7547/videos/349721976824292" TargetMode="External"/><Relationship Id="rId124" Type="http://schemas.openxmlformats.org/officeDocument/2006/relationships/hyperlink" Target="https://www.tiktok.com/@d.l9801/video/6987334399184358682" TargetMode="External"/><Relationship Id="rId245" Type="http://schemas.openxmlformats.org/officeDocument/2006/relationships/hyperlink" Target="https://www.tiktok.com/@vthnhung._/video/6995921312413764890?lang=vi-VN&amp;is_copy_url=0&amp;is_from_webapp=v1&amp;sender_device=pc&amp;sender_web_id=6908929983101486593" TargetMode="External"/><Relationship Id="rId366" Type="http://schemas.openxmlformats.org/officeDocument/2006/relationships/hyperlink" Target="https://www.tiktok.com/@vuhphuong/video/6996587171914239259?" TargetMode="External"/><Relationship Id="rId487" Type="http://schemas.openxmlformats.org/officeDocument/2006/relationships/hyperlink" Target="https://www.tiktok.com/@shoppingfamily_/video/6997294790522031386?is_copy_url=0&amp;is_from_webapp=v1&amp;sender_device=pc&amp;sender_web_id=6908929983101486593" TargetMode="External"/><Relationship Id="rId123" Type="http://schemas.openxmlformats.org/officeDocument/2006/relationships/hyperlink" Target="https://www.tiktok.com/@d.l9801/video/6985478364412824859" TargetMode="External"/><Relationship Id="rId244" Type="http://schemas.openxmlformats.org/officeDocument/2006/relationships/hyperlink" Target="https://www.tiktok.com/@tranganh_cosplay/video/6996988584024640795?_d=secCgYIASAHKAESMgow6kWfJFS26qRvFM52A8QKYZ0XsfqHVtsBSY8oLbKsC0ZFm4XrcXeoAL%2B%2FGiqEE50%2BGgA%3D&amp;checksum=d9d1bc84238947a2e75ebaa7b397224f59b23c1a0748e121e72ec78e6583a8cf&amp;language=vi&amp;mid=6996988567226551067&amp;preview_pb=0&amp;region=VN&amp;sec_user_id=MS4wLjABAAAAwZCJNX8j_DtFn_jQxEgRIkryPT9ZLy2dMkMcRxKD8ZjowMHuJB-dsK3Yh9MS2771&amp;share_app_id=1180&amp;share_item_id=6996988584024640795&amp;share_link_id=6903948E-9D9C-4389-B7B9-500EDF05AB13&amp;source=h5_t&amp;timestamp=1629113433&amp;tt_from=copy&amp;u_code=dgm3d55gh27851&amp;user_id=6924216616336442369&amp;utm_campaign=client_share&amp;utm_medium=ios&amp;utm_source=copy&amp;_r=1&amp;is_copy_url=0&amp;is_from_webapp=v1&amp;sender_device=pc&amp;sender_web_id=6908929983101486593" TargetMode="External"/><Relationship Id="rId365" Type="http://schemas.openxmlformats.org/officeDocument/2006/relationships/hyperlink" Target="https://www.tiktok.com/@vuhphuong/video/6994257206896119066?" TargetMode="External"/><Relationship Id="rId486" Type="http://schemas.openxmlformats.org/officeDocument/2006/relationships/hyperlink" Target="https://www.tiktok.com/@nguyenhanghuong96/video/6997237457565601050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122" Type="http://schemas.openxmlformats.org/officeDocument/2006/relationships/hyperlink" Target="https://www.facebook.com/mushroom.cool88/posts/4240907052671021" TargetMode="External"/><Relationship Id="rId243" Type="http://schemas.openxmlformats.org/officeDocument/2006/relationships/hyperlink" Target="https://www.tiktok.com/@huemid_03/video/6997240036609608987?lang=vi-VN&amp;is_copy_url=0&amp;is_from_webapp=v1&amp;sender_device=pc&amp;sender_web_id=6908929983101486593" TargetMode="External"/><Relationship Id="rId364" Type="http://schemas.openxmlformats.org/officeDocument/2006/relationships/hyperlink" Target="https://www.tiktok.com/@vuhphuong/video/6991435675203587354?" TargetMode="External"/><Relationship Id="rId485" Type="http://schemas.openxmlformats.org/officeDocument/2006/relationships/hyperlink" Target="https://www.tiktok.com/@nguyenhanghuong96/video/6996865355708697883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95" Type="http://schemas.openxmlformats.org/officeDocument/2006/relationships/hyperlink" Target="https://www.tiktok.com/@trangrung08/video/698691186544823836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4" Type="http://schemas.openxmlformats.org/officeDocument/2006/relationships/hyperlink" Target="https://www.tiktok.com/@trangrung08/video/6986548298593078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7" Type="http://schemas.openxmlformats.org/officeDocument/2006/relationships/hyperlink" Target="https://www.tiktok.com/@trangrung08/video/6988324224867798299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96" Type="http://schemas.openxmlformats.org/officeDocument/2006/relationships/hyperlink" Target="https://www.tiktok.com/@trangrung08/video/698797118569477250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9" Type="http://schemas.openxmlformats.org/officeDocument/2006/relationships/hyperlink" Target="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480" Type="http://schemas.openxmlformats.org/officeDocument/2006/relationships/hyperlink" Target="https://www.facebook.com/ngoducanh1012.bg/videos/4388514157874243" TargetMode="External"/><Relationship Id="rId98" Type="http://schemas.openxmlformats.org/officeDocument/2006/relationships/hyperlink" Target="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91" Type="http://schemas.openxmlformats.org/officeDocument/2006/relationships/hyperlink" Target="https://www.tiktok.com/@ducvamy/video/6988410622690004251?lang=vi-VN&amp;is_copy_url=0&amp;is_from_webapp=v1&amp;sender_device=pc&amp;sender_web_id=6983582057944237570" TargetMode="External"/><Relationship Id="rId90" Type="http://schemas.openxmlformats.org/officeDocument/2006/relationships/hyperlink" Target="https://www.facebook.com/thanhhuyen.bgvn/videos/338390987868753" TargetMode="External"/><Relationship Id="rId93" Type="http://schemas.openxmlformats.org/officeDocument/2006/relationships/hyperlink" Target="https://www.tiktok.com/@trangrung08/video/698613519547266178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2" Type="http://schemas.openxmlformats.org/officeDocument/2006/relationships/hyperlink" Target="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18" Type="http://schemas.openxmlformats.org/officeDocument/2006/relationships/hyperlink" Target="https://www.tiktok.com/@dinhtrangthao03/video/6987710639842004250?lang=vi-VN&amp;is_copy_url=0&amp;is_from_webapp=v1&amp;sender_device=pc&amp;sender_web_id=6982736742253446658" TargetMode="External"/><Relationship Id="rId239" Type="http://schemas.openxmlformats.org/officeDocument/2006/relationships/hyperlink" Target="https://www.tiktok.com/@cu_bo32/video/6996629466961284378?lang=vi-VN&amp;is_copy_url=0&amp;is_from_webapp=v1&amp;sender_device=pc&amp;sender_web_id=6908929983101486593" TargetMode="External"/><Relationship Id="rId117" Type="http://schemas.openxmlformats.org/officeDocument/2006/relationships/hyperlink" Target="https://www.tiktok.com/@dinhtrangthao03/video/6986965664674221338?lang=vi-VN&amp;is_copy_url=0&amp;is_from_webapp=v1&amp;sender_device=pc&amp;sender_web_id=6983582057944237570" TargetMode="External"/><Relationship Id="rId238" Type="http://schemas.openxmlformats.org/officeDocument/2006/relationships/hyperlink" Target="https://www.tiktok.com/@anhthuyet/video/6995883310408944922?lang=vi-VN&amp;is_copy_url=0&amp;is_from_webapp=v1&amp;sender_device=pc&amp;sender_web_id=6908929983101486593" TargetMode="External"/><Relationship Id="rId359" Type="http://schemas.openxmlformats.org/officeDocument/2006/relationships/hyperlink" Target="https://www.tiktok.com/@nhathoanghon/video/6993524660939885851?" TargetMode="External"/><Relationship Id="rId116" Type="http://schemas.openxmlformats.org/officeDocument/2006/relationships/hyperlink" Target="https://www.tiktok.com/@dinhtrangthao03/video/6986220375331966235?lang=vi-VN&amp;is_copy_url=0&amp;is_from_webapp=v1&amp;sender_device=pc&amp;sender_web_id=6983582057944237570" TargetMode="External"/><Relationship Id="rId237" Type="http://schemas.openxmlformats.org/officeDocument/2006/relationships/hyperlink" Target="https://www.tiktok.com/@anhthuyet/video/6995504440773971227?lang=vi-VN&amp;is_copy_url=0&amp;is_from_webapp=v1&amp;sender_device=pc&amp;sender_web_id=6908929983101486593" TargetMode="External"/><Relationship Id="rId358" Type="http://schemas.openxmlformats.org/officeDocument/2006/relationships/hyperlink" Target="https://www.tiktok.com/@nhathoanghon/video/6992540553892220186?" TargetMode="External"/><Relationship Id="rId479" Type="http://schemas.openxmlformats.org/officeDocument/2006/relationships/hyperlink" Target="https://www.facebook.com/trinhanhduc206/videos/512211576506040" TargetMode="External"/><Relationship Id="rId115" Type="http://schemas.openxmlformats.org/officeDocument/2006/relationships/hyperlink" Target="https://www.tiktok.com/@_hvqt_/video/6988284628704464155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6" Type="http://schemas.openxmlformats.org/officeDocument/2006/relationships/hyperlink" Target="https://www.tiktok.com/@kngn212/video/6995908693707558145?lang=vi-VN&amp;is_copy_url=0&amp;is_from_webapp=v1&amp;sender_device=pc&amp;sender_web_id=6908929983101486593" TargetMode="External"/><Relationship Id="rId357" Type="http://schemas.openxmlformats.org/officeDocument/2006/relationships/hyperlink" Target="https://www.tiktok.com/@nhathoanghon/video/6992163733153844506?" TargetMode="External"/><Relationship Id="rId478" Type="http://schemas.openxmlformats.org/officeDocument/2006/relationships/hyperlink" Target="https://www.tiktok.com/@thuhuong2xx1/video/6996979355477871899?is_copy_url=0&amp;is_from_webapp=v1&amp;sender_device=pc&amp;sender_web_id=6983582057944237570" TargetMode="External"/><Relationship Id="rId119" Type="http://schemas.openxmlformats.org/officeDocument/2006/relationships/hyperlink" Target="https://www.tiktok.com/@10103anh/video/6988433610764324122?is_copy_url=0&amp;is_from_webapp=v1&amp;sender_device=pc&amp;sender_web_id=6983582057944237570" TargetMode="External"/><Relationship Id="rId110" Type="http://schemas.openxmlformats.org/officeDocument/2006/relationships/hyperlink" Target="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31" Type="http://schemas.openxmlformats.org/officeDocument/2006/relationships/hyperlink" Target="https://www.tiktok.com/@cu_bo32/video/6994041086737911066?is_copy_url=0&amp;is_from_webapp=v1&amp;sender_device=pc&amp;sender_web_id=6908929983101486593" TargetMode="External"/><Relationship Id="rId352" Type="http://schemas.openxmlformats.org/officeDocument/2006/relationships/hyperlink" Target="https://www.tiktok.com/@vansat97/video/6990675984127216923?" TargetMode="External"/><Relationship Id="rId473" Type="http://schemas.openxmlformats.org/officeDocument/2006/relationships/hyperlink" Target="https://www.facebook.com/phan.thanhhue/videos/533888777727779" TargetMode="External"/><Relationship Id="rId230" Type="http://schemas.openxmlformats.org/officeDocument/2006/relationships/hyperlink" Target="https://www.tiktok.com/@ngoafood_/video/6994785675635608858?" TargetMode="External"/><Relationship Id="rId351" Type="http://schemas.openxmlformats.org/officeDocument/2006/relationships/hyperlink" Target="https://www.tiktok.com/@huynh4nhh/video/6996625988977413402?" TargetMode="External"/><Relationship Id="rId472" Type="http://schemas.openxmlformats.org/officeDocument/2006/relationships/hyperlink" Target="https://www.facebook.com/ngoloi.1979/videos/894534377806357" TargetMode="External"/><Relationship Id="rId350" Type="http://schemas.openxmlformats.org/officeDocument/2006/relationships/hyperlink" Target="https://www.tiktok.com/@huynh4nhh/video/6995393904245738778?" TargetMode="External"/><Relationship Id="rId471" Type="http://schemas.openxmlformats.org/officeDocument/2006/relationships/hyperlink" Target="https://www.tiktok.com/@thaihagiang25/video/6995535245655231770?_d=secCgYIASAHKAESMgowxG0qer5KOTG3HWK3qCL7GN7oKIMtE9pYAqKQaWJxZ71nyocuA%2BvpFZCGkGNr8%2F9nGgA%3D&amp;checksum=4e71203219780f87be0cc86efcd535efce0cb0f2df6a38d289491d72414accb8&amp;language=vi&amp;mid=6995535251929959195&amp;preview_pb=0&amp;region=VN&amp;sec_user_id=MS4wLjABAAAAiP-0-2oiTEagOFH_LHH3Q5XkY7OfYr5prJMjhUh6bCTy0FBoE2DehLJDjAswPQLY&amp;share_app_id=1180&amp;share_item_id=6995535245655231770&amp;share_link_id=6bc3b62e-d3d6-4bff-bd10-1b82b28b75b7&amp;source=h5_t&amp;timestamp=1628870248&amp;u_code=dcg95afb7dg1bk&amp;user_id=6831075834708689921&amp;utm_campaign=client_share&amp;utm_medium=android&amp;utm_source=copy&amp;_r=1&amp;is_copy_url=0&amp;is_from_webapp=v1&amp;sender_device=pc&amp;sender_web_id=6983582057944237570" TargetMode="External"/><Relationship Id="rId470" Type="http://schemas.openxmlformats.org/officeDocument/2006/relationships/hyperlink" Target="https://www.facebook.com/nguyenthamnb/videos/516262562785297" TargetMode="External"/><Relationship Id="rId114" Type="http://schemas.openxmlformats.org/officeDocument/2006/relationships/hyperlink" Target="https://www.tiktok.com/@_hvqt_/video/6987921745013493018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5" Type="http://schemas.openxmlformats.org/officeDocument/2006/relationships/hyperlink" Target="https://www.tiktok.com/@huemid_03/video/6995380895683251483?lang=vi-VN&amp;is_copy_url=0&amp;is_from_webapp=v1&amp;sender_device=pc&amp;sender_web_id=6908929983101486593" TargetMode="External"/><Relationship Id="rId356" Type="http://schemas.openxmlformats.org/officeDocument/2006/relationships/hyperlink" Target="https://www.tiktok.com/@nhathoanghon/video/6990930171633159450?" TargetMode="External"/><Relationship Id="rId477" Type="http://schemas.openxmlformats.org/officeDocument/2006/relationships/hyperlink" Target="https://www.facebook.com/100006351731572/videos/pcb.3167338600154500/378913080264829" TargetMode="External"/><Relationship Id="rId113" Type="http://schemas.openxmlformats.org/officeDocument/2006/relationships/hyperlink" Target="https://www.tiktok.com/@_hvqt_/video/698727529236460674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4" Type="http://schemas.openxmlformats.org/officeDocument/2006/relationships/hyperlink" Target="https://www.tiktok.com/@huemid_03/video/6994764524733697307?lang=vi-VN&amp;is_copy_url=0&amp;is_from_webapp=v1&amp;sender_device=pc&amp;sender_web_id=6908929983101486593" TargetMode="External"/><Relationship Id="rId355" Type="http://schemas.openxmlformats.org/officeDocument/2006/relationships/hyperlink" Target="https://www.tiktok.com/@nhathoanghon/video/6989935461955341594?" TargetMode="External"/><Relationship Id="rId476" Type="http://schemas.openxmlformats.org/officeDocument/2006/relationships/hyperlink" Target="https://www.tiktok.com/@thu.kobito/video/6997247480777706753?lang=vi-VN&amp;is_copy_url=0&amp;is_from_webapp=v1&amp;sender_device=pc&amp;sender_web_id=6983582057944237570" TargetMode="External"/><Relationship Id="rId112" Type="http://schemas.openxmlformats.org/officeDocument/2006/relationships/hyperlink" Target="https://www.tiktok.com/@_hvqt_/video/6986940501475855642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33" Type="http://schemas.openxmlformats.org/officeDocument/2006/relationships/hyperlink" Target="https://www.instagram.com/reel/CSWlV8VJM49/" TargetMode="External"/><Relationship Id="rId354" Type="http://schemas.openxmlformats.org/officeDocument/2006/relationships/hyperlink" Target="https://www.tiktok.com/@vansat97/video/6996935837602581787?" TargetMode="External"/><Relationship Id="rId475" Type="http://schemas.openxmlformats.org/officeDocument/2006/relationships/hyperlink" Target="https://www.tiktok.com/@thu.kobito/video/6996154736714075393?lang=vi-VN&amp;is_copy_url=0&amp;is_from_webapp=v1&amp;sender_device=pc&amp;sender_web_id=6983582057944237570" TargetMode="External"/><Relationship Id="rId111" Type="http://schemas.openxmlformats.org/officeDocument/2006/relationships/hyperlink" Target="https://www.tiktok.com/@_hvqt_/video/698649681329345666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2" Type="http://schemas.openxmlformats.org/officeDocument/2006/relationships/hyperlink" Target="https://www.tiktok.com/@toanprdsofficial/video/6994400376417979674?" TargetMode="External"/><Relationship Id="rId353" Type="http://schemas.openxmlformats.org/officeDocument/2006/relationships/hyperlink" Target="https://www.tiktok.com/@vansat97/video/6994347174536563994?" TargetMode="External"/><Relationship Id="rId474" Type="http://schemas.openxmlformats.org/officeDocument/2006/relationships/hyperlink" Target="https://www.tiktok.com/@vomai2412/video/6995019627843685659?_d=secCgYIASAHKAESMgowXjeQ4HBf8FFnZkWdjzJLZizmnbvqTbqIGbl5yxrvQRUSIXKybDjfSmVhzP%2FVQsSOGgA%3D&amp;checksum=49ce1e95839b35157fba9e9126a4dbad326396f623a6e73af6408da9d1c3761e&amp;language=vi&amp;sec_uid=MS4wLjABAAAAakcoLn0AH5d0lix39quyCHbeQ03KVcBklMVDcbdxXNpvr5r1DrAsI5YZtHHqLDeV&amp;sec_user_id=MS4wLjABAAAAakcoLn0AH5d0lix39quyCHbeQ03KVcBklMVDcbdxXNpvr5r1DrAsI5YZtHHqLDeV&amp;share_app_id=1180&amp;share_author_id=6854816817475781633&amp;share_link_id=8E18F6E1-DCBB-4681-98A2-26A180A0B665&amp;tt_from=copy&amp;u_code=ddi77ac9ek69je&amp;user_id=6854816817475781633&amp;utm_campaign=client_share&amp;utm_medium=ios&amp;utm_source=copy&amp;source=h5_t&amp;_r=1&amp;is_copy_url=0&amp;is_from_webapp=v1&amp;sender_device=pc&amp;sender_web_id=6983582057944237570" TargetMode="External"/><Relationship Id="rId305" Type="http://schemas.openxmlformats.org/officeDocument/2006/relationships/hyperlink" Target="https://www.tiktok.com/@tinhnguyen241298/video/6992424102241799425" TargetMode="External"/><Relationship Id="rId426" Type="http://schemas.openxmlformats.org/officeDocument/2006/relationships/hyperlink" Target="https://www.tiktok.com/@dinhtrangthao03/video/6992164180686114075?lang=vi-VN&amp;is_copy_url=0&amp;is_from_webapp=v1&amp;sender_device=pc&amp;sender_web_id=6983582057944237570" TargetMode="External"/><Relationship Id="rId304" Type="http://schemas.openxmlformats.org/officeDocument/2006/relationships/hyperlink" Target="https://www.tiktok.com/@tinhnguyen241298/video/6991059476782648602?" TargetMode="External"/><Relationship Id="rId425" Type="http://schemas.openxmlformats.org/officeDocument/2006/relationships/hyperlink" Target="https://www.tiktok.com/@dinhtrangthao03/video/6991786929654074650?lang=vi-VN&amp;is_copy_url=0&amp;is_from_webapp=v1&amp;sender_device=pc&amp;sender_web_id=6983582057944237570" TargetMode="External"/><Relationship Id="rId303" Type="http://schemas.openxmlformats.org/officeDocument/2006/relationships/hyperlink" Target="https://www.tiktok.com/@tinhnguyen241298/video/6989944203329490202?" TargetMode="External"/><Relationship Id="rId424" Type="http://schemas.openxmlformats.org/officeDocument/2006/relationships/hyperlink" Target="https://www.tiktok.com/@mymyle231/video/6994782586488884507?_d=secCgYIASAHKAESMgowTaSPXVETCF5LBZ2O1P4%2B%2Bpuo%2FsLIImw4rfuTk7DhD1mRselvhM6Npjaeqic1%2BbBFGgA%3D&amp;checksum=163751001ab23af1c2c78e9851d71e6875de52c80b438b524155997dd9acca73&amp;language=vi&amp;sec_uid=MS4wLjABAAAAz-DRqWdEA0u8ksBqZGQ0p9f81Zylnj5QUvUY0hktvKQ7dfoIqLRsOilg2gcz22Nj&amp;sec_user_id=MS4wLjABAAAABZoGHXrZBRfUXemmSi4q3avURclQFi4x2Whu9VjcIcT76FNFZkqEczdQ-sOpcqo6&amp;share_app_id=1180&amp;share_author_id=6792047944855176193&amp;share_link_id=2BF209A4-1DED-4FE8-9E56-90ACCC6E051C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2" Type="http://schemas.openxmlformats.org/officeDocument/2006/relationships/hyperlink" Target="https://www.tiktok.com/@kiethatinh.2000/video/6997350832609955098?" TargetMode="External"/><Relationship Id="rId423" Type="http://schemas.openxmlformats.org/officeDocument/2006/relationships/hyperlink" Target="https://www.tiktok.com/@neyunn98/video/6989940398487506202?lang=vi-VN&amp;is_copy_url=0&amp;is_from_webapp=v1&amp;sender_device=pc&amp;sender_web_id=6983582057944237570" TargetMode="External"/><Relationship Id="rId309" Type="http://schemas.openxmlformats.org/officeDocument/2006/relationships/hyperlink" Target="https://www.tiktok.com/@vsorl0602/video/6995845369380801818?" TargetMode="External"/><Relationship Id="rId308" Type="http://schemas.openxmlformats.org/officeDocument/2006/relationships/hyperlink" Target="https://www.tiktok.com/@vsorl0602/video/6996227645579005211?" TargetMode="External"/><Relationship Id="rId429" Type="http://schemas.openxmlformats.org/officeDocument/2006/relationships/hyperlink" Target="https://www.tiktok.com/@dinhtrangthao03/video/6994393946998787354?lang=vi-VN&amp;is_copy_url=0&amp;is_from_webapp=v1&amp;sender_device=pc&amp;sender_web_id=6983582057944237570" TargetMode="External"/><Relationship Id="rId307" Type="http://schemas.openxmlformats.org/officeDocument/2006/relationships/hyperlink" Target="https://www.tiktok.com/@tinhnguyen241298/video/6994386336115461378?" TargetMode="External"/><Relationship Id="rId428" Type="http://schemas.openxmlformats.org/officeDocument/2006/relationships/hyperlink" Target="https://www.tiktok.com/@dinhtrangthao03/video/6993652665104239899?lang=vi-VN&amp;is_copy_url=0&amp;is_from_webapp=v1&amp;sender_device=pc&amp;sender_web_id=6983582057944237570" TargetMode="External"/><Relationship Id="rId306" Type="http://schemas.openxmlformats.org/officeDocument/2006/relationships/hyperlink" Target="https://www.tiktok.com/@tinhnguyen241298/video/6993645076631129346?" TargetMode="External"/><Relationship Id="rId427" Type="http://schemas.openxmlformats.org/officeDocument/2006/relationships/hyperlink" Target="https://www.tiktok.com/@dinhtrangthao03/video/6992901545285192986?lang=vi-VN&amp;is_copy_url=0&amp;is_from_webapp=v1&amp;sender_device=pc&amp;sender_web_id=6983582057944237570" TargetMode="External"/><Relationship Id="rId301" Type="http://schemas.openxmlformats.org/officeDocument/2006/relationships/hyperlink" Target="https://www.tiktok.com/@kiethatinh.2000/video/6993647070087318810?" TargetMode="External"/><Relationship Id="rId422" Type="http://schemas.openxmlformats.org/officeDocument/2006/relationships/hyperlink" Target="https://www.tiktok.com/@_hvqt_/video/699479055700014210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0" Type="http://schemas.openxmlformats.org/officeDocument/2006/relationships/hyperlink" Target="https://www.tiktok.com/@kiethatinh.2000/video/6992533439295589658?" TargetMode="External"/><Relationship Id="rId421" Type="http://schemas.openxmlformats.org/officeDocument/2006/relationships/hyperlink" Target="https://www.tiktok.com/@_hvqt_/video/6990246796161305883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20" Type="http://schemas.openxmlformats.org/officeDocument/2006/relationships/hyperlink" Target="https://www.tiktok.com/@_hvqt_/video/6990170909084486939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5" Type="http://schemas.openxmlformats.org/officeDocument/2006/relationships/hyperlink" Target="https://www.tiktok.com/@truongvihihi/video/699316283854620597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4" Type="http://schemas.openxmlformats.org/officeDocument/2006/relationships/hyperlink" Target="https://www.tiktok.com/@truongvihihi/video/6992045152248302875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3" Type="http://schemas.openxmlformats.org/officeDocument/2006/relationships/hyperlink" Target="https://www.tiktok.com/@truongvihihi/video/699130674706753461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2" Type="http://schemas.openxmlformats.org/officeDocument/2006/relationships/hyperlink" Target="https://www.tiktok.com/@thupin_0109/video/6989092024280534298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9" Type="http://schemas.openxmlformats.org/officeDocument/2006/relationships/hyperlink" Target="https://www.tiktok.com/@tolathule/video/6994777706277702938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8" Type="http://schemas.openxmlformats.org/officeDocument/2006/relationships/hyperlink" Target="https://www.tiktok.com/@tolathule/video/6988851041768869147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7" Type="http://schemas.openxmlformats.org/officeDocument/2006/relationships/hyperlink" Target="https://www.tiktok.com/@tolathule/video/6988739354269191451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6" Type="http://schemas.openxmlformats.org/officeDocument/2006/relationships/hyperlink" Target="https://www.tiktok.com/@truongvihihi/video/6996879556019768602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1" Type="http://schemas.openxmlformats.org/officeDocument/2006/relationships/hyperlink" Target="https://www.tiktok.com/@trangrung08/video/699505752611488079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0" Type="http://schemas.openxmlformats.org/officeDocument/2006/relationships/hyperlink" Target="https://www.tiktok.com/@trangrung08/video/6993637921463094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06" Type="http://schemas.openxmlformats.org/officeDocument/2006/relationships/hyperlink" Target="https://www.tiktok.com/@letrang_2k2/video/6992052221353430299?is_copy_url=0&amp;is_from_webapp=v1&amp;sender_device=pc&amp;sender_web_id=6908929983101486593" TargetMode="External"/><Relationship Id="rId327" Type="http://schemas.openxmlformats.org/officeDocument/2006/relationships/hyperlink" Target="https://www.tiktok.com/@unheo1219/video/6995880449323093275?" TargetMode="External"/><Relationship Id="rId448" Type="http://schemas.openxmlformats.org/officeDocument/2006/relationships/hyperlink" Target="https://www.tiktok.com/@buingocphuongtrang/video/6990693452635802907?is_copy_url=0&amp;is_from_webapp=v1&amp;sender_device=pc&amp;sender_web_id=6983582057944237570" TargetMode="External"/><Relationship Id="rId205" Type="http://schemas.openxmlformats.org/officeDocument/2006/relationships/hyperlink" Target="https://www.tiktok.com/@letrang_2k2/video/6991435077972413722?is_copy_url=0&amp;is_from_webapp=v1&amp;sender_device=pc&amp;sender_web_id=6908929983101486593" TargetMode="External"/><Relationship Id="rId326" Type="http://schemas.openxmlformats.org/officeDocument/2006/relationships/hyperlink" Target="https://www.facebook.com/Vunguyetthu91/videos/529118878334036/" TargetMode="External"/><Relationship Id="rId447" Type="http://schemas.openxmlformats.org/officeDocument/2006/relationships/hyperlink" Target="https://www.tiktok.com/@quynhgo/video/6996534884558753051?_d=secCgYIASAHKAESMgowZ2qmwgNXbrXjyq5FMspQ8QPAe497lrGNYHE2YQR7gYaI98nZqpeeYJltX2nNGNmdGgA%3D&amp;language=vi&amp;sec_uid=MS4wLjABAAAABfLOBt9R09gaACxATvC4jQctf1hHzekfnjNO_8JPDhOVsu269vPHXL2YJZ5zKDBd&amp;sec_user_id=MS4wLjABAAAABfLOBt9R09gaACxATvC4jQctf1hHzekfnjNO_8JPDhOVsu269vPHXL2YJZ5zKDBd&amp;share_app_id=1180&amp;share_author_id=6983460434691474434&amp;share_link_id=51F09909-305D-4EED-8B27-DB67A29A0995&amp;tt_from=copy&amp;u_code=djf7f9373af1h6&amp;user_id=6983460434691474434&amp;utm_campaign=client_share&amp;utm_medium=ios&amp;utm_source=copy&amp;source=h5_t&amp;_r=1&amp;is_copy_url=0&amp;is_from_webapp=v1&amp;sender_device=pc&amp;sender_web_id=6983582057944237570" TargetMode="External"/><Relationship Id="rId204" Type="http://schemas.openxmlformats.org/officeDocument/2006/relationships/hyperlink" Target="https://www.tiktok.com/@letrang_2k2/video/6990197204019350810?is_copy_url=0&amp;is_from_webapp=v1&amp;sender_device=pc&amp;sender_web_id=6908929983101486593" TargetMode="External"/><Relationship Id="rId325" Type="http://schemas.openxmlformats.org/officeDocument/2006/relationships/hyperlink" Target="https://www.facebook.com/nuong.truongthimy/videos/168974925323712" TargetMode="External"/><Relationship Id="rId446" Type="http://schemas.openxmlformats.org/officeDocument/2006/relationships/hyperlink" Target="https://www.tiktok.com/@quynhgo/video/6995941766083955994?_d=secCgYIASAHKAESMgowZ2qmwgNXbrXjyq5FMspQ8QPAe497lrGNYHE2YQR7gYaI98nZqpeeYJltX2nNGNmdGgA%3D&amp;language=vi&amp;sec_uid=MS4wLjABAAAABfLOBt9R09gaACxATvC4jQctf1hHzekfnjNO_8JPDhOVsu269vPHXL2YJZ5zKDBd&amp;sec_user_id=MS4wLjABAAAABfLOBt9R09gaACxATvC4jQctf1hHzekfnjNO_8JPDhOVsu269vPHXL2YJZ5zKDBd&amp;share_app_id=1180&amp;share_author_id=6983460434691474434&amp;share_link_id=51F09909-305D-4EED-8B27-DB67A29A0995&amp;tt_from=copy&amp;u_code=djf7f9373af1h6&amp;user_id=6983460434691474434&amp;utm_campaign=client_share&amp;utm_medium=ios&amp;utm_source=copy&amp;source=h5_t&amp;_r=1&amp;is_copy_url=0&amp;is_from_webapp=v1&amp;sender_device=pc&amp;sender_web_id=6983582057944237570" TargetMode="External"/><Relationship Id="rId203" Type="http://schemas.openxmlformats.org/officeDocument/2006/relationships/hyperlink" Target="https://www.tiktok.com/@itsbevis/video/6992551336797687041?" TargetMode="External"/><Relationship Id="rId324" Type="http://schemas.openxmlformats.org/officeDocument/2006/relationships/hyperlink" Target="https://www.facebook.com/meo.moon.522/videos/207973791327426" TargetMode="External"/><Relationship Id="rId445" Type="http://schemas.openxmlformats.org/officeDocument/2006/relationships/hyperlink" Target="https://www.facebook.com/quynh.giao.31/videos/182272053962950" TargetMode="External"/><Relationship Id="rId209" Type="http://schemas.openxmlformats.org/officeDocument/2006/relationships/hyperlink" Target="https://www.tiktok.com/@letrang_2k2/video/6993946912693030171?" TargetMode="External"/><Relationship Id="rId208" Type="http://schemas.openxmlformats.org/officeDocument/2006/relationships/hyperlink" Target="https://www.tiktok.com/@letrang_2k2/video/6993662824840973594?is_copy_url=0&amp;is_from_webapp=v1&amp;sender_device=pc&amp;sender_web_id=6908929983101486593" TargetMode="External"/><Relationship Id="rId329" Type="http://schemas.openxmlformats.org/officeDocument/2006/relationships/hyperlink" Target="https://www.facebook.com/100003335207852/videos/pcb.4205612949559837/3064580483758435" TargetMode="External"/><Relationship Id="rId207" Type="http://schemas.openxmlformats.org/officeDocument/2006/relationships/hyperlink" Target="https://www.tiktok.com/@letrang_2k2/video/6992423111752830235?is_copy_url=0&amp;is_from_webapp=v1&amp;sender_device=pc&amp;sender_web_id=6908929983101486593" TargetMode="External"/><Relationship Id="rId328" Type="http://schemas.openxmlformats.org/officeDocument/2006/relationships/hyperlink" Target="https://www.tiktok.com/@unheo1219/video/6994642593392971034?" TargetMode="External"/><Relationship Id="rId449" Type="http://schemas.openxmlformats.org/officeDocument/2006/relationships/hyperlink" Target="https://www.tiktok.com/@buingocphuongtrang/video/6993198670703299866?is_copy_url=0&amp;is_from_webapp=v1&amp;sender_device=pc&amp;sender_web_id=6983582057944237570" TargetMode="External"/><Relationship Id="rId440" Type="http://schemas.openxmlformats.org/officeDocument/2006/relationships/hyperlink" Target="https://www.tiktok.com/@haxinhgai..95/video/6991790291418238234?fbclid=IwAR3He4bA6prCvdaABHfFgfPqhI7SNETeJewnkaDEkIxCTW9mOsGXJMKVKPk&amp;is_copy_url=0&amp;is_from_webapp=v1&amp;sender_device=pc&amp;sender_web_id=6983582057944237570" TargetMode="External"/><Relationship Id="rId202" Type="http://schemas.openxmlformats.org/officeDocument/2006/relationships/hyperlink" Target="https://www.tiktok.com/@phamvinh99/video/6990582079016684827?" TargetMode="External"/><Relationship Id="rId323" Type="http://schemas.openxmlformats.org/officeDocument/2006/relationships/hyperlink" Target="https://www.facebook.com/Suph036/videos/1019821965224376" TargetMode="External"/><Relationship Id="rId444" Type="http://schemas.openxmlformats.org/officeDocument/2006/relationships/hyperlink" Target="https://www.tiktok.com/@cattia.ttv_/video/6994762898434313498?lang=vi-VN&amp;is_copy_url=0&amp;is_from_webapp=v1&amp;sender_device=pc&amp;sender_web_id=6983582057944237570" TargetMode="External"/><Relationship Id="rId201" Type="http://schemas.openxmlformats.org/officeDocument/2006/relationships/hyperlink" Target="https://www.tiktok.com/@phamquynhhoa2004/video/6993174055427919130?is_copy_url=0&amp;is_from_webapp=v1&amp;sender_device=pc&amp;sender_web_id=6908929983101486593" TargetMode="External"/><Relationship Id="rId322" Type="http://schemas.openxmlformats.org/officeDocument/2006/relationships/hyperlink" Target="https://www.tiktok.com/@phamuyen369/video/6996990519704292635?" TargetMode="External"/><Relationship Id="rId443" Type="http://schemas.openxmlformats.org/officeDocument/2006/relationships/hyperlink" Target="https://www.facebook.com/trinhkien.aodai/videos/2877671582544887" TargetMode="External"/><Relationship Id="rId200" Type="http://schemas.openxmlformats.org/officeDocument/2006/relationships/hyperlink" Target="https://www.tiktok.com/@phamquynhhoa2004/video/6989592326041554203?is_copy_url=0&amp;is_from_webapp=v1&amp;sender_device=pc&amp;sender_web_id=6908929983101486593" TargetMode="External"/><Relationship Id="rId321" Type="http://schemas.openxmlformats.org/officeDocument/2006/relationships/hyperlink" Target="https://www.tiktok.com/@phamuyen369/video/6995465035531193627?" TargetMode="External"/><Relationship Id="rId442" Type="http://schemas.openxmlformats.org/officeDocument/2006/relationships/hyperlink" Target="https://www.facebook.com/Habeauty.95/videos/540906827112339" TargetMode="External"/><Relationship Id="rId320" Type="http://schemas.openxmlformats.org/officeDocument/2006/relationships/hyperlink" Target="https://www.tiktok.com/@phamuyen369/video/6993249441725680923?" TargetMode="External"/><Relationship Id="rId441" Type="http://schemas.openxmlformats.org/officeDocument/2006/relationships/hyperlink" Target="https://www.tiktok.com/@haxinhgai..95/video/6993617128679132443?fbclid=IwAR3He4bA6prCvdaABHfFgfPqhI7SNETeJewnkaDEkIxCTW9mOsGXJMKVKPk&amp;is_copy_url=0&amp;is_from_webapp=v1&amp;sender_device=pc&amp;sender_web_id=6983582057944237570" TargetMode="External"/><Relationship Id="rId316" Type="http://schemas.openxmlformats.org/officeDocument/2006/relationships/hyperlink" Target="https://www.tiktok.com/@nmtvlog99/video/6994027452980808986?" TargetMode="External"/><Relationship Id="rId437" Type="http://schemas.openxmlformats.org/officeDocument/2006/relationships/hyperlink" Target="https://www.instagram.com/p/CSLMLZmp1cM/?utm_source=ig_web_copy_link" TargetMode="External"/><Relationship Id="rId315" Type="http://schemas.openxmlformats.org/officeDocument/2006/relationships/hyperlink" Target="https://www.tiktok.com/@nmtvlog99/video/6993641859729935642?" TargetMode="External"/><Relationship Id="rId436" Type="http://schemas.openxmlformats.org/officeDocument/2006/relationships/hyperlink" Target="https://www.facebook.com/emkolathienthan/videos/4527306413948969" TargetMode="External"/><Relationship Id="rId314" Type="http://schemas.openxmlformats.org/officeDocument/2006/relationships/hyperlink" Target="https://www.tiktok.com/@nmtvlog99/video/6991811233976569115?" TargetMode="External"/><Relationship Id="rId435" Type="http://schemas.openxmlformats.org/officeDocument/2006/relationships/hyperlink" Target="https://www.youtube.com/watch?v=mbkZ0sMv30M" TargetMode="External"/><Relationship Id="rId313" Type="http://schemas.openxmlformats.org/officeDocument/2006/relationships/hyperlink" Target="https://www.tiktok.com/@nmtvlog99/video/6991052269428935963?" TargetMode="External"/><Relationship Id="rId434" Type="http://schemas.openxmlformats.org/officeDocument/2006/relationships/hyperlink" Target="https://www.facebook.com/lebaodeptrai/videos/1318471708548999" TargetMode="External"/><Relationship Id="rId319" Type="http://schemas.openxmlformats.org/officeDocument/2006/relationships/hyperlink" Target="https://www.tiktok.com/@nmtvlog99/video/6997369506733509915?" TargetMode="External"/><Relationship Id="rId318" Type="http://schemas.openxmlformats.org/officeDocument/2006/relationships/hyperlink" Target="https://www.tiktok.com/@nmtvlog99/video/6996992360877952283?" TargetMode="External"/><Relationship Id="rId439" Type="http://schemas.openxmlformats.org/officeDocument/2006/relationships/hyperlink" Target="https://www.tiktok.com/@haxinhgai..95/video/6989787486281059610?fbclid=IwAR3He4bA6prCvdaABHfFgfPqhI7SNETeJewnkaDEkIxCTW9mOsGXJMKVKPk&amp;is_copy_url=0&amp;is_from_webapp=v1&amp;sender_device=pc&amp;sender_web_id=6983582057944237570" TargetMode="External"/><Relationship Id="rId317" Type="http://schemas.openxmlformats.org/officeDocument/2006/relationships/hyperlink" Target="https://www.tiktok.com/@nmtvlog99/video/6995136571754188058?" TargetMode="External"/><Relationship Id="rId438" Type="http://schemas.openxmlformats.org/officeDocument/2006/relationships/hyperlink" Target="https://www.facebook.com/hatrinh.ha95/videos/1504019759960611" TargetMode="External"/><Relationship Id="rId312" Type="http://schemas.openxmlformats.org/officeDocument/2006/relationships/hyperlink" Target="https://www.tiktok.com/@nmtvlog99/video/6990678789277715738?" TargetMode="External"/><Relationship Id="rId433" Type="http://schemas.openxmlformats.org/officeDocument/2006/relationships/hyperlink" Target="https://www.tiktok.com/@lebaoofficial/video/6993653361807527194?lang=vi-VN&amp;is_copy_url=0&amp;is_from_webapp=v1&amp;sender_device=pc&amp;sender_web_id=6983582057944237570" TargetMode="External"/><Relationship Id="rId311" Type="http://schemas.openxmlformats.org/officeDocument/2006/relationships/hyperlink" Target="https://www.tiktok.com/@chuyengiasongao/video/6996869146541591834?" TargetMode="External"/><Relationship Id="rId432" Type="http://schemas.openxmlformats.org/officeDocument/2006/relationships/hyperlink" Target="https://www.tiktok.com/@lebaoofficial/video/6993652670733061403?lang=vi-VN&amp;is_copy_url=0&amp;is_from_webapp=v1&amp;sender_device=pc&amp;sender_web_id=6983582057944237570" TargetMode="External"/><Relationship Id="rId310" Type="http://schemas.openxmlformats.org/officeDocument/2006/relationships/hyperlink" Target="https://www.tiktok.com/@chuyengiasongao/video/6996125799757679898?" TargetMode="External"/><Relationship Id="rId431" Type="http://schemas.openxmlformats.org/officeDocument/2006/relationships/hyperlink" Target="https://www.tiktok.com/@tranvan0407/video/6995506350570671386?lang=vi-VN&amp;is_copy_url=0&amp;is_from_webapp=v1&amp;sender_device=pc&amp;sender_web_id=6983582057944237570" TargetMode="External"/><Relationship Id="rId430" Type="http://schemas.openxmlformats.org/officeDocument/2006/relationships/hyperlink" Target="https://www.tiktok.com/@dinhtrangthao03/video/6995875035734936858?lang=vi-VN&amp;is_copy_url=0&amp;is_from_webapp=v1&amp;sender_device=pc&amp;sender_web_id=6983582057944237570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hermymeow/videos/359543159133729" TargetMode="External"/><Relationship Id="rId194" Type="http://schemas.openxmlformats.org/officeDocument/2006/relationships/hyperlink" Target="https://www.facebook.com/ky.ky.5209/videos/408310450908568" TargetMode="External"/><Relationship Id="rId193" Type="http://schemas.openxmlformats.org/officeDocument/2006/relationships/hyperlink" Target="https://www.facebook.com/loanvu1312/videos/1131153590627327" TargetMode="External"/><Relationship Id="rId192" Type="http://schemas.openxmlformats.org/officeDocument/2006/relationships/hyperlink" Target="https://www.tiktok.com/@tuyen270394/video/6990658832435383578?_=&amp;is_copy_url=0&amp;is_from_webapp=v1&amp;sender_device=pc&amp;sender_web_id=6908929983101486593" TargetMode="External"/><Relationship Id="rId191" Type="http://schemas.openxmlformats.org/officeDocument/2006/relationships/hyperlink" Target="https://www.facebook.com/100003131800673/videos/pcb.4188330314614654/196003532541466" TargetMode="External"/><Relationship Id="rId187" Type="http://schemas.openxmlformats.org/officeDocument/2006/relationships/hyperlink" Target="https://www.facebook.com/chinchinnnnnn/videos/852336042329106/" TargetMode="External"/><Relationship Id="rId186" Type="http://schemas.openxmlformats.org/officeDocument/2006/relationships/hyperlink" Target="https://www.facebook.com/100028527371304/videos/251237473483630" TargetMode="External"/><Relationship Id="rId185" Type="http://schemas.openxmlformats.org/officeDocument/2006/relationships/hyperlink" Target="https://www.facebook.com/moclanla/videos/1895705157290436" TargetMode="External"/><Relationship Id="rId184" Type="http://schemas.openxmlformats.org/officeDocument/2006/relationships/hyperlink" Target="https://www.instagram.com/p/CSRS1MgJjwA/?utm_medium=copy_link" TargetMode="External"/><Relationship Id="rId189" Type="http://schemas.openxmlformats.org/officeDocument/2006/relationships/hyperlink" Target="https://www.tiktok.com/@thinhnguyenart_official/video/6996063302455545089?is_copy_url=0&amp;is_from_webapp=v1&amp;sender_device=pc&amp;sender_web_id=6908929983101486593" TargetMode="External"/><Relationship Id="rId188" Type="http://schemas.openxmlformats.org/officeDocument/2006/relationships/hyperlink" Target="https://www.tiktok.com/@thinhnguyenart_official/video/6990648910502956314?is_copy_url=0&amp;is_from_webapp=v1&amp;sender_device=pc&amp;sender_web_id=6908929983101486593" TargetMode="External"/><Relationship Id="rId183" Type="http://schemas.openxmlformats.org/officeDocument/2006/relationships/hyperlink" Target="https://www.facebook.com/dangducdai69/videos/1050642239009275" TargetMode="External"/><Relationship Id="rId182" Type="http://schemas.openxmlformats.org/officeDocument/2006/relationships/hyperlink" Target="https://www.tiktok.com/@vietthi.p336/video/6989901173205601562?is_copy_url=0&amp;is_from_webapp=v1&amp;sender_device=pc&amp;sender_web_id=6908929983101486593" TargetMode="External"/><Relationship Id="rId181" Type="http://schemas.openxmlformats.org/officeDocument/2006/relationships/hyperlink" Target="https://www.tiktok.com/@nhquangho17.naau/video/6990704048898837786?lang=vi-VN&amp;is_copy_url=0&amp;is_from_webapp=v1&amp;sender_device=pc&amp;sender_web_id=6908929983101486593" TargetMode="External"/><Relationship Id="rId180" Type="http://schemas.openxmlformats.org/officeDocument/2006/relationships/hyperlink" Target="https://www.tiktok.com/@nhquangho17.naau/video/6989968057737235738?lang=vi-VN&amp;is_copy_url=0&amp;is_from_webapp=v1&amp;sender_device=pc&amp;sender_web_id=6908929983101486593" TargetMode="External"/><Relationship Id="rId176" Type="http://schemas.openxmlformats.org/officeDocument/2006/relationships/hyperlink" Target="https://www.tiktok.com/@behyblack/video/6990660041703509275?is_copy_url=0&amp;is_from_webapp=v1&amp;sender_device=pc&amp;sender_web_id=6908929983101486593" TargetMode="External"/><Relationship Id="rId297" Type="http://schemas.openxmlformats.org/officeDocument/2006/relationships/hyperlink" Target="https://www.tiktok.com/@colycoc/video/6994294319284849921?" TargetMode="External"/><Relationship Id="rId175" Type="http://schemas.openxmlformats.org/officeDocument/2006/relationships/hyperlink" Target="https://www.tiktok.com/@phun.anh/video/6991314600067157275?lang=vi-VN&amp;is_copy_url=0&amp;is_from_webapp=v1&amp;sender_device=pc&amp;sender_web_id=6908929983101486593" TargetMode="External"/><Relationship Id="rId296" Type="http://schemas.openxmlformats.org/officeDocument/2006/relationships/hyperlink" Target="https://www.tiktok.com/@colycoc/video/6992781247902747905?" TargetMode="External"/><Relationship Id="rId174" Type="http://schemas.openxmlformats.org/officeDocument/2006/relationships/hyperlink" Target="https://www.tiktok.com/@phun.anh/video/6990941519582711067?lang=vi-VN&amp;is_copy_url=0&amp;is_from_webapp=v1&amp;sender_device=pc&amp;sender_web_id=6908929983101486593" TargetMode="External"/><Relationship Id="rId295" Type="http://schemas.openxmlformats.org/officeDocument/2006/relationships/hyperlink" Target="https://www.tiktok.com/@colycoc/video/6992534879728667905?" TargetMode="External"/><Relationship Id="rId173" Type="http://schemas.openxmlformats.org/officeDocument/2006/relationships/hyperlink" Target="https://www.tiktok.com/@phun.anh/video/6990197712285175066?lang=vi-VN&amp;is_copy_url=0&amp;is_from_webapp=v1&amp;sender_device=pc&amp;sender_web_id=6908929983101486593" TargetMode="External"/><Relationship Id="rId294" Type="http://schemas.openxmlformats.org/officeDocument/2006/relationships/hyperlink" Target="https://www.tiktok.com/@colycoc/video/6989077386696379649?" TargetMode="External"/><Relationship Id="rId179" Type="http://schemas.openxmlformats.org/officeDocument/2006/relationships/hyperlink" Target="https://www.tiktok.com/@nhquangho17.naau/video/6989607455160356122?lang=vi-VN&amp;is_copy_url=0&amp;is_from_webapp=v1&amp;sender_device=pc&amp;sender_web_id=6908929983101486593" TargetMode="External"/><Relationship Id="rId178" Type="http://schemas.openxmlformats.org/officeDocument/2006/relationships/hyperlink" Target="https://www.tiktok.com/@nhut26march/video/6992182101940374785?is_copy_url=0&amp;is_from_webapp=v1&amp;sender_device=pc&amp;sender_web_id=6908929983101486593" TargetMode="External"/><Relationship Id="rId299" Type="http://schemas.openxmlformats.org/officeDocument/2006/relationships/hyperlink" Target="https://www.tiktok.com/@kiethatinh.2000/video/6990946182860180762?" TargetMode="External"/><Relationship Id="rId177" Type="http://schemas.openxmlformats.org/officeDocument/2006/relationships/hyperlink" Target="https://www.tiktok.com/@hoduyphuong/video/6990936348362411291?_=&amp;is_copy_url=0&amp;is_from_webapp=v1&amp;sender_device=pc&amp;sender_web_id=6908929983101486593" TargetMode="External"/><Relationship Id="rId298" Type="http://schemas.openxmlformats.org/officeDocument/2006/relationships/hyperlink" Target="https://www.tiktok.com/@colycoc/video/6995769496266886401?" TargetMode="External"/><Relationship Id="rId198" Type="http://schemas.openxmlformats.org/officeDocument/2006/relationships/hyperlink" Target="https://www.tiktok.com/@hoang_giatuofficial/video/6990675800861199643?is_copy_url=0&amp;is_from_webapp=v1&amp;sender_device=pc&amp;sender_web_id=6908929983101486593" TargetMode="External"/><Relationship Id="rId197" Type="http://schemas.openxmlformats.org/officeDocument/2006/relationships/hyperlink" Target="https://www.tiktok.com/@hoang_giatuofficial/video/6988835648597658906?is_copy_url=0&amp;is_from_webapp=v1&amp;sender_device=pc&amp;sender_web_id=6908929983101486593" TargetMode="External"/><Relationship Id="rId196" Type="http://schemas.openxmlformats.org/officeDocument/2006/relationships/hyperlink" Target="https://www.tiktok.com/@hat590/video/6990332390979702042?is_copy_url=0&amp;is_from_webapp=v1&amp;sender_device=pc&amp;sender_web_id=6908929983101486593" TargetMode="External"/><Relationship Id="rId195" Type="http://schemas.openxmlformats.org/officeDocument/2006/relationships/hyperlink" Target="https://www.tiktok.com/@hat590/video/6989576551998262555?is_copy_url=0&amp;is_from_webapp=v1&amp;sender_device=pc&amp;sender_web_id=6908929983101486593" TargetMode="External"/><Relationship Id="rId199" Type="http://schemas.openxmlformats.org/officeDocument/2006/relationships/hyperlink" Target="https://www.facebook.com/AnhTu.BoysCOCA/videos/499013747831709" TargetMode="External"/><Relationship Id="rId150" Type="http://schemas.openxmlformats.org/officeDocument/2006/relationships/hyperlink" Target="https://www.tiktok.com/@tieungao1907/video/6989825215723244827?" TargetMode="External"/><Relationship Id="rId271" Type="http://schemas.openxmlformats.org/officeDocument/2006/relationships/hyperlink" Target="https://www.tiktok.com/@yona.224/video/6991050118011063579?" TargetMode="External"/><Relationship Id="rId392" Type="http://schemas.openxmlformats.org/officeDocument/2006/relationships/hyperlink" Target="https://www.tiktok.com/@phaminhiu/video/6994772365624298778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70" Type="http://schemas.openxmlformats.org/officeDocument/2006/relationships/hyperlink" Target="https://www.tiktok.com/@yona.224/video/6990667503278116122?" TargetMode="External"/><Relationship Id="rId391" Type="http://schemas.openxmlformats.org/officeDocument/2006/relationships/hyperlink" Target="https://www.tiktok.com/@phaminhiu/video/6993330854671961371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90" Type="http://schemas.openxmlformats.org/officeDocument/2006/relationships/hyperlink" Target="https://www.tiktok.com/@phaminhiu/video/6992489165136989467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" Type="http://schemas.openxmlformats.org/officeDocument/2006/relationships/hyperlink" Target="https://www.facebook.com/nguyen.huyenthu.716/videos/2920449061508309" TargetMode="External"/><Relationship Id="rId2" Type="http://schemas.openxmlformats.org/officeDocument/2006/relationships/hyperlink" Target="https://www.tiktok.com/@nhyyng/video/6987713962817228059?" TargetMode="External"/><Relationship Id="rId3" Type="http://schemas.openxmlformats.org/officeDocument/2006/relationships/hyperlink" Target="https://www.tiktok.com/@giangdeyy0/video/6986251851104554266?" TargetMode="External"/><Relationship Id="rId149" Type="http://schemas.openxmlformats.org/officeDocument/2006/relationships/hyperlink" Target="https://www.tiktok.com/@tieungao1907/video/6989560534291008794?" TargetMode="External"/><Relationship Id="rId4" Type="http://schemas.openxmlformats.org/officeDocument/2006/relationships/hyperlink" Target="https://www.tiktok.com/@giangdeyy0/video/6987221320555711770?" TargetMode="External"/><Relationship Id="rId148" Type="http://schemas.openxmlformats.org/officeDocument/2006/relationships/hyperlink" Target="https://www.tiktok.com/ZGJAJB8Ue/" TargetMode="External"/><Relationship Id="rId269" Type="http://schemas.openxmlformats.org/officeDocument/2006/relationships/hyperlink" Target="https://www.tiktok.com/@yona.224/video/6990191602945903899?" TargetMode="External"/><Relationship Id="rId9" Type="http://schemas.openxmlformats.org/officeDocument/2006/relationships/hyperlink" Target="https://www.tiktok.com/@thianguyen2001/video/6984759162777439514?" TargetMode="External"/><Relationship Id="rId143" Type="http://schemas.openxmlformats.org/officeDocument/2006/relationships/hyperlink" Target="https://www.tiktok.com/@duchien118/video/6988078772960382235?" TargetMode="External"/><Relationship Id="rId264" Type="http://schemas.openxmlformats.org/officeDocument/2006/relationships/hyperlink" Target="https://www.tiktok.com/@ngannt212/video/6994281578071444738?is_copy_url=0&amp;is_from_webapp=v1&amp;sender_device=pc&amp;sender_web_id=6908929983101486593" TargetMode="External"/><Relationship Id="rId385" Type="http://schemas.openxmlformats.org/officeDocument/2006/relationships/hyperlink" Target="https://www.tiktok.com/@hht0911/video/6988773712031976730?lang=vi-VN&amp;is_copy_url=0&amp;is_from_webapp=v1&amp;sender_device=pc&amp;sender_web_id=6983582057944237570" TargetMode="External"/><Relationship Id="rId142" Type="http://schemas.openxmlformats.org/officeDocument/2006/relationships/hyperlink" Target="https://www.tiktok.com/@hoangtiendong/video/6988323926350892314?" TargetMode="External"/><Relationship Id="rId263" Type="http://schemas.openxmlformats.org/officeDocument/2006/relationships/hyperlink" Target="https://www.tiktok.com/@chutieuhan10012001/video/6994390473704017178?is_copy_url=0&amp;is_from_webapp=v1&amp;sender_device=pc&amp;sender_web_id=6908929983101486593" TargetMode="External"/><Relationship Id="rId384" Type="http://schemas.openxmlformats.org/officeDocument/2006/relationships/hyperlink" Target="https://www.tiktok.com/@meous99/video/6997343418158419227?" TargetMode="External"/><Relationship Id="rId141" Type="http://schemas.openxmlformats.org/officeDocument/2006/relationships/hyperlink" Target="https://www.tiktok.com/@letrunghoang/video/6988442276729015579?" TargetMode="External"/><Relationship Id="rId262" Type="http://schemas.openxmlformats.org/officeDocument/2006/relationships/hyperlink" Target="https://www.tiktok.com/@dienmy_16th2/video/6989929177898110235?lang=vi-VN&amp;fbclid=IwAR2DIlZqcWCtP2YCucUKJnX-ychRUM6elc1sc2kkvie8Ur2WFJlaTg3C7yQ&amp;is_copy_url=0&amp;is_from_webapp=v1&amp;sender_device=pc&amp;sender_web_id=6908929983101486593" TargetMode="External"/><Relationship Id="rId383" Type="http://schemas.openxmlformats.org/officeDocument/2006/relationships/hyperlink" Target="https://www.tiktok.com/@tuan_bo/video/6992448854272511259?" TargetMode="External"/><Relationship Id="rId140" Type="http://schemas.openxmlformats.org/officeDocument/2006/relationships/hyperlink" Target="https://www.tiktok.com/@letrunghoang/video/6987701011628428570?" TargetMode="External"/><Relationship Id="rId261" Type="http://schemas.openxmlformats.org/officeDocument/2006/relationships/hyperlink" Target="https://www.tiktok.com/@trangchun186/video/6996262197651410203?lang=vi-VN&amp;is_copy_url=0&amp;is_from_webapp=v1&amp;sender_device=pc&amp;sender_web_id=6908929983101486593" TargetMode="External"/><Relationship Id="rId382" Type="http://schemas.openxmlformats.org/officeDocument/2006/relationships/hyperlink" Target="https://www.tiktok.com/@tuan_bo/video/6991701622132952346?" TargetMode="External"/><Relationship Id="rId5" Type="http://schemas.openxmlformats.org/officeDocument/2006/relationships/hyperlink" Target="https://www.tiktok.com/@giangdeyy0/video/6987288042763504922?" TargetMode="External"/><Relationship Id="rId147" Type="http://schemas.openxmlformats.org/officeDocument/2006/relationships/hyperlink" Target="https://www.tiktok.com/@minhnhatdzvcl/video/6989563123632000283?" TargetMode="External"/><Relationship Id="rId268" Type="http://schemas.openxmlformats.org/officeDocument/2006/relationships/hyperlink" Target="https://www.tiktok.com/@yona.224/video/6989929438775479579?" TargetMode="External"/><Relationship Id="rId389" Type="http://schemas.openxmlformats.org/officeDocument/2006/relationships/hyperlink" Target="https://www.tiktok.com/@phaminhiu/video/6991717039761149210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6" Type="http://schemas.openxmlformats.org/officeDocument/2006/relationships/hyperlink" Target="https://www.tiktok.com/@giangdeyy0/video/6987566550714797338?" TargetMode="External"/><Relationship Id="rId146" Type="http://schemas.openxmlformats.org/officeDocument/2006/relationships/hyperlink" Target="https://www.tiktok.com/@thanhdolphin03082000/video/6988845269173554458?" TargetMode="External"/><Relationship Id="rId267" Type="http://schemas.openxmlformats.org/officeDocument/2006/relationships/hyperlink" Target="https://www.tiktok.com/@yona.224/video/6989560712561462554?" TargetMode="External"/><Relationship Id="rId388" Type="http://schemas.openxmlformats.org/officeDocument/2006/relationships/hyperlink" Target="https://www.tiktok.com/@phaminhiu/video/6991455696688581915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7" Type="http://schemas.openxmlformats.org/officeDocument/2006/relationships/hyperlink" Target="https://www.tiktok.com/@thuyngann_16/video/6988304363961765146?" TargetMode="External"/><Relationship Id="rId145" Type="http://schemas.openxmlformats.org/officeDocument/2006/relationships/hyperlink" Target="https://www.tiktok.com/@xuanduong_0403/video/6988463245187222810?" TargetMode="External"/><Relationship Id="rId266" Type="http://schemas.openxmlformats.org/officeDocument/2006/relationships/hyperlink" Target="https://www.tiktok.com/@phucanhh_/video/6997609518356073754?_d=secCgYIASAHKAESMgowT4f9CfHjAxDJxqNULf511uAHPYxqwOF7Y0scVghjMBAZqAPAdmMdKvqqNjawhU5rGgA%3D&amp;checksum=7c6e7b0a81db4eac0280943e3d9a9bffe01c3adc0d082a8d64f048fb04f9bb0e&amp;language=vi&amp;mid=6997609513255766811&amp;preview_pb=0&amp;region=VN&amp;sec_user_id=MS4wLjABAAAAzih8nWx5fp_M_9ibbXdWDHTKo2DTeA7H7r1IJOz6Dyg&amp;share_app_id=1180&amp;share_item_id=6997609518356073754&amp;share_link_id=30629CE4-4F98-4FB3-BD0B-92B7D9A5C78B&amp;source=h5_t&amp;timestamp=1629257985&amp;tt_from=copy&amp;u_code=i28e7mlj&amp;user_id=61638435651&amp;utm_campaign=client_share&amp;utm_medium=ios&amp;utm_source=copy&amp;_r=1&amp;is_copy_url=0&amp;is_from_webapp=v1&amp;sender_device=pc&amp;sender_web_id=6908929983101486593" TargetMode="External"/><Relationship Id="rId387" Type="http://schemas.openxmlformats.org/officeDocument/2006/relationships/hyperlink" Target="https://www.tiktok.com/@phaminhiu/video/6991387276009852187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8" Type="http://schemas.openxmlformats.org/officeDocument/2006/relationships/hyperlink" Target="https://www.tiktok.com/@shoppingfamily_/video/6985609926110432538?" TargetMode="External"/><Relationship Id="rId144" Type="http://schemas.openxmlformats.org/officeDocument/2006/relationships/hyperlink" Target="https://www.tiktok.com/@duchien118/video/6988762606756498714?" TargetMode="External"/><Relationship Id="rId265" Type="http://schemas.openxmlformats.org/officeDocument/2006/relationships/hyperlink" Target="https://www.facebook.com/nah.anh.1428/videos/985158548928141" TargetMode="External"/><Relationship Id="rId386" Type="http://schemas.openxmlformats.org/officeDocument/2006/relationships/hyperlink" Target="https://www.tiktok.com/@hht0911/video/6991815536543796507?lang=vi-VN&amp;is_copy_url=0&amp;is_from_webapp=v1&amp;sender_device=pc&amp;sender_web_id=6983582057944237570" TargetMode="External"/><Relationship Id="rId260" Type="http://schemas.openxmlformats.org/officeDocument/2006/relationships/hyperlink" Target="https://www.tiktok.com/@trangchun186/video/6994412546321124634?lang=vi-VN&amp;is_copy_url=0&amp;is_from_webapp=v1&amp;sender_device=pc&amp;sender_web_id=6908929983101486593" TargetMode="External"/><Relationship Id="rId381" Type="http://schemas.openxmlformats.org/officeDocument/2006/relationships/hyperlink" Target="https://www.tiktok.com/@quynh2001/video/6995363443029167387?" TargetMode="External"/><Relationship Id="rId380" Type="http://schemas.openxmlformats.org/officeDocument/2006/relationships/hyperlink" Target="https://www.youtube.com/watch?v=68YcSMctC-A&amp;t=14s" TargetMode="External"/><Relationship Id="rId139" Type="http://schemas.openxmlformats.org/officeDocument/2006/relationships/hyperlink" Target="https://www.tiktok.com/@vansat97/video/6988390846999596314?_" TargetMode="External"/><Relationship Id="rId138" Type="http://schemas.openxmlformats.org/officeDocument/2006/relationships/hyperlink" Target="https://www.tiktok.com/@meous99/video/6987701467926891802?" TargetMode="External"/><Relationship Id="rId259" Type="http://schemas.openxmlformats.org/officeDocument/2006/relationships/hyperlink" Target="https://www.tiktok.com/@kembanhque/video/6993663818228452634?is_copy_url=0&amp;is_from_webapp=v1&amp;sender_device=pc&amp;sender_web_id=6908929983101486593" TargetMode="External"/><Relationship Id="rId137" Type="http://schemas.openxmlformats.org/officeDocument/2006/relationships/hyperlink" Target="https://www.facebook.com/story.php?story_fbid=2107821152726732&amp;id=100004966026889" TargetMode="External"/><Relationship Id="rId258" Type="http://schemas.openxmlformats.org/officeDocument/2006/relationships/hyperlink" Target="https://www.tiktok.com/@kembanhque/video/6989953329786817819?is_copy_url=0&amp;is_from_webapp=v1&amp;sender_device=pc&amp;sender_web_id=6908929983101486593" TargetMode="External"/><Relationship Id="rId379" Type="http://schemas.openxmlformats.org/officeDocument/2006/relationships/hyperlink" Target="https://www.tiktok.com/@minhnhatdzvcl/video/6993668410890521882?" TargetMode="External"/><Relationship Id="rId132" Type="http://schemas.openxmlformats.org/officeDocument/2006/relationships/hyperlink" Target="https://www.facebook.com/100013229984459/posts/1252675021850152/?d=n" TargetMode="External"/><Relationship Id="rId253" Type="http://schemas.openxmlformats.org/officeDocument/2006/relationships/hyperlink" Target="https://www.tiktok.com/@chungtunn/video/6992176639752801562?lang=vi-VN&amp;is_copy_url=0&amp;is_from_webapp=v1&amp;sender_device=pc&amp;sender_web_id=6908929983101486593" TargetMode="External"/><Relationship Id="rId374" Type="http://schemas.openxmlformats.org/officeDocument/2006/relationships/hyperlink" Target="https://www.facebook.com/tieungaocute/videos/893728304547576" TargetMode="External"/><Relationship Id="rId495" Type="http://schemas.openxmlformats.org/officeDocument/2006/relationships/hyperlink" Target="https://www.instagram.com/reel/CR1OPZPDuaP/" TargetMode="External"/><Relationship Id="rId131" Type="http://schemas.openxmlformats.org/officeDocument/2006/relationships/hyperlink" Target="https://www.tiktok.com/@hoangthi_phuongthao/video/6984748327371820314?" TargetMode="External"/><Relationship Id="rId252" Type="http://schemas.openxmlformats.org/officeDocument/2006/relationships/hyperlink" Target="https://www.tiktok.com/@vykhang0103/video/6994787192748969243?lang=vi-VN&amp;is_copy_url=0&amp;is_from_webapp=v1&amp;sender_device=pc&amp;sender_web_id=6908929983101486593" TargetMode="External"/><Relationship Id="rId373" Type="http://schemas.openxmlformats.org/officeDocument/2006/relationships/hyperlink" Target="https://www.tiktok.com/@tieungao1907/video/6996503654287068442?" TargetMode="External"/><Relationship Id="rId494" Type="http://schemas.openxmlformats.org/officeDocument/2006/relationships/hyperlink" Target="https://www.instagram.com/reel/CRydlrjDHH1/" TargetMode="External"/><Relationship Id="rId130" Type="http://schemas.openxmlformats.org/officeDocument/2006/relationships/hyperlink" Target="https://www.facebook.com/100067564274854/posts/143402697921872/?d=n" TargetMode="External"/><Relationship Id="rId251" Type="http://schemas.openxmlformats.org/officeDocument/2006/relationships/hyperlink" Target="https://www.tiktok.com/@choul2002/video/6995145638467882267?lang=vi-VN&amp;is_copy_url=0&amp;is_from_webapp=v1&amp;sender_device=pc&amp;sender_web_id=6908929983101486593" TargetMode="External"/><Relationship Id="rId372" Type="http://schemas.openxmlformats.org/officeDocument/2006/relationships/hyperlink" Target="https://www.tiktok.com/@tieungao1907/video/6993907369440759067?" TargetMode="External"/><Relationship Id="rId493" Type="http://schemas.openxmlformats.org/officeDocument/2006/relationships/hyperlink" Target="https://www.tiktok.com/@toanprdsofficial/video/6989587951852293402?is_copy_url=0&amp;is_from_webapp=v1&amp;sender_device=pc&amp;sender_web_id=6908929983101486593" TargetMode="External"/><Relationship Id="rId250" Type="http://schemas.openxmlformats.org/officeDocument/2006/relationships/hyperlink" Target="https://www.tiktok.com/@choul2002/video/6994770713899044123?lang=vi-VN&amp;is_copy_url=0&amp;is_from_webapp=v1&amp;sender_device=pc&amp;sender_web_id=6908929983101486593" TargetMode="External"/><Relationship Id="rId371" Type="http://schemas.openxmlformats.org/officeDocument/2006/relationships/hyperlink" Target="https://www.tiktok.com/@tieungao1907/video/6993539577990450459?" TargetMode="External"/><Relationship Id="rId492" Type="http://schemas.openxmlformats.org/officeDocument/2006/relationships/hyperlink" Target="https://www.tiktok.com/@toanprdsofficial/video/6989206587835419931?is_copy_url=0&amp;is_from_webapp=v1&amp;sender_device=pc&amp;sender_web_id=6908929983101486593" TargetMode="External"/><Relationship Id="rId136" Type="http://schemas.openxmlformats.org/officeDocument/2006/relationships/hyperlink" Target="https://www.facebook.com/vuthiha89/posts/1956834161136593" TargetMode="External"/><Relationship Id="rId257" Type="http://schemas.openxmlformats.org/officeDocument/2006/relationships/hyperlink" Target="https://www.tiktok.com/@nhungtinhyeu/video/6992410592246107418?lang=vi-VN&amp;is_copy_url=0&amp;is_from_webapp=v1&amp;sender_device=pc&amp;sender_web_id=6908929983101486593" TargetMode="External"/><Relationship Id="rId378" Type="http://schemas.openxmlformats.org/officeDocument/2006/relationships/hyperlink" Target="https://www.tiktok.com/@minhnhatdzvcl/video/6993280233017330971?" TargetMode="External"/><Relationship Id="rId499" Type="http://schemas.openxmlformats.org/officeDocument/2006/relationships/hyperlink" Target="https://www.tiktok.com/@tieungao1907/video/6989560534291008794?" TargetMode="External"/><Relationship Id="rId135" Type="http://schemas.openxmlformats.org/officeDocument/2006/relationships/hyperlink" Target="https://www.tiktok.com/@kiethatinh.2000/video/6988459710299131162?" TargetMode="External"/><Relationship Id="rId256" Type="http://schemas.openxmlformats.org/officeDocument/2006/relationships/hyperlink" Target="https://www.tiktok.com/@nhungtinhyeu/video/6991429221809720603?lang=vi-VN&amp;is_copy_url=0&amp;is_from_webapp=v1&amp;sender_device=pc&amp;sender_web_id=6908929983101486593" TargetMode="External"/><Relationship Id="rId377" Type="http://schemas.openxmlformats.org/officeDocument/2006/relationships/hyperlink" Target="https://www.tiktok.com/@minhnhatdzvcl/video/6992799213088263451?" TargetMode="External"/><Relationship Id="rId498" Type="http://schemas.openxmlformats.org/officeDocument/2006/relationships/hyperlink" Target="https://www.tiktok.com/@minhnhatdzvcl/video/6989563123632000283?" TargetMode="External"/><Relationship Id="rId134" Type="http://schemas.openxmlformats.org/officeDocument/2006/relationships/hyperlink" Target="https://www.tiktok.com/@haiphongphoto.x/video/6987339900899036443" TargetMode="External"/><Relationship Id="rId255" Type="http://schemas.openxmlformats.org/officeDocument/2006/relationships/hyperlink" Target="https://www.tiktok.com/@fit.kiss/video/6989147350895840538?lang=vi-VN&amp;is_copy_url=0&amp;is_from_webapp=v1&amp;sender_device=pc&amp;sender_web_id=6908929983101486593" TargetMode="External"/><Relationship Id="rId376" Type="http://schemas.openxmlformats.org/officeDocument/2006/relationships/hyperlink" Target="https://www.tiktok.com/@minhnhatdzvcl/video/6991428643280964890?" TargetMode="External"/><Relationship Id="rId497" Type="http://schemas.openxmlformats.org/officeDocument/2006/relationships/hyperlink" Target="https://www.tiktok.com/@baduyyyy/video/6989206445728238874?" TargetMode="External"/><Relationship Id="rId133" Type="http://schemas.openxmlformats.org/officeDocument/2006/relationships/hyperlink" Target="https://www.instagram.com/p/CRrBP9HFtOj/" TargetMode="External"/><Relationship Id="rId254" Type="http://schemas.openxmlformats.org/officeDocument/2006/relationships/hyperlink" Target="https://www.tiktok.com/@anhbodoi77/video/6986854662611733786?lang=vi-VN&amp;is_copy_url=0&amp;is_from_webapp=v1&amp;sender_device=pc&amp;sender_web_id=6908929983101486593" TargetMode="External"/><Relationship Id="rId375" Type="http://schemas.openxmlformats.org/officeDocument/2006/relationships/hyperlink" Target="https://www.facebook.com/tieungaocute/videos/283351293556690" TargetMode="External"/><Relationship Id="rId496" Type="http://schemas.openxmlformats.org/officeDocument/2006/relationships/hyperlink" Target="https://www.facebook.com/106896074362727/videos/557778102079599" TargetMode="External"/><Relationship Id="rId172" Type="http://schemas.openxmlformats.org/officeDocument/2006/relationships/hyperlink" Target="https://www.tiktok.com/@hth.1909/video/6992902618666257690?l=&amp;is_copy_url=0&amp;is_from_webapp=v1&amp;sender_device=pc&amp;sender_web_id=6908929983101486593" TargetMode="External"/><Relationship Id="rId293" Type="http://schemas.openxmlformats.org/officeDocument/2006/relationships/hyperlink" Target="https://www.tiktok.com/@quely94/video/6989453718311669019??" TargetMode="External"/><Relationship Id="rId171" Type="http://schemas.openxmlformats.org/officeDocument/2006/relationships/hyperlink" Target="https://www.tiktok.com/@hth.1909/video/6992881740876434714?l=&amp;is_copy_url=0&amp;is_from_webapp=v1&amp;sender_device=pc&amp;sender_web_id=6908929983101486593" TargetMode="External"/><Relationship Id="rId292" Type="http://schemas.openxmlformats.org/officeDocument/2006/relationships/hyperlink" Target="https://www.tiktok.com/@phuonganh260499/video/6996517746364239131?" TargetMode="External"/><Relationship Id="rId170" Type="http://schemas.openxmlformats.org/officeDocument/2006/relationships/hyperlink" Target="https://www.tiktok.com/@phandactoan/video/6993306195180129562?is_copy_url=0&amp;is_from_webapp=v1&amp;sender_device=pc&amp;sender_web_id=6908929983101486593" TargetMode="External"/><Relationship Id="rId291" Type="http://schemas.openxmlformats.org/officeDocument/2006/relationships/hyperlink" Target="https://www.tiktok.com/@phuonganh260499/video/6995391462271651098?" TargetMode="External"/><Relationship Id="rId290" Type="http://schemas.openxmlformats.org/officeDocument/2006/relationships/hyperlink" Target="https://www.tiktok.com/@phuonganh260499/video/6993907259147324698?" TargetMode="External"/><Relationship Id="rId165" Type="http://schemas.openxmlformats.org/officeDocument/2006/relationships/hyperlink" Target="https://www.tiktok.com/@anhthuyet/video/6990303415523937563?" TargetMode="External"/><Relationship Id="rId286" Type="http://schemas.openxmlformats.org/officeDocument/2006/relationships/hyperlink" Target="https://www.tiktok.com/@phuonganh260499/video/6990197559016967450?" TargetMode="External"/><Relationship Id="rId164" Type="http://schemas.openxmlformats.org/officeDocument/2006/relationships/hyperlink" Target="https://www.tiktok.com/@cu_bo32/video/6991296623758363931?" TargetMode="External"/><Relationship Id="rId285" Type="http://schemas.openxmlformats.org/officeDocument/2006/relationships/hyperlink" Target="https://www.tiktok.com/@duongvayen11820/video/6996241475579251995?" TargetMode="External"/><Relationship Id="rId163" Type="http://schemas.openxmlformats.org/officeDocument/2006/relationships/hyperlink" Target="https://www.tiktok.com/@cu_bo32/video/6990337919793810715?" TargetMode="External"/><Relationship Id="rId284" Type="http://schemas.openxmlformats.org/officeDocument/2006/relationships/hyperlink" Target="https://www.tiktok.com/@duongvayen11820/video/6989197488074853659?" TargetMode="External"/><Relationship Id="rId162" Type="http://schemas.openxmlformats.org/officeDocument/2006/relationships/hyperlink" Target="https://www.tiktok.com/@yody_vn/video/6986634121699151106?lang=vi-VN&amp;is_copy_url=1&amp;is_from_webapp=v1" TargetMode="External"/><Relationship Id="rId283" Type="http://schemas.openxmlformats.org/officeDocument/2006/relationships/hyperlink" Target="https://www.facebook.com/camly.thaithi102/videos/367226451587731" TargetMode="External"/><Relationship Id="rId169" Type="http://schemas.openxmlformats.org/officeDocument/2006/relationships/hyperlink" Target="https://www.tiktok.com/@thokiwi98/video/6993677533438905627?is_copy_url=0&amp;is_from_webapp=v1&amp;sender_device=pc&amp;sender_web_id=6908929983101486593" TargetMode="External"/><Relationship Id="rId168" Type="http://schemas.openxmlformats.org/officeDocument/2006/relationships/hyperlink" Target="https://www.tiktok.com/@anhthuyet/video/6992906148156345627?lang=vi-VN&amp;is_copy_url=0&amp;is_from_webapp=v1&amp;sender_device=pc&amp;sender_web_id=6908929983101486593" TargetMode="External"/><Relationship Id="rId289" Type="http://schemas.openxmlformats.org/officeDocument/2006/relationships/hyperlink" Target="https://www.tiktok.com/@phuonganh260499/video/6992796274646846746?" TargetMode="External"/><Relationship Id="rId167" Type="http://schemas.openxmlformats.org/officeDocument/2006/relationships/hyperlink" Target="https://www.tiktok.com/@anhthuyet/video/6991049951816060186?lang=vi-VN&amp;is_copy_url=0&amp;is_from_webapp=v1&amp;sender_device=pc&amp;sender_web_id=6908929983101486593" TargetMode="External"/><Relationship Id="rId288" Type="http://schemas.openxmlformats.org/officeDocument/2006/relationships/hyperlink" Target="https://www.tiktok.com/@phuonganh260499/video/6990938927632813338??" TargetMode="External"/><Relationship Id="rId166" Type="http://schemas.openxmlformats.org/officeDocument/2006/relationships/hyperlink" Target="https://www.tiktok.com/@anhthuyet/video/6990550597258841370?" TargetMode="External"/><Relationship Id="rId287" Type="http://schemas.openxmlformats.org/officeDocument/2006/relationships/hyperlink" Target="https://www.tiktok.com/@phuonganh260499/video/6990624520012942618?" TargetMode="External"/><Relationship Id="rId161" Type="http://schemas.openxmlformats.org/officeDocument/2006/relationships/hyperlink" Target="https://www.tiktok.com/@yody_vn/video/6984773909811842305?lang=vi-VN&amp;is_copy_url=1&amp;is_from_webapp=v1" TargetMode="External"/><Relationship Id="rId282" Type="http://schemas.openxmlformats.org/officeDocument/2006/relationships/hyperlink" Target="https://www.facebook.com/camly.thaithi102/videos/3033190620291553" TargetMode="External"/><Relationship Id="rId160" Type="http://schemas.openxmlformats.org/officeDocument/2006/relationships/hyperlink" Target="https://www.tiktok.com/@yody_vn/video/6984268226435779841?lang=vi-VN&amp;is_copy_url=1&amp;is_from_webapp=v1" TargetMode="External"/><Relationship Id="rId281" Type="http://schemas.openxmlformats.org/officeDocument/2006/relationships/hyperlink" Target="https://www.facebook.com/tuongvi69/videos/905967009996156" TargetMode="External"/><Relationship Id="rId280" Type="http://schemas.openxmlformats.org/officeDocument/2006/relationships/hyperlink" Target="https://www.youtube.com/watch?v=Y5rvBFN-2Uo" TargetMode="External"/><Relationship Id="rId159" Type="http://schemas.openxmlformats.org/officeDocument/2006/relationships/hyperlink" Target="https://www.tiktok.com/@yody_vn/video/6984026159004667163?lang=vi-VN&amp;is_copy_url=1&amp;is_from_webapp=v1" TargetMode="External"/><Relationship Id="rId154" Type="http://schemas.openxmlformats.org/officeDocument/2006/relationships/hyperlink" Target="https://www.tiktok.com/@kmquyen2002/video/6988808733971270939?" TargetMode="External"/><Relationship Id="rId275" Type="http://schemas.openxmlformats.org/officeDocument/2006/relationships/hyperlink" Target="https://www.tiktok.com/@yona.224/video/6996140121351294235?" TargetMode="External"/><Relationship Id="rId396" Type="http://schemas.openxmlformats.org/officeDocument/2006/relationships/hyperlink" Target="https://www.tiktok.com/@jackmafia/video/6990193271825829147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3" Type="http://schemas.openxmlformats.org/officeDocument/2006/relationships/hyperlink" Target="https://www.tiktok.com/@huongmin_/video/6989558933924908314?" TargetMode="External"/><Relationship Id="rId274" Type="http://schemas.openxmlformats.org/officeDocument/2006/relationships/hyperlink" Target="https://www.tiktok.com/@yona.224/video/6994010516196838683?" TargetMode="External"/><Relationship Id="rId395" Type="http://schemas.openxmlformats.org/officeDocument/2006/relationships/hyperlink" Target="https://www.tiktok.com/@jackmafia/video/6989545481214938395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2" Type="http://schemas.openxmlformats.org/officeDocument/2006/relationships/hyperlink" Target="https://www.tiktok.com/@huongmin_/video/6989192981291011355?" TargetMode="External"/><Relationship Id="rId273" Type="http://schemas.openxmlformats.org/officeDocument/2006/relationships/hyperlink" Target="https://www.tiktok.com/@yona.224/video/6991786537444805914?" TargetMode="External"/><Relationship Id="rId394" Type="http://schemas.openxmlformats.org/officeDocument/2006/relationships/hyperlink" Target="https://www.tiktok.com/@jackmafia/video/6989131054196002074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1" Type="http://schemas.openxmlformats.org/officeDocument/2006/relationships/hyperlink" Target="https://www.tiktok.com/@huongmin_/video/6988709465444912410?" TargetMode="External"/><Relationship Id="rId272" Type="http://schemas.openxmlformats.org/officeDocument/2006/relationships/hyperlink" Target="https://www.tiktok.com/@yona.224/video/6991414838811544859?" TargetMode="External"/><Relationship Id="rId393" Type="http://schemas.openxmlformats.org/officeDocument/2006/relationships/hyperlink" Target="https://www.tiktok.com/@phaminhiu/video/6996182943286807834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8" Type="http://schemas.openxmlformats.org/officeDocument/2006/relationships/hyperlink" Target="https://www.tiktok.com/@vuhphuong/video/6989596182729313563?" TargetMode="External"/><Relationship Id="rId279" Type="http://schemas.openxmlformats.org/officeDocument/2006/relationships/hyperlink" Target="https://www.youtube.com/watch?v=JOK8F_u5cFo&amp;t=16s" TargetMode="External"/><Relationship Id="rId157" Type="http://schemas.openxmlformats.org/officeDocument/2006/relationships/hyperlink" Target="https://www.tiktok.com/@vuhphuong/video/6989109459876334875?" TargetMode="External"/><Relationship Id="rId278" Type="http://schemas.openxmlformats.org/officeDocument/2006/relationships/hyperlink" Target="https://www.youtube.com/watch?v=C_OFt2C3irc&amp;t=36s" TargetMode="External"/><Relationship Id="rId399" Type="http://schemas.openxmlformats.org/officeDocument/2006/relationships/hyperlink" Target="https://www.tiktok.com/@diemho2001/video/698919388105308905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6" Type="http://schemas.openxmlformats.org/officeDocument/2006/relationships/hyperlink" Target="https://www.tiktok.com/@vuhphuong/video/6988861339540229403?" TargetMode="External"/><Relationship Id="rId277" Type="http://schemas.openxmlformats.org/officeDocument/2006/relationships/hyperlink" Target="https://www.tiktok.com/@hoaa.hanassii/video/6997354210878704922?" TargetMode="External"/><Relationship Id="rId398" Type="http://schemas.openxmlformats.org/officeDocument/2006/relationships/hyperlink" Target="https://www.tiktok.com/@kimoanh1428/video/6992918738517495067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3582057944237570" TargetMode="External"/><Relationship Id="rId155" Type="http://schemas.openxmlformats.org/officeDocument/2006/relationships/hyperlink" Target="https://www.tiktok.com/@kmquyen2002/video/6989196337422028059?" TargetMode="External"/><Relationship Id="rId276" Type="http://schemas.openxmlformats.org/officeDocument/2006/relationships/hyperlink" Target="https://www.tiktok.com/@hoaa.hanassii/video/6997245756352646426?" TargetMode="External"/><Relationship Id="rId397" Type="http://schemas.openxmlformats.org/officeDocument/2006/relationships/hyperlink" Target="https://www.tiktok.com/@kimoanh1428/video/6992793522759863579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3582057944237570" TargetMode="External"/><Relationship Id="rId40" Type="http://schemas.openxmlformats.org/officeDocument/2006/relationships/hyperlink" Target="https://www.tiktok.com/@moe1m77/video/6986165765447666971?" TargetMode="External"/><Relationship Id="rId42" Type="http://schemas.openxmlformats.org/officeDocument/2006/relationships/hyperlink" Target="https://www.tiktok.com/@hth.1909/video/6987213734360010011?l=&amp;is_copy_url=0&amp;is_from_webapp=v1&amp;sender_device=pc&amp;sender_web_id=6908929983101486593" TargetMode="External"/><Relationship Id="rId41" Type="http://schemas.openxmlformats.org/officeDocument/2006/relationships/hyperlink" Target="https://www.tiktok.com/@phandactoan/video/6989231727549992219?" TargetMode="External"/><Relationship Id="rId44" Type="http://schemas.openxmlformats.org/officeDocument/2006/relationships/hyperlink" Target="https://www.tiktok.com/@phun.anh/video/6985747312458976538?lang=vi-VN&amp;is_copy_url=0&amp;is_from_webapp=v1&amp;sender_device=pc&amp;sender_web_id=6908929983101486593" TargetMode="External"/><Relationship Id="rId43" Type="http://schemas.openxmlformats.org/officeDocument/2006/relationships/hyperlink" Target="https://www.tiktok.com/@hth.1909/video/6987359551163010331?l=&amp;is_copy_url=0&amp;is_from_webapp=v1&amp;sender_device=pc&amp;sender_web_id=6908929983101486593" TargetMode="External"/><Relationship Id="rId46" Type="http://schemas.openxmlformats.org/officeDocument/2006/relationships/hyperlink" Target="https://www.tiktok.com/@phun.anh/video/6987974852133113115?lang=vi-VN&amp;is_copy_url=0&amp;is_from_webapp=v1&amp;sender_device=pc&amp;sender_web_id=6908929983101486593" TargetMode="External"/><Relationship Id="rId45" Type="http://schemas.openxmlformats.org/officeDocument/2006/relationships/hyperlink" Target="https://www.tiktok.com/@phun.anh/video/6987227337142193435?lang=vi-VN&amp;is_copy_url=0&amp;is_from_webapp=v1&amp;sender_device=pc&amp;sender_web_id=6908929983101486593" TargetMode="External"/><Relationship Id="rId503" Type="http://schemas.openxmlformats.org/officeDocument/2006/relationships/hyperlink" Target="https://www.tiktok.com/@kmquyen2002/video/6989196337422028059?" TargetMode="External"/><Relationship Id="rId502" Type="http://schemas.openxmlformats.org/officeDocument/2006/relationships/hyperlink" Target="https://www.tiktok.com/@huongmin_/video/6989558933924908314?" TargetMode="External"/><Relationship Id="rId501" Type="http://schemas.openxmlformats.org/officeDocument/2006/relationships/hyperlink" Target="https://www.tiktok.com/@huongmin_/video/6989192981291011355?" TargetMode="External"/><Relationship Id="rId500" Type="http://schemas.openxmlformats.org/officeDocument/2006/relationships/hyperlink" Target="https://www.tiktok.com/@tieungao1907/video/6989825215723244827?" TargetMode="External"/><Relationship Id="rId506" Type="http://schemas.openxmlformats.org/officeDocument/2006/relationships/drawing" Target="../drawings/drawing5.xml"/><Relationship Id="rId505" Type="http://schemas.openxmlformats.org/officeDocument/2006/relationships/hyperlink" Target="https://www.tiktok.com/@vuhphuong/video/6989596182729313563?" TargetMode="External"/><Relationship Id="rId504" Type="http://schemas.openxmlformats.org/officeDocument/2006/relationships/hyperlink" Target="https://www.tiktok.com/@vuhphuong/video/6989109459876334875?" TargetMode="External"/><Relationship Id="rId48" Type="http://schemas.openxmlformats.org/officeDocument/2006/relationships/hyperlink" Target="https://www.tiktok.com/@sunflizme/video/6986526055104400667?" TargetMode="External"/><Relationship Id="rId47" Type="http://schemas.openxmlformats.org/officeDocument/2006/relationships/hyperlink" Target="https://www.tiktok.com/@sunflizme/video/6985376475360906522?" TargetMode="External"/><Relationship Id="rId49" Type="http://schemas.openxmlformats.org/officeDocument/2006/relationships/hyperlink" Target="https://www.tiktok.com/@sunflizme/video/6986652181176831259?" TargetMode="External"/><Relationship Id="rId31" Type="http://schemas.openxmlformats.org/officeDocument/2006/relationships/hyperlink" Target="https://www.tiktok.com/@anhthuyet/video/6986964324917021979?lang=vi-VN&amp;is_copy_url=0&amp;is_from_webapp=v1&amp;sender_device=pc&amp;sender_web_id=6908929983101486593" TargetMode="External"/><Relationship Id="rId30" Type="http://schemas.openxmlformats.org/officeDocument/2006/relationships/hyperlink" Target="https://www.tiktok.com/@anhthuyet/video/6986225716740377882?lang=vi-VN&amp;is_copy_url=0&amp;is_from_webapp=v1&amp;sender_device=pc&amp;sender_web_id=6908929983101486593" TargetMode="External"/><Relationship Id="rId33" Type="http://schemas.openxmlformats.org/officeDocument/2006/relationships/hyperlink" Target="https://www.tiktok.com/@anhthuyet/video/6987708099490614555?lang=vi-VN&amp;is_copy_url=0&amp;is_from_webapp=v1&amp;sender_device=pc&amp;sender_web_id=6908929983101486593" TargetMode="External"/><Relationship Id="rId32" Type="http://schemas.openxmlformats.org/officeDocument/2006/relationships/hyperlink" Target="https://www.tiktok.com/@anhthuyet/video/6987343268275047707?lang=vi-VN&amp;is_copy_url=0&amp;is_from_webapp=v1&amp;sender_device=pc&amp;sender_web_id=6908929983101486593" TargetMode="External"/><Relationship Id="rId35" Type="http://schemas.openxmlformats.org/officeDocument/2006/relationships/hyperlink" Target="https://www.tiktok.com/@minhthanglv/video/6988824990095363355?" TargetMode="External"/><Relationship Id="rId34" Type="http://schemas.openxmlformats.org/officeDocument/2006/relationships/hyperlink" Target="https://www.tiktok.com/@anhthuyet/video/6983641021737389338?lang=vi-VN&amp;is_copy_url=0&amp;is_from_webapp=v1&amp;sender_device=pc&amp;sender_web_id=6908929983101486593" TargetMode="External"/><Relationship Id="rId37" Type="http://schemas.openxmlformats.org/officeDocument/2006/relationships/hyperlink" Target="https://www.tiktok.com/@thokiwi98/video/6985885789154561307?" TargetMode="External"/><Relationship Id="rId36" Type="http://schemas.openxmlformats.org/officeDocument/2006/relationships/hyperlink" Target="https://www.tiktok.com/@thokiwi98/video/6985501855975542042?" TargetMode="External"/><Relationship Id="rId39" Type="http://schemas.openxmlformats.org/officeDocument/2006/relationships/hyperlink" Target="https://www.tiktok.com/@thokiwi98/video/6987749455248313626?is_copy_url=0&amp;is_from_webapp=v1&amp;sender_device=pc&amp;sender_web_id=6908929983101486593" TargetMode="External"/><Relationship Id="rId38" Type="http://schemas.openxmlformats.org/officeDocument/2006/relationships/hyperlink" Target="https://www.tiktok.com/@thokiwi98/video/6986996760472325403?" TargetMode="External"/><Relationship Id="rId20" Type="http://schemas.openxmlformats.org/officeDocument/2006/relationships/hyperlink" Target="https://www.tiktok.com/@cu_bo32/video/6987339407518960922?lang=vi-VN&amp;is_copy_url=0&amp;is_from_webapp=v1&amp;sender_device=pc&amp;sender_web_id=6908929983101486593" TargetMode="External"/><Relationship Id="rId22" Type="http://schemas.openxmlformats.org/officeDocument/2006/relationships/hyperlink" Target="https://www.tiktok.com/@cu_bo32/video/6988713594175130907?lang=vi-VN&amp;is_copy_url=0&amp;is_from_webapp=v1&amp;sender_device=pc&amp;sender_web_id=6908929983101486593" TargetMode="External"/><Relationship Id="rId21" Type="http://schemas.openxmlformats.org/officeDocument/2006/relationships/hyperlink" Target="https://www.tiktok.com/@cu_bo32/video/6987989671120768283?lang=vi-VN&amp;is_copy_url=0&amp;is_from_webapp=v1&amp;sender_device=pc&amp;sender_web_id=6908929983101486593" TargetMode="External"/><Relationship Id="rId24" Type="http://schemas.openxmlformats.org/officeDocument/2006/relationships/hyperlink" Target="https://www.tiktok.com/@mai_xuan_son/video/6985395217721675035?lang=vi-VN&amp;is_copy_url=0&amp;is_from_webapp=v1&amp;sender_device=pc&amp;sender_web_id=6908929983101486593" TargetMode="External"/><Relationship Id="rId23" Type="http://schemas.openxmlformats.org/officeDocument/2006/relationships/hyperlink" Target="https://www.tiktok.com/@mai_xuan_son/video/6984757361055468826?lang=vi-VN&amp;is_copy_url=0&amp;is_from_webapp=v1&amp;sender_device=pc&amp;sender_web_id=6908929983101486593" TargetMode="External"/><Relationship Id="rId409" Type="http://schemas.openxmlformats.org/officeDocument/2006/relationships/hyperlink" Target="https://www.tiktok.com/@trangrung08/video/699280532644154908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4" Type="http://schemas.openxmlformats.org/officeDocument/2006/relationships/hyperlink" Target="https://www.tiktok.com/@ducvamy/video/6989506810268880154?lang=vi-VN&amp;is_copy_url=0&amp;is_from_webapp=v1&amp;sender_device=pc&amp;sender_web_id=6983582057944237570" TargetMode="External"/><Relationship Id="rId403" Type="http://schemas.openxmlformats.org/officeDocument/2006/relationships/hyperlink" Target="https://www.tiktok.com/@ducvamy/video/6988842287035927834?lang=vi-VN&amp;is_copy_url=0&amp;is_from_webapp=v1&amp;sender_device=pc&amp;sender_web_id=6983582057944237570" TargetMode="External"/><Relationship Id="rId402" Type="http://schemas.openxmlformats.org/officeDocument/2006/relationships/hyperlink" Target="https://www.tiktok.com/@diemho2001/video/698945546856957877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1" Type="http://schemas.openxmlformats.org/officeDocument/2006/relationships/hyperlink" Target="https://www.tiktok.com/@diemho2001/video/698927066007370473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8" Type="http://schemas.openxmlformats.org/officeDocument/2006/relationships/hyperlink" Target="https://www.tiktok.com/@trangrung08/video/699088397740187983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7" Type="http://schemas.openxmlformats.org/officeDocument/2006/relationships/hyperlink" Target="https://www.tiktok.com/@trangrung08/video/698910389128347983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6" Type="http://schemas.openxmlformats.org/officeDocument/2006/relationships/hyperlink" Target="https://www.tiktok.com/@ducvamy/video/6995087151092321563?lang=vi-VN&amp;is_copy_url=0&amp;is_from_webapp=v1&amp;sender_device=pc&amp;sender_web_id=6983582057944237570" TargetMode="External"/><Relationship Id="rId405" Type="http://schemas.openxmlformats.org/officeDocument/2006/relationships/hyperlink" Target="https://www.tiktok.com/@ducvamy/video/6990257045626703130?lang=vi-VN&amp;is_copy_url=0&amp;is_from_webapp=v1&amp;sender_device=pc&amp;sender_web_id=6983582057944237570" TargetMode="External"/><Relationship Id="rId26" Type="http://schemas.openxmlformats.org/officeDocument/2006/relationships/hyperlink" Target="https://www.tiktok.com/@baongoc.1906/video/6984347866856770842?" TargetMode="External"/><Relationship Id="rId25" Type="http://schemas.openxmlformats.org/officeDocument/2006/relationships/hyperlink" Target="https://www.tiktok.com/@mai_xuan_son/video/6985877587641896219?lang=vi-VN&amp;is_copy_url=0&amp;is_from_webapp=v1&amp;sender_device=pc&amp;sender_web_id=6908929983101486593" TargetMode="External"/><Relationship Id="rId28" Type="http://schemas.openxmlformats.org/officeDocument/2006/relationships/hyperlink" Target="https://www.tiktok.com/@anhthuyet/video/6984370824404897051?lang=vi-VN&amp;is_copy_url=0&amp;is_from_webapp=v1&amp;sender_device=pc&amp;sender_web_id=6908929983101486593" TargetMode="External"/><Relationship Id="rId27" Type="http://schemas.openxmlformats.org/officeDocument/2006/relationships/hyperlink" Target="https://www.tiktok.com/@baongoc.1906/video/6985915344045083931?" TargetMode="External"/><Relationship Id="rId400" Type="http://schemas.openxmlformats.org/officeDocument/2006/relationships/hyperlink" Target="https://www.tiktok.com/@diemho2001/video/698923148247263157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9" Type="http://schemas.openxmlformats.org/officeDocument/2006/relationships/hyperlink" Target="https://www.tiktok.com/@anhthuyet/video/6985504403096718619?lang=vi-VN&amp;is_copy_url=0&amp;is_from_webapp=v1&amp;sender_device=pc&amp;sender_web_id=6908929983101486593" TargetMode="External"/><Relationship Id="rId11" Type="http://schemas.openxmlformats.org/officeDocument/2006/relationships/hyperlink" Target="https://www.tiktok.com/@thianguyen2001/video/6987770920102300954?fbclid=IwAR2K88TH_6Pxwa31Ff96qvddJoh9dCU0fDhOpZGRrmFbW6yhW__kQWi3yLo&amp;is_copy_url=0&amp;is_from_webapp=v1&amp;sender_device=pc&amp;sender_web_id=6908929983101486593" TargetMode="External"/><Relationship Id="rId10" Type="http://schemas.openxmlformats.org/officeDocument/2006/relationships/hyperlink" Target="https://www.tiktok.com/@thianguyen2001/video/6985927736422370586?" TargetMode="External"/><Relationship Id="rId13" Type="http://schemas.openxmlformats.org/officeDocument/2006/relationships/hyperlink" Target="https://www.tiktok.com/@soojin51296/video/6988474391059369243?is_copy_url=0&amp;is_from_webapp=v1&amp;sender_device=pc&amp;sender_web_id=6908929983101486593" TargetMode="External"/><Relationship Id="rId12" Type="http://schemas.openxmlformats.org/officeDocument/2006/relationships/hyperlink" Target="https://www.tiktok.com/@qh.bland/video/6987723855364115739?" TargetMode="External"/><Relationship Id="rId15" Type="http://schemas.openxmlformats.org/officeDocument/2006/relationships/hyperlink" Target="https://www.tiktok.com/@cu_bo32/video/6984622779647708442?lang=vi-VN&amp;is_copy_url=0&amp;is_from_webapp=v1&amp;sender_device=pc&amp;sender_web_id=6908929983101486593" TargetMode="External"/><Relationship Id="rId14" Type="http://schemas.openxmlformats.org/officeDocument/2006/relationships/hyperlink" Target="https://www.tiktok.com/@cu_bo32/video/6984019010870463771?lang=vi-VN&amp;is_copy_url=0&amp;is_from_webapp=v1&amp;sender_device=pc&amp;sender_web_id=6908929983101486593" TargetMode="External"/><Relationship Id="rId17" Type="http://schemas.openxmlformats.org/officeDocument/2006/relationships/hyperlink" Target="https://www.tiktok.com/@cu_bo32/video/6985710987580017947?lang=vi-VN&amp;is_copy_url=0&amp;is_from_webapp=v1&amp;sender_device=pc&amp;sender_web_id=6908929983101486593" TargetMode="External"/><Relationship Id="rId16" Type="http://schemas.openxmlformats.org/officeDocument/2006/relationships/hyperlink" Target="https://www.tiktok.com/@cu_bo32/video/6984960307118574874?lang=vi-VN&amp;is_copy_url=0&amp;is_from_webapp=v1&amp;sender_device=pc&amp;sender_web_id=6908929983101486593" TargetMode="External"/><Relationship Id="rId19" Type="http://schemas.openxmlformats.org/officeDocument/2006/relationships/hyperlink" Target="https://www.tiktok.com/@cu_bo32/video/6986485072950005019?lang=vi-VN&amp;is_copy_url=0&amp;is_from_webapp=v1&amp;sender_device=pc&amp;sender_web_id=6908929983101486593" TargetMode="External"/><Relationship Id="rId18" Type="http://schemas.openxmlformats.org/officeDocument/2006/relationships/hyperlink" Target="https://www.tiktok.com/@cu_bo32/video/6986086729610480923?lang=vi-VN&amp;is_copy_url=0&amp;is_from_webapp=v1&amp;sender_device=pc&amp;sender_web_id=6908929983101486593" TargetMode="External"/><Relationship Id="rId84" Type="http://schemas.openxmlformats.org/officeDocument/2006/relationships/hyperlink" Target="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" TargetMode="External"/><Relationship Id="rId83" Type="http://schemas.openxmlformats.org/officeDocument/2006/relationships/hyperlink" Target="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86" Type="http://schemas.openxmlformats.org/officeDocument/2006/relationships/hyperlink" Target="https://www.tiktok.com/@diemho2001/video/6986142575874936090?lang=vi-VN&amp;is_copy_url=0&amp;is_from_webapp=v1&amp;sender_device=pc&amp;sender_web_id=6982736742253446658" TargetMode="External"/><Relationship Id="rId85" Type="http://schemas.openxmlformats.org/officeDocument/2006/relationships/hyperlink" Target="https://www.tiktok.com/@diemho2001/video/6985854256574172442?lang=vi-VN&amp;is_copy_url=0&amp;is_from_webapp=v1&amp;sender_device=pc&amp;sender_web_id=6982736742253446658" TargetMode="External"/><Relationship Id="rId88" Type="http://schemas.openxmlformats.org/officeDocument/2006/relationships/hyperlink" Target="https://www.tiktok.com/@diemho2001/video/698735259099670453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87" Type="http://schemas.openxmlformats.org/officeDocument/2006/relationships/hyperlink" Target="https://www.tiktok.com/@diemho2001/video/6986865973164887322?_d=secCgYIASAHKAESMgow9NJnTsj1sFLfv%2FND6tGFyVWNU4sRS1Ysgw6zbbs3%2FXQSp6nfjHKXZSear2%2BG7DQwGgA%3D&amp;checksum=fcd66aaad65073745e8bdc650f9b4df225dd157fc0b66091eea02573d7baf656&amp;language=vi&amp;mid=0&amp;preview_pb=0&amp;region=VN&amp;sec_user_id=MS4wLjABAAAAeUyqxr1lLghoR-BN_0fHPOJw_sBypPJQgRk-u3fD-jNvyGN7SgpJV_fqPKMSG6Nl&amp;share_app_id=1180&amp;share_item_id=6986865973164887322&amp;share_link_id=30E35354-5834-4BBE-815B-D9FD54DC332B&amp;source=h5_t&amp;timestamp=1626756519&amp;tt_from=copy&amp;u_code=dhj3d9i31j850i&amp;user_id=6943273166978712578&amp;utm_campaign=client_share&amp;utm_medium=ios&amp;utm_source=copy&amp;_r=1&amp;is_copy_url=0&amp;is_from_webapp=v1&amp;sender_device=pc&amp;sender_web_id=6983582057944237570" TargetMode="External"/><Relationship Id="rId89" Type="http://schemas.openxmlformats.org/officeDocument/2006/relationships/hyperlink" Target="https://www.tiktok.com/@diemho2001/video/6987380795577077019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80" Type="http://schemas.openxmlformats.org/officeDocument/2006/relationships/hyperlink" Target="https://www.facebook.com/thanh.duong.5220/videos/133547462228191" TargetMode="External"/><Relationship Id="rId82" Type="http://schemas.openxmlformats.org/officeDocument/2006/relationships/hyperlink" Target="https://www.facebook.com/sakura.ha.vt/posts/3002325446670099" TargetMode="External"/><Relationship Id="rId81" Type="http://schemas.openxmlformats.org/officeDocument/2006/relationships/hyperlink" Target="https://www.facebook.com/100004254121912/posts/2036618319823286/?d=n" TargetMode="External"/><Relationship Id="rId73" Type="http://schemas.openxmlformats.org/officeDocument/2006/relationships/hyperlink" Target="https://www.facebook.com/nganthithuhien/videos/4171727379561493" TargetMode="External"/><Relationship Id="rId72" Type="http://schemas.openxmlformats.org/officeDocument/2006/relationships/hyperlink" Target="https://www.tiktok.com/@h21052001/video/6986880680403684635?is_copy_url=0&amp;is_from_webapp=v1&amp;sender_device=pc&amp;sender_web_id=6908929983101486593" TargetMode="External"/><Relationship Id="rId75" Type="http://schemas.openxmlformats.org/officeDocument/2006/relationships/hyperlink" Target="https://www.facebook.com/100005610043014/posts/1636713313192321/?d=n" TargetMode="External"/><Relationship Id="rId74" Type="http://schemas.openxmlformats.org/officeDocument/2006/relationships/hyperlink" Target="https://www.facebook.com/Changchi.1604/videos/165010988924001" TargetMode="External"/><Relationship Id="rId77" Type="http://schemas.openxmlformats.org/officeDocument/2006/relationships/hyperlink" Target="https://www.facebook.com/luong.huyenkha/posts/994937047936105" TargetMode="External"/><Relationship Id="rId76" Type="http://schemas.openxmlformats.org/officeDocument/2006/relationships/hyperlink" Target="https://www.tiktok.com/@buingocphuongtrang/video/6986635841242156314" TargetMode="External"/><Relationship Id="rId79" Type="http://schemas.openxmlformats.org/officeDocument/2006/relationships/hyperlink" Target="https://www.tiktok.com/@hi.am.gnud/video/6986862109560704282?_d=secCgYIASAHKAESMgowuBOu3szKhA24dO1NXtYdbrPJT7IV%2FrIhboyI%2Bsm0%2FAYEgmURtjuViMehV6HXn3sjGgA%3D&amp;checksum=ba2a048923190e3f6539c2f9fc368408d9ccf34fa93febca981642cd85ed4a79&amp;language=vi&amp;mid=6986862110814833434&amp;preview_pb=0&amp;region=VN&amp;sec_user_id=MS4wLjABAAAA3kDh-oQAIKV8ovEghqzUXXiG-OTJE7C7dqbXJMWT-mviRv0PPlYsBTmfCzdsUaRs&amp;share_app_id=1180&amp;share_item_id=6986862109560704282&amp;share_link_id=70E9CCD7-FFAD-474C-B282-0216F172C7C7&amp;source=h5_t&amp;timestamp=1626759114&amp;tt_from=copy&amp;u_code=d6i1fjfa18g5b1&amp;user_id=6701181011680117761&amp;utm_campaign=client_share&amp;utm_medium=ios&amp;utm_source=copy&amp;_r=1" TargetMode="External"/><Relationship Id="rId78" Type="http://schemas.openxmlformats.org/officeDocument/2006/relationships/hyperlink" Target="https://www.facebook.com/binhan.072020/videos/528807201570435" TargetMode="External"/><Relationship Id="rId71" Type="http://schemas.openxmlformats.org/officeDocument/2006/relationships/hyperlink" Target="https://www.tiktok.com/@thinhnguyenart_official/video/6987658404219161882?is_copy_url=0&amp;is_from_webapp=v1&amp;sender_device=pc&amp;sender_web_id=6908929983101486593" TargetMode="External"/><Relationship Id="rId70" Type="http://schemas.openxmlformats.org/officeDocument/2006/relationships/hyperlink" Target="https://www.tiktok.com/@thinhnguyenart_official/video/6986805848148364570?is_copy_url=0&amp;is_from_webapp=v1&amp;sender_device=pc&amp;sender_web_id=6908929983101486593" TargetMode="External"/><Relationship Id="rId62" Type="http://schemas.openxmlformats.org/officeDocument/2006/relationships/hyperlink" Target="https://www.facebook.com/thaonhi.lam.16121/videos/495856034847593" TargetMode="External"/><Relationship Id="rId61" Type="http://schemas.openxmlformats.org/officeDocument/2006/relationships/hyperlink" Target="https://www.facebook.com/100034376687766/videos/1011431982958642" TargetMode="External"/><Relationship Id="rId64" Type="http://schemas.openxmlformats.org/officeDocument/2006/relationships/hyperlink" Target="https://www.facebook.com/100028527371304/videos/557859528559826" TargetMode="External"/><Relationship Id="rId63" Type="http://schemas.openxmlformats.org/officeDocument/2006/relationships/hyperlink" Target="https://www.tiktok.com/@nhinguyenn84/video/6988885802331819291?is_copy_url=0&amp;is_from_webapp=v1&amp;sender_device=pc&amp;sender_web_id=6908929983101486593" TargetMode="External"/><Relationship Id="rId66" Type="http://schemas.openxmlformats.org/officeDocument/2006/relationships/hyperlink" Target="https://www.tiktok.com/@bedangbae/video/6988479754257173787?is_copy_url=0&amp;is_from_webapp=v1&amp;sender_device=pc&amp;sender_web_id=6908929983101486593" TargetMode="External"/><Relationship Id="rId65" Type="http://schemas.openxmlformats.org/officeDocument/2006/relationships/hyperlink" Target="https://www.tiktok.com/@bedangbae/video/6984029292141350170?is_copy_url=0&amp;is_from_webapp=v1&amp;sender_device=pc&amp;sender_web_id=6908929983101486593" TargetMode="External"/><Relationship Id="rId68" Type="http://schemas.openxmlformats.org/officeDocument/2006/relationships/hyperlink" Target="https://www.tiktok.com/@toanprdsofficial/video/6987722032494546202?is_copy_url=0&amp;is_from_webapp=v1&amp;sender_device=pc&amp;sender_web_id=6908929983101486593" TargetMode="External"/><Relationship Id="rId67" Type="http://schemas.openxmlformats.org/officeDocument/2006/relationships/hyperlink" Target="https://www.tiktok.com/@bedangbae/video/6988850866996464922?is_copy_url=0&amp;is_from_webapp=v1&amp;sender_device=pc&amp;sender_web_id=6908929983101486593" TargetMode="External"/><Relationship Id="rId60" Type="http://schemas.openxmlformats.org/officeDocument/2006/relationships/hyperlink" Target="https://www.tiktok.com/@moclan24/video/6985398456982490394?is_copy_url=0&amp;is_from_webapp=v1&amp;sender_device=pc&amp;sender_web_id=6908929983101486593" TargetMode="External"/><Relationship Id="rId69" Type="http://schemas.openxmlformats.org/officeDocument/2006/relationships/hyperlink" Target="https://www.instagram.com/reel/CRoQb_QDvXz/" TargetMode="External"/><Relationship Id="rId51" Type="http://schemas.openxmlformats.org/officeDocument/2006/relationships/hyperlink" Target="https://www.tiktok.com/@behyblack/video/6985394076241661210?is_copy_url=0&amp;is_from_webapp=v1&amp;sender_device=pc&amp;sender_web_id=6908929983101486593" TargetMode="External"/><Relationship Id="rId50" Type="http://schemas.openxmlformats.org/officeDocument/2006/relationships/hyperlink" Target="https://www.tiktok.com/@mango011101/video/6988452233641872666?is_copy_url=0&amp;is_from_webapp=v1&amp;sender_device=pc&amp;sender_web_id=6908929983101486593" TargetMode="External"/><Relationship Id="rId53" Type="http://schemas.openxmlformats.org/officeDocument/2006/relationships/hyperlink" Target="https://www.tiktok.com/@hoduyphuong/video/6987601217287507227?_=&amp;is_copy_url=0&amp;is_from_webapp=v1&amp;sender_device=pc&amp;sender_web_id=6908929983101486593" TargetMode="External"/><Relationship Id="rId52" Type="http://schemas.openxmlformats.org/officeDocument/2006/relationships/hyperlink" Target="https://www.tiktok.com/@hoduyphuong/video/6986852837477109018?_=&amp;is_copy_url=0&amp;is_from_webapp=v1&amp;sender_device=pc&amp;sender_web_id=6908929983101486593" TargetMode="External"/><Relationship Id="rId55" Type="http://schemas.openxmlformats.org/officeDocument/2006/relationships/hyperlink" Target="https://www.instagram.com/p/CRqeQUYHT4r/?utm_medium=copy_link" TargetMode="External"/><Relationship Id="rId54" Type="http://schemas.openxmlformats.org/officeDocument/2006/relationships/hyperlink" Target="https://www.facebook.com/100004356046481/posts/1911476309007552/" TargetMode="External"/><Relationship Id="rId57" Type="http://schemas.openxmlformats.org/officeDocument/2006/relationships/hyperlink" Target="https://www.facebook.com/tienanh.vu.334/videos/358632378979133" TargetMode="External"/><Relationship Id="rId56" Type="http://schemas.openxmlformats.org/officeDocument/2006/relationships/hyperlink" Target="https://www.facebook.com/100006045494111/videos/781616739195419" TargetMode="External"/><Relationship Id="rId59" Type="http://schemas.openxmlformats.org/officeDocument/2006/relationships/hyperlink" Target="https://www.facebook.com/moclanla/videos/810057876567671" TargetMode="External"/><Relationship Id="rId58" Type="http://schemas.openxmlformats.org/officeDocument/2006/relationships/hyperlink" Target="https://www.tiktok.com/@hoanglong86a/video/6987977038158187802?is_copy_url=0&amp;is_from_webapp=v1&amp;sender_device=pc&amp;sender_web_id=6908929983101486593" TargetMode="External"/><Relationship Id="rId107" Type="http://schemas.openxmlformats.org/officeDocument/2006/relationships/hyperlink" Target="https://www.tiktok.com/@tolathule/video/6988004214760869146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8" Type="http://schemas.openxmlformats.org/officeDocument/2006/relationships/hyperlink" Target="https://www.tiktok.com/@thinhnguyenart_official/video/6995123863264824578?is_copy_url=0&amp;is_from_webapp=v1&amp;sender_device=pc&amp;sender_web_id=6908929983101486593" TargetMode="External"/><Relationship Id="rId349" Type="http://schemas.openxmlformats.org/officeDocument/2006/relationships/hyperlink" Target="https://www.tiktok.com/@huynh4nhh/video/6994261827660057882?" TargetMode="External"/><Relationship Id="rId106" Type="http://schemas.openxmlformats.org/officeDocument/2006/relationships/hyperlink" Target="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7" Type="http://schemas.openxmlformats.org/officeDocument/2006/relationships/hyperlink" Target="https://www.tiktok.com/@thinhnguyenart_official/video/6994398310421318914?is_copy_url=0&amp;is_from_webapp=v1&amp;sender_device=pc&amp;sender_web_id=6908929983101486593" TargetMode="External"/><Relationship Id="rId348" Type="http://schemas.openxmlformats.org/officeDocument/2006/relationships/hyperlink" Target="https://www.tiktok.com/@huynh4nhh/video/6993884571368574235?" TargetMode="External"/><Relationship Id="rId469" Type="http://schemas.openxmlformats.org/officeDocument/2006/relationships/hyperlink" Target="https://www.tiktok.com/@dinhlanphuongmethorua/video/6990714957226577178?_d=secCgYIASAHKAESMgowfO5gbAwhqoNq%2FPgehzzqa5feJA65OVxXVLJJYI%2F8AE8cf9y2%2B3nhPdQpYoritmDmGgA%3D&amp;language=vi&amp;preview_pb=0&amp;sec_user_id=MS4wLjABAAAArLBC2Plw0trRKoJd7BWSBwTKEcrusTey5lvl69K9N_ZVvpcpJEdRxjY1gCdzkBgc&amp;share_item_id=6990714957226577178&amp;share_link_id=A4F4F958-3D84-4BD4-8F80-7FA083269B96&amp;source=h5_m&amp;timestamp=1627652672&amp;tt_from=messenger&amp;u_code=djk25g44k3324a&amp;user_id=6987999890643289115&amp;utm_campaign=client_share&amp;utm_medium=ios&amp;utm_source=messenger&amp;_r=1&amp;fbclid=IwAR0u6JX8ikkhxtvSwpz3GksssqOxJBjcmzezz560RJR10i-rAm7G4t0jKUY&amp;is_copy_url=0&amp;is_from_webapp=v1&amp;sender_device=pc&amp;sender_web_id=6983582057944237570" TargetMode="External"/><Relationship Id="rId105" Type="http://schemas.openxmlformats.org/officeDocument/2006/relationships/hyperlink" Target="https://www.tiktok.com/@truongvihihi/video/698833826973378485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6" Type="http://schemas.openxmlformats.org/officeDocument/2006/relationships/hyperlink" Target="https://www.tiktok.com/@letrang_2k2/video/6995146019751136538?lang=vi-VN&amp;is_copy_url=0&amp;is_from_webapp=v1&amp;sender_device=pc&amp;sender_web_id=6908929983101486593" TargetMode="External"/><Relationship Id="rId347" Type="http://schemas.openxmlformats.org/officeDocument/2006/relationships/hyperlink" Target="https://www.tiktok.com/@huynh4nhh/video/6993275599431224603?" TargetMode="External"/><Relationship Id="rId468" Type="http://schemas.openxmlformats.org/officeDocument/2006/relationships/hyperlink" Target="https://www.facebook.com/phung.thanhxuan/videos/642663623375275" TargetMode="External"/><Relationship Id="rId104" Type="http://schemas.openxmlformats.org/officeDocument/2006/relationships/hyperlink" Target="https://www.tiktok.com/@truongvihihi/video/698796700757236457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5" Type="http://schemas.openxmlformats.org/officeDocument/2006/relationships/hyperlink" Target="https://www.tiktok.com/@sunflizme/video/6994069667283356955?_d=secCgYIASAHKAESMgowsrLIXTxOhAs0pNeHLVxYGD2%2FUhawI1d3LCexjk4W1KFtf7BVolJ93XOmoNNWGWImGgA%3D&amp;checksum=eecccc653761ee892f43f3ae2d48e32f370d0bc812eef5e6b5b0ace544483258&amp;language=vi&amp;mid=6985376460475206427&amp;preview_pb=0&amp;region=VN&amp;sec_user_id=MS4wLjABAAAA_7Qd1g5GTuF1Q376HGjNDL7HZIiPQniGA9zTAikABBmk5w4f9CyEPbxILEBKdMi-&amp;share_app_id=1180&amp;share_item_id=6985376475360906522&amp;share_link_id=802AC648-9E6E-4982-8CA3-0FF927A89A09&amp;source=h5_t&amp;timestamp=1626417283&amp;tt_from=copy&amp;u_code=d0f1b4hjljkh17&amp;user_id=6566826464812662785&amp;utm_campaign=client_share&amp;utm_medium=ios&amp;utm_source=copy&amp;_r=1&amp;is_copy_url=0&amp;is_from_webapp=v1&amp;sender_device=pc&amp;sender_web_id=6908929983101486593" TargetMode="External"/><Relationship Id="rId346" Type="http://schemas.openxmlformats.org/officeDocument/2006/relationships/hyperlink" Target="https://www.tiktok.com/@thuonghienn/video/6996620377145232666?" TargetMode="External"/><Relationship Id="rId467" Type="http://schemas.openxmlformats.org/officeDocument/2006/relationships/hyperlink" Target="https://www.facebook.com/phuongthanh.nguyen.906/videos/260431488968154" TargetMode="External"/><Relationship Id="rId109" Type="http://schemas.openxmlformats.org/officeDocument/2006/relationships/hyperlink" Target="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08" Type="http://schemas.openxmlformats.org/officeDocument/2006/relationships/hyperlink" Target="https://www.tiktok.com/@tolathule/video/698836598451187228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9" Type="http://schemas.openxmlformats.org/officeDocument/2006/relationships/hyperlink" Target="https://www.tiktok.com/@ngoafood_/video/6992931191955541274?" TargetMode="External"/><Relationship Id="rId220" Type="http://schemas.openxmlformats.org/officeDocument/2006/relationships/hyperlink" Target="https://www.tiktok.com/@chutieuhan10012001/video/6991051453611674907?is_copy_url=0&amp;is_from_webapp=v1&amp;sender_device=pc&amp;sender_web_id=6908929983101486593" TargetMode="External"/><Relationship Id="rId341" Type="http://schemas.openxmlformats.org/officeDocument/2006/relationships/hyperlink" Target="https://www.facebook.com/YonCuon/videos/293025969257634" TargetMode="External"/><Relationship Id="rId462" Type="http://schemas.openxmlformats.org/officeDocument/2006/relationships/hyperlink" Target="https://www.tiktok.com/@truong_qn/video/6990269678895516955?is_copy_url=0&amp;is_from_webapp=v1&amp;sender_device=pc&amp;sender_web_id=6983582057944237570" TargetMode="External"/><Relationship Id="rId340" Type="http://schemas.openxmlformats.org/officeDocument/2006/relationships/hyperlink" Target="https://www.facebook.com/YonCuon/videos/1238475999948922" TargetMode="External"/><Relationship Id="rId461" Type="http://schemas.openxmlformats.org/officeDocument/2006/relationships/hyperlink" Target="https://www.tiktok.com/@truong_qn/video/6989472522370682139?is_copy_url=0&amp;is_from_webapp=v1&amp;sender_device=pc&amp;sender_web_id=6983582057944237570" TargetMode="External"/><Relationship Id="rId460" Type="http://schemas.openxmlformats.org/officeDocument/2006/relationships/hyperlink" Target="https://www.tiktok.com/@truong_qn/video/6989151063471410459?_d=secCgYIASAHKAESMgowLmkz2ExDeXgIan7x9mIDHD42x50hbwkhN6YhbJMydsVrPR6q1fBpzh6vkDM0TKIVGgA%3D&amp;checksum=33ed7467324e4cdbf4534f452319febb41f460733250324d052d4f437f6462cc&amp;language=vi&amp;mid=6989151045662411546&amp;preview_pb=0&amp;region=VN&amp;sec_user_id=MS4wLjABAAAAmB3MYYXyfQYprgA8aA5T77tiKXFhU1vrXaG1Da2OPuU1bqLlT4eYYH1xLEp_8BqU&amp;share_app_id=1180&amp;share_item_id=6989151063471410459&amp;share_link_id=cb53a587-f431-4e37-bee0-930c25b028f4&amp;source=h5_t&amp;timestamp=1627289026&amp;u_code=cldl5l4c115fbi&amp;user_id=6521910605594918914&amp;utm_campaign=client_share&amp;utm_medium=android&amp;utm_source=copy&amp;_r=1&amp;is_copy_url=0&amp;is_from_webapp=v1&amp;sender_device=pc&amp;sender_web_id=6983582057944237570" TargetMode="External"/><Relationship Id="rId103" Type="http://schemas.openxmlformats.org/officeDocument/2006/relationships/hyperlink" Target="https://www.tiktok.com/@truongvihihi/video/698760243202923241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4" Type="http://schemas.openxmlformats.org/officeDocument/2006/relationships/hyperlink" Target="https://www.youtube.com/watch?v=A8wUVr6AGrI&amp;t=439s" TargetMode="External"/><Relationship Id="rId345" Type="http://schemas.openxmlformats.org/officeDocument/2006/relationships/hyperlink" Target="https://www.facebook.com/nmtvlog99/videos/334196018448843" TargetMode="External"/><Relationship Id="rId466" Type="http://schemas.openxmlformats.org/officeDocument/2006/relationships/hyperlink" Target="https://www.tiktok.com/@truong_qn/video/6995485588703022362?is_copy_url=0&amp;is_from_webapp=v1&amp;sender_device=pc&amp;sender_web_id=6983582057944237570" TargetMode="External"/><Relationship Id="rId102" Type="http://schemas.openxmlformats.org/officeDocument/2006/relationships/hyperlink" Target="https://www.tiktok.com/@truongvihihi/video/6986965369126800666?lang=vi-VN&amp;is_copy_url=0&amp;is_from_webapp=v1&amp;sender_device=pc&amp;sender_web_id=6983582057944237570" TargetMode="External"/><Relationship Id="rId223" Type="http://schemas.openxmlformats.org/officeDocument/2006/relationships/hyperlink" Target="https://www.tiktok.com/@cuonghancouple/video/6993927255118384410?is_copy_url=0&amp;is_from_webapp=v1&amp;sender_device=pc&amp;sender_web_id=6908929983101486593" TargetMode="External"/><Relationship Id="rId344" Type="http://schemas.openxmlformats.org/officeDocument/2006/relationships/hyperlink" Target="https://www.facebook.com/nmtvlog99/videos/2800359736933697" TargetMode="External"/><Relationship Id="rId465" Type="http://schemas.openxmlformats.org/officeDocument/2006/relationships/hyperlink" Target="https://www.tiktok.com/@truong_qn/video/6994386467934063898?is_copy_url=0&amp;is_from_webapp=v1&amp;sender_device=pc&amp;sender_web_id=6983582057944237570" TargetMode="External"/><Relationship Id="rId101" Type="http://schemas.openxmlformats.org/officeDocument/2006/relationships/hyperlink" Target="https://www.tiktok.com/@truongvihihi/video/6986581662444424475?lang=vi-VN&amp;is_copy_url=0&amp;is_from_webapp=v1&amp;sender_device=pc&amp;sender_web_id=6983582057944237570" TargetMode="External"/><Relationship Id="rId222" Type="http://schemas.openxmlformats.org/officeDocument/2006/relationships/hyperlink" Target="https://www.tiktok.com/@cuonghancouple/video/6992911283016256795?is_copy_url=0&amp;is_from_webapp=v1&amp;sender_device=pc&amp;sender_web_id=6908929983101486593" TargetMode="External"/><Relationship Id="rId343" Type="http://schemas.openxmlformats.org/officeDocument/2006/relationships/hyperlink" Target="https://www.facebook.com/nmtvlog99/videos/160322706174959" TargetMode="External"/><Relationship Id="rId464" Type="http://schemas.openxmlformats.org/officeDocument/2006/relationships/hyperlink" Target="https://www.tiktok.com/@truong_qn/video/6992508021448494363?is_copy_url=0&amp;is_from_webapp=v1&amp;sender_device=pc&amp;sender_web_id=6983582057944237570" TargetMode="External"/><Relationship Id="rId100" Type="http://schemas.openxmlformats.org/officeDocument/2006/relationships/hyperlink" Target="https://www.tiktok.com/@truongvihihi/video/6986123091936120090?lang=vi-VN&amp;is_copy_url=0&amp;is_from_webapp=v1&amp;sender_device=pc&amp;sender_web_id=6983582057944237570" TargetMode="External"/><Relationship Id="rId221" Type="http://schemas.openxmlformats.org/officeDocument/2006/relationships/hyperlink" Target="https://www.tiktok.com/@cuonghancouple/video/6991051587275722011?is_copy_url=0&amp;is_from_webapp=v1&amp;sender_device=pc&amp;sender_web_id=6908929983101486593" TargetMode="External"/><Relationship Id="rId342" Type="http://schemas.openxmlformats.org/officeDocument/2006/relationships/hyperlink" Target="https://www.facebook.com/nmtvlog99/videos/519221099360964" TargetMode="External"/><Relationship Id="rId463" Type="http://schemas.openxmlformats.org/officeDocument/2006/relationships/hyperlink" Target="https://www.tiktok.com/@truong_qn/video/6991030818583907611?is_copy_url=0&amp;is_from_webapp=v1&amp;sender_device=pc&amp;sender_web_id=6983582057944237570" TargetMode="External"/><Relationship Id="rId217" Type="http://schemas.openxmlformats.org/officeDocument/2006/relationships/hyperlink" Target="https://www.facebook.com/106896074362727/videos/358189612342573" TargetMode="External"/><Relationship Id="rId338" Type="http://schemas.openxmlformats.org/officeDocument/2006/relationships/hyperlink" Target="https://www.facebook.com/YonCuon/videos/345495407077361" TargetMode="External"/><Relationship Id="rId459" Type="http://schemas.openxmlformats.org/officeDocument/2006/relationships/hyperlink" Target="https://www.facebook.com/100005340498640/videos/505387720562605" TargetMode="External"/><Relationship Id="rId216" Type="http://schemas.openxmlformats.org/officeDocument/2006/relationships/hyperlink" Target="https://www.tiktok.com/@ngannt212/video/6993272602756271361?is_copy_url=0&amp;is_from_webapp=v1&amp;sender_device=pc&amp;sender_web_id=6908929983101486593" TargetMode="External"/><Relationship Id="rId337" Type="http://schemas.openxmlformats.org/officeDocument/2006/relationships/hyperlink" Target="https://www.facebook.com/le.havy.7121/videos/4091299580995454" TargetMode="External"/><Relationship Id="rId458" Type="http://schemas.openxmlformats.org/officeDocument/2006/relationships/hyperlink" Target="https://www.tiktok.com/@10103anh/video/6992494608265612570?is_copy_url=0&amp;is_from_webapp=v1&amp;sender_device=pc&amp;sender_web_id=6983582057944237570" TargetMode="External"/><Relationship Id="rId215" Type="http://schemas.openxmlformats.org/officeDocument/2006/relationships/hyperlink" Target="https://www.tiktok.com/@ngannt212/video/6989825465703763227?is_copy_url=0&amp;is_from_webapp=v1&amp;sender_device=pc&amp;sender_web_id=6908929983101486593" TargetMode="External"/><Relationship Id="rId336" Type="http://schemas.openxmlformats.org/officeDocument/2006/relationships/hyperlink" Target="https://www.facebook.com/caammxuynhh/videos/1423985334637846" TargetMode="External"/><Relationship Id="rId457" Type="http://schemas.openxmlformats.org/officeDocument/2006/relationships/hyperlink" Target="https://www.tiktok.com/@_ram215/video/6996546066585799963?is_copy_url=0&amp;is_from_webapp=v1&amp;sender_device=pc&amp;sender_web_id=6983582057944237570" TargetMode="External"/><Relationship Id="rId214" Type="http://schemas.openxmlformats.org/officeDocument/2006/relationships/hyperlink" Target="https://www.facebook.com/01633166673h/videos/1033006097103767" TargetMode="External"/><Relationship Id="rId335" Type="http://schemas.openxmlformats.org/officeDocument/2006/relationships/hyperlink" Target="https://www.tiktok.com/@besam2403/video/6995874077416115482?sender_device=mobile&amp;sender_web_id=6986624137116976642&amp;is_from_webapp=v1&amp;is_copy_url=0" TargetMode="External"/><Relationship Id="rId456" Type="http://schemas.openxmlformats.org/officeDocument/2006/relationships/hyperlink" Target="https://www.tiktok.com/@_ram215/video/6993185588618808602?is_copy_url=0&amp;is_from_webapp=v1&amp;sender_device=pc&amp;sender_web_id=6983582057944237570" TargetMode="External"/><Relationship Id="rId219" Type="http://schemas.openxmlformats.org/officeDocument/2006/relationships/hyperlink" Target="https://www.tiktok.com/@chutieuhan10012001/video/6993927950177455386?is_copy_url=0&amp;is_from_webapp=v1&amp;sender_device=pc&amp;sender_web_id=6908929983101486593" TargetMode="External"/><Relationship Id="rId218" Type="http://schemas.openxmlformats.org/officeDocument/2006/relationships/hyperlink" Target="https://www.tiktok.com/@chutieuhan10012001/video/6992910488677960987?is_copy_url=0&amp;is_from_webapp=v1&amp;sender_device=pc&amp;sender_web_id=6908929983101486593" TargetMode="External"/><Relationship Id="rId339" Type="http://schemas.openxmlformats.org/officeDocument/2006/relationships/hyperlink" Target="https://www.facebook.com/YonCuon/videos/815157779368764" TargetMode="External"/><Relationship Id="rId330" Type="http://schemas.openxmlformats.org/officeDocument/2006/relationships/hyperlink" Target="https://www.facebook.com/toanduyduy88/videos/874360593435788" TargetMode="External"/><Relationship Id="rId451" Type="http://schemas.openxmlformats.org/officeDocument/2006/relationships/hyperlink" Target="https://www.tiktok.com/@d.l9801/video/6996978245279239451?lang=vi-VN&amp;is_copy_url=0&amp;is_from_webapp=v1&amp;sender_device=pc&amp;sender_web_id=6983582057944237570" TargetMode="External"/><Relationship Id="rId450" Type="http://schemas.openxmlformats.org/officeDocument/2006/relationships/hyperlink" Target="https://www.tiktok.com/@d.l9801/video/6989189622660173082?lang=vi-VN&amp;is_copy_url=0&amp;is_from_webapp=v1&amp;sender_device=pc&amp;sender_web_id=6983582057944237570" TargetMode="External"/><Relationship Id="rId213" Type="http://schemas.openxmlformats.org/officeDocument/2006/relationships/hyperlink" Target="https://www.tiktok.com/@anhtiendola/video/6994024593291873563?lang=vi-VN&amp;is_copy_url=0&amp;is_from_webapp=v1&amp;sender_device=pc&amp;sender_web_id=6908929983101486593" TargetMode="External"/><Relationship Id="rId334" Type="http://schemas.openxmlformats.org/officeDocument/2006/relationships/hyperlink" Target="https://www.facebook.com/100007200393912/posts/2936098316640153/?d=n" TargetMode="External"/><Relationship Id="rId455" Type="http://schemas.openxmlformats.org/officeDocument/2006/relationships/hyperlink" Target="https://www.tiktok.com/@_ram215/video/6992033998566460698?is_copy_url=0&amp;is_from_webapp=v1&amp;sender_device=pc&amp;sender_web_id=6983582057944237570" TargetMode="External"/><Relationship Id="rId212" Type="http://schemas.openxmlformats.org/officeDocument/2006/relationships/hyperlink" Target="https://www.tiktok.com/@badt99/video/6993612052770098459?is_copy_url=0&amp;is_from_webapp=v1&amp;sender_device=pc&amp;sender_web_id=6908929983101486593" TargetMode="External"/><Relationship Id="rId333" Type="http://schemas.openxmlformats.org/officeDocument/2006/relationships/hyperlink" Target="https://www.facebook.com/100007197069413/posts/2893460727570468/?d=n" TargetMode="External"/><Relationship Id="rId454" Type="http://schemas.openxmlformats.org/officeDocument/2006/relationships/hyperlink" Target="https://www.tiktok.com/@_ram215/video/6991616014534413595?is_copy_url=0&amp;is_from_webapp=v1&amp;sender_device=pc&amp;sender_web_id=6983582057944237570" TargetMode="External"/><Relationship Id="rId211" Type="http://schemas.openxmlformats.org/officeDocument/2006/relationships/hyperlink" Target="https://www.tiktok.com/@badt99/video/6992029651119934747?is_copy_url=0&amp;is_from_webapp=v1&amp;sender_device=pc&amp;sender_web_id=6908929983101486593" TargetMode="External"/><Relationship Id="rId332" Type="http://schemas.openxmlformats.org/officeDocument/2006/relationships/hyperlink" Target="https://www.facebook.com/100069810784981/posts/124533986550294/?d=n" TargetMode="External"/><Relationship Id="rId453" Type="http://schemas.openxmlformats.org/officeDocument/2006/relationships/hyperlink" Target="https://www.tiktok.com/@_ram215/video/6990163737533631770?lang=vi-VN&amp;is_copy_url=0&amp;is_from_webapp=v1&amp;sender_device=pc&amp;sender_web_id=6983582057944237570" TargetMode="External"/><Relationship Id="rId210" Type="http://schemas.openxmlformats.org/officeDocument/2006/relationships/hyperlink" Target="https://www.tiktok.com/@badt99/video/6990905217294306586?is_copy_url=0&amp;is_from_webapp=v1&amp;sender_device=pc&amp;sender_web_id=6908929983101486593" TargetMode="External"/><Relationship Id="rId331" Type="http://schemas.openxmlformats.org/officeDocument/2006/relationships/hyperlink" Target="https://www.facebook.com/100043082003294/posts/483685963077466/?d=n" TargetMode="External"/><Relationship Id="rId452" Type="http://schemas.openxmlformats.org/officeDocument/2006/relationships/hyperlink" Target="https://www.tiktok.com/@_ram215/video/6989810625182534939?lang=vi-VN&amp;is_copy_url=0&amp;is_from_webapp=v1&amp;sender_device=pc&amp;sender_web_id=6983582057944237570" TargetMode="External"/><Relationship Id="rId370" Type="http://schemas.openxmlformats.org/officeDocument/2006/relationships/hyperlink" Target="https://www.tiktok.com/@tieungao1907/video/6992799321049648410?" TargetMode="External"/><Relationship Id="rId491" Type="http://schemas.openxmlformats.org/officeDocument/2006/relationships/hyperlink" Target="https://www.tiktok.com/@khanhkhie/video/6989582358781496602?is_copy_url=0&amp;is_from_webapp=v1&amp;sender_device=pc&amp;sender_web_id=6908929983101486593" TargetMode="External"/><Relationship Id="rId490" Type="http://schemas.openxmlformats.org/officeDocument/2006/relationships/hyperlink" Target="https://www.tiktok.com/@hoduyphuong/video/6989822411969547546?_=&amp;is_copy_url=0&amp;is_from_webapp=v1&amp;sender_device=pc&amp;sender_web_id=6908929983101486593" TargetMode="External"/><Relationship Id="rId129" Type="http://schemas.openxmlformats.org/officeDocument/2006/relationships/hyperlink" Target="https://www.facebook.com/100010592763690/posts/2391267727902963/?d=n" TargetMode="External"/><Relationship Id="rId128" Type="http://schemas.openxmlformats.org/officeDocument/2006/relationships/hyperlink" Target="https://www.facebook.com/100007838504341/posts/3003094156628505/?d=n" TargetMode="External"/><Relationship Id="rId249" Type="http://schemas.openxmlformats.org/officeDocument/2006/relationships/hyperlink" Target="https://www.tiktok.com/@ahihiquyenday/video/6990687687711739162?lang=vi-VN&amp;fbclid=IwAR1OcqMXlBeLquV_ASqxpA4xNnVjN877h_5w896cPMiy3GTLmCtTDeUlygo&amp;is_copy_url=0&amp;is_from_webapp=v1&amp;sender_device=pc&amp;sender_web_id=6908929983101486593" TargetMode="External"/><Relationship Id="rId127" Type="http://schemas.openxmlformats.org/officeDocument/2006/relationships/hyperlink" Target="https://www.tiktok.com/@lrb291/video/6985890980520004891?" TargetMode="External"/><Relationship Id="rId248" Type="http://schemas.openxmlformats.org/officeDocument/2006/relationships/hyperlink" Target="https://www.tiktok.com/@nqhunn/video/6990258061231295770?lang=vi-VN&amp;is_copy_url=0&amp;is_from_webapp=v1&amp;sender_device=pc&amp;sender_web_id=6908929983101486593" TargetMode="External"/><Relationship Id="rId369" Type="http://schemas.openxmlformats.org/officeDocument/2006/relationships/hyperlink" Target="https://www.tiktok.com/@tieungao1907/video/6992152112226422042?" TargetMode="External"/><Relationship Id="rId126" Type="http://schemas.openxmlformats.org/officeDocument/2006/relationships/hyperlink" Target="https://www.tiktok.com/@linhpu1412/video/6984629939911920922?" TargetMode="External"/><Relationship Id="rId247" Type="http://schemas.openxmlformats.org/officeDocument/2006/relationships/hyperlink" Target="https://www.tiktok.com/@hoduyphuong/video/6994648169946631450?_=&amp;is_copy_url=0&amp;is_from_webapp=v1&amp;sender_device=pc&amp;sender_web_id=6908929983101486593" TargetMode="External"/><Relationship Id="rId368" Type="http://schemas.openxmlformats.org/officeDocument/2006/relationships/hyperlink" Target="https://www.tiktok.com/@tieungao1907/video/6990195785925266715?" TargetMode="External"/><Relationship Id="rId489" Type="http://schemas.openxmlformats.org/officeDocument/2006/relationships/hyperlink" Target="https://www.tiktok.com/@hoduyphuong/video/6989081767756025114?_=&amp;is_copy_url=0&amp;is_from_webapp=v1&amp;sender_device=pc&amp;sender_web_id=6908929983101486593" TargetMode="External"/><Relationship Id="rId121" Type="http://schemas.openxmlformats.org/officeDocument/2006/relationships/hyperlink" Target="https://www.facebook.com/100004629070346/posts/2004499493047667/?d=n" TargetMode="External"/><Relationship Id="rId242" Type="http://schemas.openxmlformats.org/officeDocument/2006/relationships/hyperlink" Target="https://www.tiktok.com/@letrang_2k2/video/6996520221645360410?lang=vi-VN&amp;is_copy_url=0&amp;is_from_webapp=v1&amp;sender_device=pc&amp;sender_web_id=6908929983101486593" TargetMode="External"/><Relationship Id="rId363" Type="http://schemas.openxmlformats.org/officeDocument/2006/relationships/hyperlink" Target="https://www.tiktok.com/@vuhphuong/video/6990605119071063322?" TargetMode="External"/><Relationship Id="rId484" Type="http://schemas.openxmlformats.org/officeDocument/2006/relationships/hyperlink" Target="https://www.tiktok.com/@nguyenhanghuong96/video/6993308751197424922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120" Type="http://schemas.openxmlformats.org/officeDocument/2006/relationships/hyperlink" Target="https://www.tiktok.com/@trungke.ontiktok/video/6988082977817382170?lang=vi-VN&amp;is_copy_url=0&amp;is_from_webapp=v1&amp;sender_device=pc&amp;sender_web_id=6982736742253446658" TargetMode="External"/><Relationship Id="rId241" Type="http://schemas.openxmlformats.org/officeDocument/2006/relationships/hyperlink" Target="https://www.tiktok.com/@letrang_2k2/video/6995771966208707867?lang=vi-VN&amp;is_copy_url=0&amp;is_from_webapp=v1&amp;sender_device=pc&amp;sender_web_id=6908929983101486593" TargetMode="External"/><Relationship Id="rId362" Type="http://schemas.openxmlformats.org/officeDocument/2006/relationships/hyperlink" Target="https://www.facebook.com/NguyenNhatHoangHon/videos/211853327452130" TargetMode="External"/><Relationship Id="rId483" Type="http://schemas.openxmlformats.org/officeDocument/2006/relationships/hyperlink" Target="https://www.tiktok.com/@tienkhautrang200299/video/6996981453611420954?is_copy_url=0&amp;is_from_webapp=v1&amp;sender_device=pc&amp;sender_web_id=6983582057944237570" TargetMode="External"/><Relationship Id="rId240" Type="http://schemas.openxmlformats.org/officeDocument/2006/relationships/hyperlink" Target="https://www.tiktok.com/@letrang_2k2/video/6994684555940695323?lang=vi-VN&amp;is_copy_url=0&amp;is_from_webapp=v1&amp;sender_device=pc&amp;sender_web_id=6908929983101486593" TargetMode="External"/><Relationship Id="rId361" Type="http://schemas.openxmlformats.org/officeDocument/2006/relationships/hyperlink" Target="https://www.facebook.com/NguyenNhatHoangHon/videos/3086011155009495" TargetMode="External"/><Relationship Id="rId482" Type="http://schemas.openxmlformats.org/officeDocument/2006/relationships/hyperlink" Target="https://www.facebook.com/trungthu9x/videos/4302304036494266" TargetMode="External"/><Relationship Id="rId360" Type="http://schemas.openxmlformats.org/officeDocument/2006/relationships/hyperlink" Target="https://www.tiktok.com/@nhathoanghon/video/6996498611945180443?" TargetMode="External"/><Relationship Id="rId481" Type="http://schemas.openxmlformats.org/officeDocument/2006/relationships/hyperlink" Target="https://www.tiktok.com/@hkl209/video/6996989575365250330?_d=secCgYIASAHKAESMgowcXa5QiEGVeEYGpz0c4C51r4Nwtk%2Fw4PhII2UZz8Dkcr2GjD9r6ecTbL6iu3J%2BJhzGgA%3D&amp;checksum=6d3c27d5eb2ffb3d2c4d861295cc7cf447020ef7aa6f2f65addb44f4fe0f3d67&amp;language=vi&amp;sec_uid=MS4wLjABAAAAbEy_ZU7J4xveIKBfuCXUVuIOSuNwZTiQ6RCOU5_gEeJPm4HfAItMKJOhmv43aDEo&amp;sec_user_id=MS4wLjABAAAAbEy_ZU7J4xveIKBfuCXUVuIOSuNwZTiQ6RCOU5_gEeJPm4HfAItMKJOhmv43aDEo&amp;share_app_id=1180&amp;share_author_id=6763629426921309186&amp;share_link_id=B9708286-A1C6-4040-A9E1-F4BC6C2056DC&amp;tt_from=copy&amp;u_code=d9ee34mghic707&amp;user_id=6763629426921309186&amp;utm_campaign=client_share&amp;utm_medium=ios&amp;utm_source=copy&amp;source=h5_t&amp;_r=1&amp;is_copy_url=0&amp;is_from_webapp=v1&amp;sender_device=pc&amp;sender_web_id=6983582057944237570" TargetMode="External"/><Relationship Id="rId125" Type="http://schemas.openxmlformats.org/officeDocument/2006/relationships/hyperlink" Target="https://www.tiktok.com/@thuycute05123/video/6985715429998185754?lang=vi-VN&amp;is_copy_url=0&amp;is_from_webapp=v1&amp;sender_device=pc&amp;sender_web_id=6992511724982355458" TargetMode="External"/><Relationship Id="rId246" Type="http://schemas.openxmlformats.org/officeDocument/2006/relationships/hyperlink" Target="https://www.tiktok.com/@hth.1909/video/6994767042830290202?l=&amp;is_copy_url=0&amp;is_from_webapp=v1&amp;sender_device=pc&amp;sender_web_id=6908929983101486593" TargetMode="External"/><Relationship Id="rId367" Type="http://schemas.openxmlformats.org/officeDocument/2006/relationships/hyperlink" Target="https://www.tiktok.com/@huongmin_/video/6991695117237226779?" TargetMode="External"/><Relationship Id="rId488" Type="http://schemas.openxmlformats.org/officeDocument/2006/relationships/hyperlink" Target="https://www.facebook.com/pu.be.7547/videos/349721976824292" TargetMode="External"/><Relationship Id="rId124" Type="http://schemas.openxmlformats.org/officeDocument/2006/relationships/hyperlink" Target="https://www.tiktok.com/@d.l9801/video/6987334399184358682" TargetMode="External"/><Relationship Id="rId245" Type="http://schemas.openxmlformats.org/officeDocument/2006/relationships/hyperlink" Target="https://www.tiktok.com/@vthnhung._/video/6995921312413764890?lang=vi-VN&amp;is_copy_url=0&amp;is_from_webapp=v1&amp;sender_device=pc&amp;sender_web_id=6908929983101486593" TargetMode="External"/><Relationship Id="rId366" Type="http://schemas.openxmlformats.org/officeDocument/2006/relationships/hyperlink" Target="https://www.tiktok.com/@vuhphuong/video/6996587171914239259?" TargetMode="External"/><Relationship Id="rId487" Type="http://schemas.openxmlformats.org/officeDocument/2006/relationships/hyperlink" Target="https://www.tiktok.com/@shoppingfamily_/video/6997294790522031386?is_copy_url=0&amp;is_from_webapp=v1&amp;sender_device=pc&amp;sender_web_id=6908929983101486593" TargetMode="External"/><Relationship Id="rId123" Type="http://schemas.openxmlformats.org/officeDocument/2006/relationships/hyperlink" Target="https://www.tiktok.com/@d.l9801/video/6985478364412824859" TargetMode="External"/><Relationship Id="rId244" Type="http://schemas.openxmlformats.org/officeDocument/2006/relationships/hyperlink" Target="https://www.tiktok.com/@tranganh_cosplay/video/6996988584024640795?_d=secCgYIASAHKAESMgow6kWfJFS26qRvFM52A8QKYZ0XsfqHVtsBSY8oLbKsC0ZFm4XrcXeoAL%2B%2FGiqEE50%2BGgA%3D&amp;checksum=d9d1bc84238947a2e75ebaa7b397224f59b23c1a0748e121e72ec78e6583a8cf&amp;language=vi&amp;mid=6996988567226551067&amp;preview_pb=0&amp;region=VN&amp;sec_user_id=MS4wLjABAAAAwZCJNX8j_DtFn_jQxEgRIkryPT9ZLy2dMkMcRxKD8ZjowMHuJB-dsK3Yh9MS2771&amp;share_app_id=1180&amp;share_item_id=6996988584024640795&amp;share_link_id=6903948E-9D9C-4389-B7B9-500EDF05AB13&amp;source=h5_t&amp;timestamp=1629113433&amp;tt_from=copy&amp;u_code=dgm3d55gh27851&amp;user_id=6924216616336442369&amp;utm_campaign=client_share&amp;utm_medium=ios&amp;utm_source=copy&amp;_r=1&amp;is_copy_url=0&amp;is_from_webapp=v1&amp;sender_device=pc&amp;sender_web_id=6908929983101486593" TargetMode="External"/><Relationship Id="rId365" Type="http://schemas.openxmlformats.org/officeDocument/2006/relationships/hyperlink" Target="https://www.tiktok.com/@vuhphuong/video/6994257206896119066?" TargetMode="External"/><Relationship Id="rId486" Type="http://schemas.openxmlformats.org/officeDocument/2006/relationships/hyperlink" Target="https://www.tiktok.com/@nguyenhanghuong96/video/6997237457565601050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122" Type="http://schemas.openxmlformats.org/officeDocument/2006/relationships/hyperlink" Target="https://www.facebook.com/mushroom.cool88/posts/4240907052671021" TargetMode="External"/><Relationship Id="rId243" Type="http://schemas.openxmlformats.org/officeDocument/2006/relationships/hyperlink" Target="https://www.tiktok.com/@huemid_03/video/6997240036609608987?lang=vi-VN&amp;is_copy_url=0&amp;is_from_webapp=v1&amp;sender_device=pc&amp;sender_web_id=6908929983101486593" TargetMode="External"/><Relationship Id="rId364" Type="http://schemas.openxmlformats.org/officeDocument/2006/relationships/hyperlink" Target="https://www.tiktok.com/@vuhphuong/video/6991435675203587354?" TargetMode="External"/><Relationship Id="rId485" Type="http://schemas.openxmlformats.org/officeDocument/2006/relationships/hyperlink" Target="https://www.tiktok.com/@nguyenhanghuong96/video/6996865355708697883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95" Type="http://schemas.openxmlformats.org/officeDocument/2006/relationships/hyperlink" Target="https://www.tiktok.com/@trangrung08/video/698691186544823836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4" Type="http://schemas.openxmlformats.org/officeDocument/2006/relationships/hyperlink" Target="https://www.tiktok.com/@trangrung08/video/6986548298593078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7" Type="http://schemas.openxmlformats.org/officeDocument/2006/relationships/hyperlink" Target="https://www.tiktok.com/@trangrung08/video/6988324224867798299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96" Type="http://schemas.openxmlformats.org/officeDocument/2006/relationships/hyperlink" Target="https://www.tiktok.com/@trangrung08/video/698797118569477250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9" Type="http://schemas.openxmlformats.org/officeDocument/2006/relationships/hyperlink" Target="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480" Type="http://schemas.openxmlformats.org/officeDocument/2006/relationships/hyperlink" Target="https://www.facebook.com/ngoducanh1012.bg/videos/4388514157874243" TargetMode="External"/><Relationship Id="rId98" Type="http://schemas.openxmlformats.org/officeDocument/2006/relationships/hyperlink" Target="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91" Type="http://schemas.openxmlformats.org/officeDocument/2006/relationships/hyperlink" Target="https://www.tiktok.com/@ducvamy/video/6988410622690004251?lang=vi-VN&amp;is_copy_url=0&amp;is_from_webapp=v1&amp;sender_device=pc&amp;sender_web_id=6983582057944237570" TargetMode="External"/><Relationship Id="rId90" Type="http://schemas.openxmlformats.org/officeDocument/2006/relationships/hyperlink" Target="https://www.facebook.com/thanhhuyen.bgvn/videos/338390987868753" TargetMode="External"/><Relationship Id="rId93" Type="http://schemas.openxmlformats.org/officeDocument/2006/relationships/hyperlink" Target="https://www.tiktok.com/@trangrung08/video/698613519547266178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2" Type="http://schemas.openxmlformats.org/officeDocument/2006/relationships/hyperlink" Target="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18" Type="http://schemas.openxmlformats.org/officeDocument/2006/relationships/hyperlink" Target="https://www.tiktok.com/@dinhtrangthao03/video/6987710639842004250?lang=vi-VN&amp;is_copy_url=0&amp;is_from_webapp=v1&amp;sender_device=pc&amp;sender_web_id=6982736742253446658" TargetMode="External"/><Relationship Id="rId239" Type="http://schemas.openxmlformats.org/officeDocument/2006/relationships/hyperlink" Target="https://www.tiktok.com/@cu_bo32/video/6996629466961284378?lang=vi-VN&amp;is_copy_url=0&amp;is_from_webapp=v1&amp;sender_device=pc&amp;sender_web_id=6908929983101486593" TargetMode="External"/><Relationship Id="rId117" Type="http://schemas.openxmlformats.org/officeDocument/2006/relationships/hyperlink" Target="https://www.tiktok.com/@dinhtrangthao03/video/6986965664674221338?lang=vi-VN&amp;is_copy_url=0&amp;is_from_webapp=v1&amp;sender_device=pc&amp;sender_web_id=6983582057944237570" TargetMode="External"/><Relationship Id="rId238" Type="http://schemas.openxmlformats.org/officeDocument/2006/relationships/hyperlink" Target="https://www.tiktok.com/@anhthuyet/video/6995883310408944922?lang=vi-VN&amp;is_copy_url=0&amp;is_from_webapp=v1&amp;sender_device=pc&amp;sender_web_id=6908929983101486593" TargetMode="External"/><Relationship Id="rId359" Type="http://schemas.openxmlformats.org/officeDocument/2006/relationships/hyperlink" Target="https://www.tiktok.com/@nhathoanghon/video/6993524660939885851?" TargetMode="External"/><Relationship Id="rId116" Type="http://schemas.openxmlformats.org/officeDocument/2006/relationships/hyperlink" Target="https://www.tiktok.com/@dinhtrangthao03/video/6986220375331966235?lang=vi-VN&amp;is_copy_url=0&amp;is_from_webapp=v1&amp;sender_device=pc&amp;sender_web_id=6983582057944237570" TargetMode="External"/><Relationship Id="rId237" Type="http://schemas.openxmlformats.org/officeDocument/2006/relationships/hyperlink" Target="https://www.tiktok.com/@anhthuyet/video/6995504440773971227?lang=vi-VN&amp;is_copy_url=0&amp;is_from_webapp=v1&amp;sender_device=pc&amp;sender_web_id=6908929983101486593" TargetMode="External"/><Relationship Id="rId358" Type="http://schemas.openxmlformats.org/officeDocument/2006/relationships/hyperlink" Target="https://www.tiktok.com/@nhathoanghon/video/6992540553892220186?" TargetMode="External"/><Relationship Id="rId479" Type="http://schemas.openxmlformats.org/officeDocument/2006/relationships/hyperlink" Target="https://www.facebook.com/trinhanhduc206/videos/512211576506040" TargetMode="External"/><Relationship Id="rId115" Type="http://schemas.openxmlformats.org/officeDocument/2006/relationships/hyperlink" Target="https://www.tiktok.com/@_hvqt_/video/6988284628704464155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6" Type="http://schemas.openxmlformats.org/officeDocument/2006/relationships/hyperlink" Target="https://www.tiktok.com/@kngn212/video/6995908693707558145?lang=vi-VN&amp;is_copy_url=0&amp;is_from_webapp=v1&amp;sender_device=pc&amp;sender_web_id=6908929983101486593" TargetMode="External"/><Relationship Id="rId357" Type="http://schemas.openxmlformats.org/officeDocument/2006/relationships/hyperlink" Target="https://www.tiktok.com/@nhathoanghon/video/6992163733153844506?" TargetMode="External"/><Relationship Id="rId478" Type="http://schemas.openxmlformats.org/officeDocument/2006/relationships/hyperlink" Target="https://www.tiktok.com/@thuhuong2xx1/video/6996979355477871899?is_copy_url=0&amp;is_from_webapp=v1&amp;sender_device=pc&amp;sender_web_id=6983582057944237570" TargetMode="External"/><Relationship Id="rId119" Type="http://schemas.openxmlformats.org/officeDocument/2006/relationships/hyperlink" Target="https://www.tiktok.com/@10103anh/video/6988433610764324122?is_copy_url=0&amp;is_from_webapp=v1&amp;sender_device=pc&amp;sender_web_id=6983582057944237570" TargetMode="External"/><Relationship Id="rId110" Type="http://schemas.openxmlformats.org/officeDocument/2006/relationships/hyperlink" Target="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31" Type="http://schemas.openxmlformats.org/officeDocument/2006/relationships/hyperlink" Target="https://www.tiktok.com/@cu_bo32/video/6994041086737911066?is_copy_url=0&amp;is_from_webapp=v1&amp;sender_device=pc&amp;sender_web_id=6908929983101486593" TargetMode="External"/><Relationship Id="rId352" Type="http://schemas.openxmlformats.org/officeDocument/2006/relationships/hyperlink" Target="https://www.tiktok.com/@vansat97/video/6990675984127216923?" TargetMode="External"/><Relationship Id="rId473" Type="http://schemas.openxmlformats.org/officeDocument/2006/relationships/hyperlink" Target="https://www.facebook.com/phan.thanhhue/videos/533888777727779" TargetMode="External"/><Relationship Id="rId230" Type="http://schemas.openxmlformats.org/officeDocument/2006/relationships/hyperlink" Target="https://www.tiktok.com/@ngoafood_/video/6994785675635608858?" TargetMode="External"/><Relationship Id="rId351" Type="http://schemas.openxmlformats.org/officeDocument/2006/relationships/hyperlink" Target="https://www.tiktok.com/@huynh4nhh/video/6996625988977413402?" TargetMode="External"/><Relationship Id="rId472" Type="http://schemas.openxmlformats.org/officeDocument/2006/relationships/hyperlink" Target="https://www.facebook.com/ngoloi.1979/videos/894534377806357" TargetMode="External"/><Relationship Id="rId350" Type="http://schemas.openxmlformats.org/officeDocument/2006/relationships/hyperlink" Target="https://www.tiktok.com/@huynh4nhh/video/6995393904245738778?" TargetMode="External"/><Relationship Id="rId471" Type="http://schemas.openxmlformats.org/officeDocument/2006/relationships/hyperlink" Target="https://www.tiktok.com/@thaihagiang25/video/6995535245655231770?_d=secCgYIASAHKAESMgowxG0qer5KOTG3HWK3qCL7GN7oKIMtE9pYAqKQaWJxZ71nyocuA%2BvpFZCGkGNr8%2F9nGgA%3D&amp;checksum=4e71203219780f87be0cc86efcd535efce0cb0f2df6a38d289491d72414accb8&amp;language=vi&amp;mid=6995535251929959195&amp;preview_pb=0&amp;region=VN&amp;sec_user_id=MS4wLjABAAAAiP-0-2oiTEagOFH_LHH3Q5XkY7OfYr5prJMjhUh6bCTy0FBoE2DehLJDjAswPQLY&amp;share_app_id=1180&amp;share_item_id=6995535245655231770&amp;share_link_id=6bc3b62e-d3d6-4bff-bd10-1b82b28b75b7&amp;source=h5_t&amp;timestamp=1628870248&amp;u_code=dcg95afb7dg1bk&amp;user_id=6831075834708689921&amp;utm_campaign=client_share&amp;utm_medium=android&amp;utm_source=copy&amp;_r=1&amp;is_copy_url=0&amp;is_from_webapp=v1&amp;sender_device=pc&amp;sender_web_id=6983582057944237570" TargetMode="External"/><Relationship Id="rId470" Type="http://schemas.openxmlformats.org/officeDocument/2006/relationships/hyperlink" Target="https://www.facebook.com/nguyenthamnb/videos/516262562785297" TargetMode="External"/><Relationship Id="rId114" Type="http://schemas.openxmlformats.org/officeDocument/2006/relationships/hyperlink" Target="https://www.tiktok.com/@_hvqt_/video/6987921745013493018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5" Type="http://schemas.openxmlformats.org/officeDocument/2006/relationships/hyperlink" Target="https://www.tiktok.com/@huemid_03/video/6995380895683251483?lang=vi-VN&amp;is_copy_url=0&amp;is_from_webapp=v1&amp;sender_device=pc&amp;sender_web_id=6908929983101486593" TargetMode="External"/><Relationship Id="rId356" Type="http://schemas.openxmlformats.org/officeDocument/2006/relationships/hyperlink" Target="https://www.tiktok.com/@nhathoanghon/video/6990930171633159450?" TargetMode="External"/><Relationship Id="rId477" Type="http://schemas.openxmlformats.org/officeDocument/2006/relationships/hyperlink" Target="https://www.facebook.com/100006351731572/videos/pcb.3167338600154500/378913080264829" TargetMode="External"/><Relationship Id="rId113" Type="http://schemas.openxmlformats.org/officeDocument/2006/relationships/hyperlink" Target="https://www.tiktok.com/@_hvqt_/video/698727529236460674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4" Type="http://schemas.openxmlformats.org/officeDocument/2006/relationships/hyperlink" Target="https://www.tiktok.com/@huemid_03/video/6994764524733697307?lang=vi-VN&amp;is_copy_url=0&amp;is_from_webapp=v1&amp;sender_device=pc&amp;sender_web_id=6908929983101486593" TargetMode="External"/><Relationship Id="rId355" Type="http://schemas.openxmlformats.org/officeDocument/2006/relationships/hyperlink" Target="https://www.tiktok.com/@nhathoanghon/video/6989935461955341594?" TargetMode="External"/><Relationship Id="rId476" Type="http://schemas.openxmlformats.org/officeDocument/2006/relationships/hyperlink" Target="https://www.tiktok.com/@thu.kobito/video/6997247480777706753?lang=vi-VN&amp;is_copy_url=0&amp;is_from_webapp=v1&amp;sender_device=pc&amp;sender_web_id=6983582057944237570" TargetMode="External"/><Relationship Id="rId112" Type="http://schemas.openxmlformats.org/officeDocument/2006/relationships/hyperlink" Target="https://www.tiktok.com/@_hvqt_/video/6986940501475855642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33" Type="http://schemas.openxmlformats.org/officeDocument/2006/relationships/hyperlink" Target="https://www.instagram.com/reel/CSWlV8VJM49/" TargetMode="External"/><Relationship Id="rId354" Type="http://schemas.openxmlformats.org/officeDocument/2006/relationships/hyperlink" Target="https://www.tiktok.com/@vansat97/video/6996935837602581787?" TargetMode="External"/><Relationship Id="rId475" Type="http://schemas.openxmlformats.org/officeDocument/2006/relationships/hyperlink" Target="https://www.tiktok.com/@thu.kobito/video/6996154736714075393?lang=vi-VN&amp;is_copy_url=0&amp;is_from_webapp=v1&amp;sender_device=pc&amp;sender_web_id=6983582057944237570" TargetMode="External"/><Relationship Id="rId111" Type="http://schemas.openxmlformats.org/officeDocument/2006/relationships/hyperlink" Target="https://www.tiktok.com/@_hvqt_/video/698649681329345666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2" Type="http://schemas.openxmlformats.org/officeDocument/2006/relationships/hyperlink" Target="https://www.tiktok.com/@toanprdsofficial/video/6994400376417979674?" TargetMode="External"/><Relationship Id="rId353" Type="http://schemas.openxmlformats.org/officeDocument/2006/relationships/hyperlink" Target="https://www.tiktok.com/@vansat97/video/6994347174536563994?" TargetMode="External"/><Relationship Id="rId474" Type="http://schemas.openxmlformats.org/officeDocument/2006/relationships/hyperlink" Target="https://www.tiktok.com/@vomai2412/video/6995019627843685659?_d=secCgYIASAHKAESMgowXjeQ4HBf8FFnZkWdjzJLZizmnbvqTbqIGbl5yxrvQRUSIXKybDjfSmVhzP%2FVQsSOGgA%3D&amp;checksum=49ce1e95839b35157fba9e9126a4dbad326396f623a6e73af6408da9d1c3761e&amp;language=vi&amp;sec_uid=MS4wLjABAAAAakcoLn0AH5d0lix39quyCHbeQ03KVcBklMVDcbdxXNpvr5r1DrAsI5YZtHHqLDeV&amp;sec_user_id=MS4wLjABAAAAakcoLn0AH5d0lix39quyCHbeQ03KVcBklMVDcbdxXNpvr5r1DrAsI5YZtHHqLDeV&amp;share_app_id=1180&amp;share_author_id=6854816817475781633&amp;share_link_id=8E18F6E1-DCBB-4681-98A2-26A180A0B665&amp;tt_from=copy&amp;u_code=ddi77ac9ek69je&amp;user_id=6854816817475781633&amp;utm_campaign=client_share&amp;utm_medium=ios&amp;utm_source=copy&amp;source=h5_t&amp;_r=1&amp;is_copy_url=0&amp;is_from_webapp=v1&amp;sender_device=pc&amp;sender_web_id=6983582057944237570" TargetMode="External"/><Relationship Id="rId305" Type="http://schemas.openxmlformats.org/officeDocument/2006/relationships/hyperlink" Target="https://www.tiktok.com/@tinhnguyen241298/video/6992424102241799425" TargetMode="External"/><Relationship Id="rId426" Type="http://schemas.openxmlformats.org/officeDocument/2006/relationships/hyperlink" Target="https://www.tiktok.com/@dinhtrangthao03/video/6992164180686114075?lang=vi-VN&amp;is_copy_url=0&amp;is_from_webapp=v1&amp;sender_device=pc&amp;sender_web_id=6983582057944237570" TargetMode="External"/><Relationship Id="rId304" Type="http://schemas.openxmlformats.org/officeDocument/2006/relationships/hyperlink" Target="https://www.tiktok.com/@tinhnguyen241298/video/6991059476782648602?" TargetMode="External"/><Relationship Id="rId425" Type="http://schemas.openxmlformats.org/officeDocument/2006/relationships/hyperlink" Target="https://www.tiktok.com/@dinhtrangthao03/video/6991786929654074650?lang=vi-VN&amp;is_copy_url=0&amp;is_from_webapp=v1&amp;sender_device=pc&amp;sender_web_id=6983582057944237570" TargetMode="External"/><Relationship Id="rId303" Type="http://schemas.openxmlformats.org/officeDocument/2006/relationships/hyperlink" Target="https://www.tiktok.com/@tinhnguyen241298/video/6989944203329490202?" TargetMode="External"/><Relationship Id="rId424" Type="http://schemas.openxmlformats.org/officeDocument/2006/relationships/hyperlink" Target="https://www.tiktok.com/@mymyle231/video/6994782586488884507?_d=secCgYIASAHKAESMgowTaSPXVETCF5LBZ2O1P4%2B%2Bpuo%2FsLIImw4rfuTk7DhD1mRselvhM6Npjaeqic1%2BbBFGgA%3D&amp;checksum=163751001ab23af1c2c78e9851d71e6875de52c80b438b524155997dd9acca73&amp;language=vi&amp;sec_uid=MS4wLjABAAAAz-DRqWdEA0u8ksBqZGQ0p9f81Zylnj5QUvUY0hktvKQ7dfoIqLRsOilg2gcz22Nj&amp;sec_user_id=MS4wLjABAAAABZoGHXrZBRfUXemmSi4q3avURclQFi4x2Whu9VjcIcT76FNFZkqEczdQ-sOpcqo6&amp;share_app_id=1180&amp;share_author_id=6792047944855176193&amp;share_link_id=2BF209A4-1DED-4FE8-9E56-90ACCC6E051C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2" Type="http://schemas.openxmlformats.org/officeDocument/2006/relationships/hyperlink" Target="https://www.tiktok.com/@kiethatinh.2000/video/6997350832609955098?" TargetMode="External"/><Relationship Id="rId423" Type="http://schemas.openxmlformats.org/officeDocument/2006/relationships/hyperlink" Target="https://www.tiktok.com/@neyunn98/video/6989940398487506202?lang=vi-VN&amp;is_copy_url=0&amp;is_from_webapp=v1&amp;sender_device=pc&amp;sender_web_id=6983582057944237570" TargetMode="External"/><Relationship Id="rId309" Type="http://schemas.openxmlformats.org/officeDocument/2006/relationships/hyperlink" Target="https://www.tiktok.com/@vsorl0602/video/6995845369380801818?" TargetMode="External"/><Relationship Id="rId308" Type="http://schemas.openxmlformats.org/officeDocument/2006/relationships/hyperlink" Target="https://www.tiktok.com/@vsorl0602/video/6996227645579005211?" TargetMode="External"/><Relationship Id="rId429" Type="http://schemas.openxmlformats.org/officeDocument/2006/relationships/hyperlink" Target="https://www.tiktok.com/@dinhtrangthao03/video/6994393946998787354?lang=vi-VN&amp;is_copy_url=0&amp;is_from_webapp=v1&amp;sender_device=pc&amp;sender_web_id=6983582057944237570" TargetMode="External"/><Relationship Id="rId307" Type="http://schemas.openxmlformats.org/officeDocument/2006/relationships/hyperlink" Target="https://www.tiktok.com/@tinhnguyen241298/video/6994386336115461378?" TargetMode="External"/><Relationship Id="rId428" Type="http://schemas.openxmlformats.org/officeDocument/2006/relationships/hyperlink" Target="https://www.tiktok.com/@dinhtrangthao03/video/6993652665104239899?lang=vi-VN&amp;is_copy_url=0&amp;is_from_webapp=v1&amp;sender_device=pc&amp;sender_web_id=6983582057944237570" TargetMode="External"/><Relationship Id="rId306" Type="http://schemas.openxmlformats.org/officeDocument/2006/relationships/hyperlink" Target="https://www.tiktok.com/@tinhnguyen241298/video/6993645076631129346?" TargetMode="External"/><Relationship Id="rId427" Type="http://schemas.openxmlformats.org/officeDocument/2006/relationships/hyperlink" Target="https://www.tiktok.com/@dinhtrangthao03/video/6992901545285192986?lang=vi-VN&amp;is_copy_url=0&amp;is_from_webapp=v1&amp;sender_device=pc&amp;sender_web_id=6983582057944237570" TargetMode="External"/><Relationship Id="rId301" Type="http://schemas.openxmlformats.org/officeDocument/2006/relationships/hyperlink" Target="https://www.tiktok.com/@kiethatinh.2000/video/6993647070087318810?" TargetMode="External"/><Relationship Id="rId422" Type="http://schemas.openxmlformats.org/officeDocument/2006/relationships/hyperlink" Target="https://www.tiktok.com/@_hvqt_/video/699479055700014210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0" Type="http://schemas.openxmlformats.org/officeDocument/2006/relationships/hyperlink" Target="https://www.tiktok.com/@kiethatinh.2000/video/6992533439295589658?" TargetMode="External"/><Relationship Id="rId421" Type="http://schemas.openxmlformats.org/officeDocument/2006/relationships/hyperlink" Target="https://www.tiktok.com/@_hvqt_/video/6990246796161305883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20" Type="http://schemas.openxmlformats.org/officeDocument/2006/relationships/hyperlink" Target="https://www.tiktok.com/@_hvqt_/video/6990170909084486939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5" Type="http://schemas.openxmlformats.org/officeDocument/2006/relationships/hyperlink" Target="https://www.tiktok.com/@truongvihihi/video/699316283854620597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4" Type="http://schemas.openxmlformats.org/officeDocument/2006/relationships/hyperlink" Target="https://www.tiktok.com/@truongvihihi/video/6992045152248302875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3" Type="http://schemas.openxmlformats.org/officeDocument/2006/relationships/hyperlink" Target="https://www.tiktok.com/@truongvihihi/video/699130674706753461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2" Type="http://schemas.openxmlformats.org/officeDocument/2006/relationships/hyperlink" Target="https://www.tiktok.com/@thupin_0109/video/6989092024280534298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9" Type="http://schemas.openxmlformats.org/officeDocument/2006/relationships/hyperlink" Target="https://www.tiktok.com/@tolathule/video/6994777706277702938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8" Type="http://schemas.openxmlformats.org/officeDocument/2006/relationships/hyperlink" Target="https://www.tiktok.com/@tolathule/video/6988851041768869147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7" Type="http://schemas.openxmlformats.org/officeDocument/2006/relationships/hyperlink" Target="https://www.tiktok.com/@tolathule/video/6988739354269191451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6" Type="http://schemas.openxmlformats.org/officeDocument/2006/relationships/hyperlink" Target="https://www.tiktok.com/@truongvihihi/video/6996879556019768602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1" Type="http://schemas.openxmlformats.org/officeDocument/2006/relationships/hyperlink" Target="https://www.tiktok.com/@trangrung08/video/699505752611488079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0" Type="http://schemas.openxmlformats.org/officeDocument/2006/relationships/hyperlink" Target="https://www.tiktok.com/@trangrung08/video/6993637921463094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06" Type="http://schemas.openxmlformats.org/officeDocument/2006/relationships/hyperlink" Target="https://www.tiktok.com/@letrang_2k2/video/6992052221353430299?is_copy_url=0&amp;is_from_webapp=v1&amp;sender_device=pc&amp;sender_web_id=6908929983101486593" TargetMode="External"/><Relationship Id="rId327" Type="http://schemas.openxmlformats.org/officeDocument/2006/relationships/hyperlink" Target="https://www.tiktok.com/@unheo1219/video/6995880449323093275?" TargetMode="External"/><Relationship Id="rId448" Type="http://schemas.openxmlformats.org/officeDocument/2006/relationships/hyperlink" Target="https://www.tiktok.com/@buingocphuongtrang/video/6990693452635802907?is_copy_url=0&amp;is_from_webapp=v1&amp;sender_device=pc&amp;sender_web_id=6983582057944237570" TargetMode="External"/><Relationship Id="rId205" Type="http://schemas.openxmlformats.org/officeDocument/2006/relationships/hyperlink" Target="https://www.tiktok.com/@letrang_2k2/video/6991435077972413722?is_copy_url=0&amp;is_from_webapp=v1&amp;sender_device=pc&amp;sender_web_id=6908929983101486593" TargetMode="External"/><Relationship Id="rId326" Type="http://schemas.openxmlformats.org/officeDocument/2006/relationships/hyperlink" Target="https://www.facebook.com/Vunguyetthu91/videos/529118878334036/" TargetMode="External"/><Relationship Id="rId447" Type="http://schemas.openxmlformats.org/officeDocument/2006/relationships/hyperlink" Target="https://www.tiktok.com/@quynhgo/video/6996534884558753051?_d=secCgYIASAHKAESMgowZ2qmwgNXbrXjyq5FMspQ8QPAe497lrGNYHE2YQR7gYaI98nZqpeeYJltX2nNGNmdGgA%3D&amp;language=vi&amp;sec_uid=MS4wLjABAAAABfLOBt9R09gaACxATvC4jQctf1hHzekfnjNO_8JPDhOVsu269vPHXL2YJZ5zKDBd&amp;sec_user_id=MS4wLjABAAAABfLOBt9R09gaACxATvC4jQctf1hHzekfnjNO_8JPDhOVsu269vPHXL2YJZ5zKDBd&amp;share_app_id=1180&amp;share_author_id=6983460434691474434&amp;share_link_id=51F09909-305D-4EED-8B27-DB67A29A0995&amp;tt_from=copy&amp;u_code=djf7f9373af1h6&amp;user_id=6983460434691474434&amp;utm_campaign=client_share&amp;utm_medium=ios&amp;utm_source=copy&amp;source=h5_t&amp;_r=1&amp;is_copy_url=0&amp;is_from_webapp=v1&amp;sender_device=pc&amp;sender_web_id=6983582057944237570" TargetMode="External"/><Relationship Id="rId204" Type="http://schemas.openxmlformats.org/officeDocument/2006/relationships/hyperlink" Target="https://www.tiktok.com/@letrang_2k2/video/6990197204019350810?is_copy_url=0&amp;is_from_webapp=v1&amp;sender_device=pc&amp;sender_web_id=6908929983101486593" TargetMode="External"/><Relationship Id="rId325" Type="http://schemas.openxmlformats.org/officeDocument/2006/relationships/hyperlink" Target="https://www.facebook.com/nuong.truongthimy/videos/168974925323712" TargetMode="External"/><Relationship Id="rId446" Type="http://schemas.openxmlformats.org/officeDocument/2006/relationships/hyperlink" Target="https://www.tiktok.com/@quynhgo/video/6995941766083955994?_d=secCgYIASAHKAESMgowZ2qmwgNXbrXjyq5FMspQ8QPAe497lrGNYHE2YQR7gYaI98nZqpeeYJltX2nNGNmdGgA%3D&amp;language=vi&amp;sec_uid=MS4wLjABAAAABfLOBt9R09gaACxATvC4jQctf1hHzekfnjNO_8JPDhOVsu269vPHXL2YJZ5zKDBd&amp;sec_user_id=MS4wLjABAAAABfLOBt9R09gaACxATvC4jQctf1hHzekfnjNO_8JPDhOVsu269vPHXL2YJZ5zKDBd&amp;share_app_id=1180&amp;share_author_id=6983460434691474434&amp;share_link_id=51F09909-305D-4EED-8B27-DB67A29A0995&amp;tt_from=copy&amp;u_code=djf7f9373af1h6&amp;user_id=6983460434691474434&amp;utm_campaign=client_share&amp;utm_medium=ios&amp;utm_source=copy&amp;source=h5_t&amp;_r=1&amp;is_copy_url=0&amp;is_from_webapp=v1&amp;sender_device=pc&amp;sender_web_id=6983582057944237570" TargetMode="External"/><Relationship Id="rId203" Type="http://schemas.openxmlformats.org/officeDocument/2006/relationships/hyperlink" Target="https://www.tiktok.com/@itsbevis/video/6992551336797687041?" TargetMode="External"/><Relationship Id="rId324" Type="http://schemas.openxmlformats.org/officeDocument/2006/relationships/hyperlink" Target="https://www.facebook.com/meo.moon.522/videos/207973791327426" TargetMode="External"/><Relationship Id="rId445" Type="http://schemas.openxmlformats.org/officeDocument/2006/relationships/hyperlink" Target="https://www.facebook.com/quynh.giao.31/videos/182272053962950" TargetMode="External"/><Relationship Id="rId209" Type="http://schemas.openxmlformats.org/officeDocument/2006/relationships/hyperlink" Target="https://www.tiktok.com/@letrang_2k2/video/6993946912693030171?" TargetMode="External"/><Relationship Id="rId208" Type="http://schemas.openxmlformats.org/officeDocument/2006/relationships/hyperlink" Target="https://www.tiktok.com/@letrang_2k2/video/6993662824840973594?is_copy_url=0&amp;is_from_webapp=v1&amp;sender_device=pc&amp;sender_web_id=6908929983101486593" TargetMode="External"/><Relationship Id="rId329" Type="http://schemas.openxmlformats.org/officeDocument/2006/relationships/hyperlink" Target="https://www.facebook.com/100003335207852/videos/pcb.4205612949559837/3064580483758435" TargetMode="External"/><Relationship Id="rId207" Type="http://schemas.openxmlformats.org/officeDocument/2006/relationships/hyperlink" Target="https://www.tiktok.com/@letrang_2k2/video/6992423111752830235?is_copy_url=0&amp;is_from_webapp=v1&amp;sender_device=pc&amp;sender_web_id=6908929983101486593" TargetMode="External"/><Relationship Id="rId328" Type="http://schemas.openxmlformats.org/officeDocument/2006/relationships/hyperlink" Target="https://www.tiktok.com/@unheo1219/video/6994642593392971034?" TargetMode="External"/><Relationship Id="rId449" Type="http://schemas.openxmlformats.org/officeDocument/2006/relationships/hyperlink" Target="https://www.tiktok.com/@buingocphuongtrang/video/6993198670703299866?is_copy_url=0&amp;is_from_webapp=v1&amp;sender_device=pc&amp;sender_web_id=6983582057944237570" TargetMode="External"/><Relationship Id="rId440" Type="http://schemas.openxmlformats.org/officeDocument/2006/relationships/hyperlink" Target="https://www.tiktok.com/@haxinhgai..95/video/6991790291418238234?fbclid=IwAR3He4bA6prCvdaABHfFgfPqhI7SNETeJewnkaDEkIxCTW9mOsGXJMKVKPk&amp;is_copy_url=0&amp;is_from_webapp=v1&amp;sender_device=pc&amp;sender_web_id=6983582057944237570" TargetMode="External"/><Relationship Id="rId202" Type="http://schemas.openxmlformats.org/officeDocument/2006/relationships/hyperlink" Target="https://www.tiktok.com/@phamvinh99/video/6990582079016684827?" TargetMode="External"/><Relationship Id="rId323" Type="http://schemas.openxmlformats.org/officeDocument/2006/relationships/hyperlink" Target="https://www.facebook.com/Suph036/videos/1019821965224376" TargetMode="External"/><Relationship Id="rId444" Type="http://schemas.openxmlformats.org/officeDocument/2006/relationships/hyperlink" Target="https://www.tiktok.com/@cattia.ttv_/video/6994762898434313498?lang=vi-VN&amp;is_copy_url=0&amp;is_from_webapp=v1&amp;sender_device=pc&amp;sender_web_id=6983582057944237570" TargetMode="External"/><Relationship Id="rId201" Type="http://schemas.openxmlformats.org/officeDocument/2006/relationships/hyperlink" Target="https://www.tiktok.com/@phamquynhhoa2004/video/6993174055427919130?is_copy_url=0&amp;is_from_webapp=v1&amp;sender_device=pc&amp;sender_web_id=6908929983101486593" TargetMode="External"/><Relationship Id="rId322" Type="http://schemas.openxmlformats.org/officeDocument/2006/relationships/hyperlink" Target="https://www.tiktok.com/@phamuyen369/video/6996990519704292635?" TargetMode="External"/><Relationship Id="rId443" Type="http://schemas.openxmlformats.org/officeDocument/2006/relationships/hyperlink" Target="https://www.facebook.com/trinhkien.aodai/videos/2877671582544887" TargetMode="External"/><Relationship Id="rId200" Type="http://schemas.openxmlformats.org/officeDocument/2006/relationships/hyperlink" Target="https://www.tiktok.com/@phamquynhhoa2004/video/6989592326041554203?is_copy_url=0&amp;is_from_webapp=v1&amp;sender_device=pc&amp;sender_web_id=6908929983101486593" TargetMode="External"/><Relationship Id="rId321" Type="http://schemas.openxmlformats.org/officeDocument/2006/relationships/hyperlink" Target="https://www.tiktok.com/@phamuyen369/video/6995465035531193627?" TargetMode="External"/><Relationship Id="rId442" Type="http://schemas.openxmlformats.org/officeDocument/2006/relationships/hyperlink" Target="https://www.facebook.com/Habeauty.95/videos/540906827112339" TargetMode="External"/><Relationship Id="rId320" Type="http://schemas.openxmlformats.org/officeDocument/2006/relationships/hyperlink" Target="https://www.tiktok.com/@phamuyen369/video/6993249441725680923?" TargetMode="External"/><Relationship Id="rId441" Type="http://schemas.openxmlformats.org/officeDocument/2006/relationships/hyperlink" Target="https://www.tiktok.com/@haxinhgai..95/video/6993617128679132443?fbclid=IwAR3He4bA6prCvdaABHfFgfPqhI7SNETeJewnkaDEkIxCTW9mOsGXJMKVKPk&amp;is_copy_url=0&amp;is_from_webapp=v1&amp;sender_device=pc&amp;sender_web_id=6983582057944237570" TargetMode="External"/><Relationship Id="rId316" Type="http://schemas.openxmlformats.org/officeDocument/2006/relationships/hyperlink" Target="https://www.tiktok.com/@nmtvlog99/video/6994027452980808986?" TargetMode="External"/><Relationship Id="rId437" Type="http://schemas.openxmlformats.org/officeDocument/2006/relationships/hyperlink" Target="https://www.instagram.com/p/CSLMLZmp1cM/?utm_source=ig_web_copy_link" TargetMode="External"/><Relationship Id="rId315" Type="http://schemas.openxmlformats.org/officeDocument/2006/relationships/hyperlink" Target="https://www.tiktok.com/@nmtvlog99/video/6993641859729935642??" TargetMode="External"/><Relationship Id="rId436" Type="http://schemas.openxmlformats.org/officeDocument/2006/relationships/hyperlink" Target="https://www.facebook.com/emkolathienthan/videos/4527306413948969" TargetMode="External"/><Relationship Id="rId314" Type="http://schemas.openxmlformats.org/officeDocument/2006/relationships/hyperlink" Target="https://www.tiktok.com/@nmtvlog99/video/6991811233976569115?" TargetMode="External"/><Relationship Id="rId435" Type="http://schemas.openxmlformats.org/officeDocument/2006/relationships/hyperlink" Target="https://www.youtube.com/watch?v=mbkZ0sMv30M" TargetMode="External"/><Relationship Id="rId313" Type="http://schemas.openxmlformats.org/officeDocument/2006/relationships/hyperlink" Target="https://www.tiktok.com/@nmtvlog99/video/6991052269428935963?" TargetMode="External"/><Relationship Id="rId434" Type="http://schemas.openxmlformats.org/officeDocument/2006/relationships/hyperlink" Target="https://www.facebook.com/lebaodeptrai/videos/1318471708548999" TargetMode="External"/><Relationship Id="rId319" Type="http://schemas.openxmlformats.org/officeDocument/2006/relationships/hyperlink" Target="https://www.tiktok.com/@nmtvlog99/video/6997369506733509915?" TargetMode="External"/><Relationship Id="rId318" Type="http://schemas.openxmlformats.org/officeDocument/2006/relationships/hyperlink" Target="https://www.tiktok.com/@nmtvlog99/video/6996992360877952283?" TargetMode="External"/><Relationship Id="rId439" Type="http://schemas.openxmlformats.org/officeDocument/2006/relationships/hyperlink" Target="https://www.tiktok.com/@haxinhgai..95/video/6989787486281059610?fbclid=IwAR3He4bA6prCvdaABHfFgfPqhI7SNETeJewnkaDEkIxCTW9mOsGXJMKVKPk&amp;is_copy_url=0&amp;is_from_webapp=v1&amp;sender_device=pc&amp;sender_web_id=6983582057944237570" TargetMode="External"/><Relationship Id="rId317" Type="http://schemas.openxmlformats.org/officeDocument/2006/relationships/hyperlink" Target="https://www.tiktok.com/@nmtvlog99/video/6995136571754188058?" TargetMode="External"/><Relationship Id="rId438" Type="http://schemas.openxmlformats.org/officeDocument/2006/relationships/hyperlink" Target="https://www.facebook.com/hatrinh.ha95/videos/1504019759960611" TargetMode="External"/><Relationship Id="rId312" Type="http://schemas.openxmlformats.org/officeDocument/2006/relationships/hyperlink" Target="https://www.tiktok.com/@nmtvlog99/video/6990678789277715738?" TargetMode="External"/><Relationship Id="rId433" Type="http://schemas.openxmlformats.org/officeDocument/2006/relationships/hyperlink" Target="https://www.tiktok.com/@lebaoofficial/video/6993653361807527194?lang=vi-VN&amp;is_copy_url=0&amp;is_from_webapp=v1&amp;sender_device=pc&amp;sender_web_id=6983582057944237570" TargetMode="External"/><Relationship Id="rId311" Type="http://schemas.openxmlformats.org/officeDocument/2006/relationships/hyperlink" Target="https://www.tiktok.com/@chuyengiasongao/video/6996869146541591834?" TargetMode="External"/><Relationship Id="rId432" Type="http://schemas.openxmlformats.org/officeDocument/2006/relationships/hyperlink" Target="https://www.tiktok.com/@lebaoofficial/video/6993652670733061403?lang=vi-VN&amp;is_copy_url=0&amp;is_from_webapp=v1&amp;sender_device=pc&amp;sender_web_id=6983582057944237570" TargetMode="External"/><Relationship Id="rId310" Type="http://schemas.openxmlformats.org/officeDocument/2006/relationships/hyperlink" Target="https://www.tiktok.com/@chuyengiasongao/video/6996125799757679898?" TargetMode="External"/><Relationship Id="rId431" Type="http://schemas.openxmlformats.org/officeDocument/2006/relationships/hyperlink" Target="https://www.tiktok.com/@tranvan0407/video/6995506350570671386?lang=vi-VN&amp;is_copy_url=0&amp;is_from_webapp=v1&amp;sender_device=pc&amp;sender_web_id=6983582057944237570" TargetMode="External"/><Relationship Id="rId430" Type="http://schemas.openxmlformats.org/officeDocument/2006/relationships/hyperlink" Target="https://www.tiktok.com/@dinhtrangthao03/video/6995875035734936858?lang=vi-VN&amp;is_copy_url=0&amp;is_from_webapp=v1&amp;sender_device=pc&amp;sender_web_id=698358205794423757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iktok.com/@nhquangho17.naau/video/6990704048898837786?lang=vi-VN&amp;is_copy_url=0&amp;is_from_webapp=v1&amp;sender_device=pc&amp;sender_web_id=6908929983101486593" TargetMode="External"/><Relationship Id="rId194" Type="http://schemas.openxmlformats.org/officeDocument/2006/relationships/hyperlink" Target="https://www.facebook.com/100004547253309/posts/1850117845149773/?d=n" TargetMode="External"/><Relationship Id="rId193" Type="http://schemas.openxmlformats.org/officeDocument/2006/relationships/hyperlink" Target="https://www.instagram.com/p/CSRS1MgJjwA/?utm_medium=copy_link" TargetMode="External"/><Relationship Id="rId192" Type="http://schemas.openxmlformats.org/officeDocument/2006/relationships/hyperlink" Target="https://www.facebook.com/dangducdai69/videos/1050642239009275" TargetMode="External"/><Relationship Id="rId191" Type="http://schemas.openxmlformats.org/officeDocument/2006/relationships/hyperlink" Target="https://www.tiktok.com/@vietthi.p336/video/6989901173205601562?is_copy_url=0&amp;is_from_webapp=v1&amp;sender_device=pc&amp;sender_web_id=6908929983101486593" TargetMode="External"/><Relationship Id="rId187" Type="http://schemas.openxmlformats.org/officeDocument/2006/relationships/hyperlink" Target="https://www.tiktok.com/@nhut26march/video/6992182101940374785?is_copy_url=0&amp;is_from_webapp=v1&amp;sender_device=pc&amp;sender_web_id=6908929983101486593" TargetMode="External"/><Relationship Id="rId186" Type="http://schemas.openxmlformats.org/officeDocument/2006/relationships/hyperlink" Target="https://www.tiktok.com/@hoduyphuong/video/6990936348362411291?_=&amp;is_copy_url=0&amp;is_from_webapp=v1&amp;sender_device=pc&amp;sender_web_id=6908929983101486593" TargetMode="External"/><Relationship Id="rId185" Type="http://schemas.openxmlformats.org/officeDocument/2006/relationships/hyperlink" Target="https://www.tiktok.com/@behyblack/video/6990660041703509275?is_copy_url=0&amp;is_from_webapp=v1&amp;sender_device=pc&amp;sender_web_id=6908929983101486593" TargetMode="External"/><Relationship Id="rId184" Type="http://schemas.openxmlformats.org/officeDocument/2006/relationships/hyperlink" Target="https://www.tiktok.com/@phun.anh/video/6991314600067157275?lang=vi-VN&amp;is_copy_url=0&amp;is_from_webapp=v1&amp;sender_device=pc&amp;sender_web_id=6908929983101486593" TargetMode="External"/><Relationship Id="rId189" Type="http://schemas.openxmlformats.org/officeDocument/2006/relationships/hyperlink" Target="https://www.tiktok.com/@nhquangho17.naau/video/6989968057737235738?lang=vi-VN&amp;is_copy_url=0&amp;is_from_webapp=v1&amp;sender_device=pc&amp;sender_web_id=6908929983101486593" TargetMode="External"/><Relationship Id="rId188" Type="http://schemas.openxmlformats.org/officeDocument/2006/relationships/hyperlink" Target="https://www.tiktok.com/@nhquangho17.naau/video/6989607455160356122?lang=vi-VN&amp;is_copy_url=0&amp;is_from_webapp=v1&amp;sender_device=pc&amp;sender_web_id=6908929983101486593" TargetMode="External"/><Relationship Id="rId183" Type="http://schemas.openxmlformats.org/officeDocument/2006/relationships/hyperlink" Target="https://www.tiktok.com/@phun.anh/video/6990941519582711067?lang=vi-VN&amp;is_copy_url=0&amp;is_from_webapp=v1&amp;sender_device=pc&amp;sender_web_id=6908929983101486593" TargetMode="External"/><Relationship Id="rId182" Type="http://schemas.openxmlformats.org/officeDocument/2006/relationships/hyperlink" Target="https://www.tiktok.com/@phun.anh/video/6990197712285175066?lang=vi-VN&amp;is_copy_url=0&amp;is_from_webapp=v1&amp;sender_device=pc&amp;sender_web_id=6908929983101486593" TargetMode="External"/><Relationship Id="rId181" Type="http://schemas.openxmlformats.org/officeDocument/2006/relationships/hyperlink" Target="https://www.tiktok.com/@hth.1909/video/6992902618666257690?l=&amp;is_copy_url=0&amp;is_from_webapp=v1&amp;sender_device=pc&amp;sender_web_id=6908929983101486593" TargetMode="External"/><Relationship Id="rId180" Type="http://schemas.openxmlformats.org/officeDocument/2006/relationships/hyperlink" Target="https://www.tiktok.com/@hth.1909/video/6992881740876434714?l=&amp;is_copy_url=0&amp;is_from_webapp=v1&amp;sender_device=pc&amp;sender_web_id=6908929983101486593" TargetMode="External"/><Relationship Id="rId176" Type="http://schemas.openxmlformats.org/officeDocument/2006/relationships/hyperlink" Target="https://www.tiktok.com/@anhthuyet/video/6991049951816060186?lang=vi-VN&amp;is_copy_url=0&amp;is_from_webapp=v1&amp;sender_device=pc&amp;sender_web_id=6908929983101486593" TargetMode="External"/><Relationship Id="rId297" Type="http://schemas.openxmlformats.org/officeDocument/2006/relationships/hyperlink" Target="https://www.tiktok.com/@duongvayen11820/video/6996241475579251995?" TargetMode="External"/><Relationship Id="rId175" Type="http://schemas.openxmlformats.org/officeDocument/2006/relationships/hyperlink" Target="https://www.tiktok.com/@anhthuyet/video/6990550597258841370?" TargetMode="External"/><Relationship Id="rId296" Type="http://schemas.openxmlformats.org/officeDocument/2006/relationships/hyperlink" Target="https://www.tiktok.com/@duongvayen11820/video/6989197488074853659?" TargetMode="External"/><Relationship Id="rId174" Type="http://schemas.openxmlformats.org/officeDocument/2006/relationships/hyperlink" Target="https://www.tiktok.com/@anhthuyet/video/6990303415523937563?" TargetMode="External"/><Relationship Id="rId295" Type="http://schemas.openxmlformats.org/officeDocument/2006/relationships/hyperlink" Target="https://www.facebook.com/camly.thaithi102/videos/367226451587731" TargetMode="External"/><Relationship Id="rId173" Type="http://schemas.openxmlformats.org/officeDocument/2006/relationships/hyperlink" Target="https://www.tiktok.com/@cu_bo32/video/6991296623758363931?" TargetMode="External"/><Relationship Id="rId294" Type="http://schemas.openxmlformats.org/officeDocument/2006/relationships/hyperlink" Target="https://www.facebook.com/camly.thaithi102/videos/3033190620291553" TargetMode="External"/><Relationship Id="rId179" Type="http://schemas.openxmlformats.org/officeDocument/2006/relationships/hyperlink" Target="https://www.tiktok.com/@phandactoan/video/6993306195180129562?is_copy_url=0&amp;is_from_webapp=v1&amp;sender_device=pc&amp;sender_web_id=6908929983101486593" TargetMode="External"/><Relationship Id="rId178" Type="http://schemas.openxmlformats.org/officeDocument/2006/relationships/hyperlink" Target="https://www.tiktok.com/@thokiwi98/video/6993677533438905627?is_copy_url=0&amp;is_from_webapp=v1&amp;sender_device=pc&amp;sender_web_id=6908929983101486593" TargetMode="External"/><Relationship Id="rId299" Type="http://schemas.openxmlformats.org/officeDocument/2006/relationships/hyperlink" Target="https://www.tiktok.com/@phuonganh260499/video/6990624520012942618?" TargetMode="External"/><Relationship Id="rId177" Type="http://schemas.openxmlformats.org/officeDocument/2006/relationships/hyperlink" Target="https://www.tiktok.com/@anhthuyet/video/6992906148156345627?lang=vi-VN&amp;is_copy_url=0&amp;is_from_webapp=v1&amp;sender_device=pc&amp;sender_web_id=6908929983101486593" TargetMode="External"/><Relationship Id="rId298" Type="http://schemas.openxmlformats.org/officeDocument/2006/relationships/hyperlink" Target="https://www.tiktok.com/@phuonganh260499/video/6990197559016967450?" TargetMode="External"/><Relationship Id="rId198" Type="http://schemas.openxmlformats.org/officeDocument/2006/relationships/hyperlink" Target="https://www.tiktok.com/@thinhnguyenart_official/video/6996063302455545089?is_copy_url=0&amp;is_from_webapp=v1&amp;sender_device=pc&amp;sender_web_id=6908929983101486593" TargetMode="External"/><Relationship Id="rId197" Type="http://schemas.openxmlformats.org/officeDocument/2006/relationships/hyperlink" Target="https://www.tiktok.com/@thinhnguyenart_official/video/6990648910502956314?is_copy_url=0&amp;is_from_webapp=v1&amp;sender_device=pc&amp;sender_web_id=6908929983101486593" TargetMode="External"/><Relationship Id="rId196" Type="http://schemas.openxmlformats.org/officeDocument/2006/relationships/hyperlink" Target="https://www.facebook.com/chinchinnnnnn/videos/852336042329106/" TargetMode="External"/><Relationship Id="rId195" Type="http://schemas.openxmlformats.org/officeDocument/2006/relationships/hyperlink" Target="https://www.facebook.com/100028527371304/posts/645597053067868/?d=n" TargetMode="External"/><Relationship Id="rId199" Type="http://schemas.openxmlformats.org/officeDocument/2006/relationships/hyperlink" Target="https://www.facebook.com/hermymeow/videos/359543159133729" TargetMode="External"/><Relationship Id="rId150" Type="http://schemas.openxmlformats.org/officeDocument/2006/relationships/hyperlink" Target="https://www.tiktok.com/@hoangtiendong/video/6988323926350892314?" TargetMode="External"/><Relationship Id="rId271" Type="http://schemas.openxmlformats.org/officeDocument/2006/relationships/hyperlink" Target="https://www.tiktok.com/@kembanhque/video/6993663818228452634?is_copy_url=0&amp;is_from_webapp=v1&amp;sender_device=pc&amp;sender_web_id=6908929983101486593" TargetMode="External"/><Relationship Id="rId392" Type="http://schemas.openxmlformats.org/officeDocument/2006/relationships/hyperlink" Target="https://www.youtube.com/watch?v=68YcSMctC-A&amp;t=14s" TargetMode="External"/><Relationship Id="rId270" Type="http://schemas.openxmlformats.org/officeDocument/2006/relationships/hyperlink" Target="https://www.tiktok.com/@kembanhque/video/6989953329786817819?is_copy_url=0&amp;is_from_webapp=v1&amp;sender_device=pc&amp;sender_web_id=6908929983101486593" TargetMode="External"/><Relationship Id="rId391" Type="http://schemas.openxmlformats.org/officeDocument/2006/relationships/hyperlink" Target="https://www.tiktok.com/@minhnhatdzvcl/video/6993668410890521882?" TargetMode="External"/><Relationship Id="rId390" Type="http://schemas.openxmlformats.org/officeDocument/2006/relationships/hyperlink" Target="https://www.tiktok.com/@minhnhatdzvcl/video/6993280233017330971?" TargetMode="External"/><Relationship Id="rId1" Type="http://schemas.openxmlformats.org/officeDocument/2006/relationships/hyperlink" Target="https://www.facebook.com/nguyen.huyenthu.716/videos/2920449061508309" TargetMode="External"/><Relationship Id="rId2" Type="http://schemas.openxmlformats.org/officeDocument/2006/relationships/hyperlink" Target="https://www.tiktok.com/@nhyyng/video/6987713962817228059?" TargetMode="External"/><Relationship Id="rId3" Type="http://schemas.openxmlformats.org/officeDocument/2006/relationships/hyperlink" Target="https://www.tiktok.com/@giangdeyy0/video/6986251851104554266?" TargetMode="External"/><Relationship Id="rId149" Type="http://schemas.openxmlformats.org/officeDocument/2006/relationships/hyperlink" Target="https://www.tiktok.com/@letrunghoang/video/6988442276729015579?" TargetMode="External"/><Relationship Id="rId4" Type="http://schemas.openxmlformats.org/officeDocument/2006/relationships/hyperlink" Target="https://www.tiktok.com/@giangdeyy0/video/6987221320555711770?is_copy_url=0&amp;is_from_webapp=v1&amp;sender_device=pc&amp;sender_web_id=6908929983101486593" TargetMode="External"/><Relationship Id="rId148" Type="http://schemas.openxmlformats.org/officeDocument/2006/relationships/hyperlink" Target="https://www.tiktok.com/@letrunghoang/video/6987701011628428570?" TargetMode="External"/><Relationship Id="rId269" Type="http://schemas.openxmlformats.org/officeDocument/2006/relationships/hyperlink" Target="https://www.tiktok.com/@nhungtinhyeu/video/6992410592246107418?lang=vi-VN&amp;is_copy_url=0&amp;is_from_webapp=v1&amp;sender_device=pc&amp;sender_web_id=6908929983101486593" TargetMode="External"/><Relationship Id="rId9" Type="http://schemas.openxmlformats.org/officeDocument/2006/relationships/hyperlink" Target="https://www.tiktok.com/@thianguyen2001/video/6984759162777439514?fbclid=IwAR2K88TH_6Pxwa31Ff96qvddJoh9dCU0fDhOpZGRrmFbW6yhW__kQWi3yLo&amp;is_copy_url=0&amp;is_from_webapp=v1&amp;sender_device=pc&amp;sender_web_id=6908929983101486593" TargetMode="External"/><Relationship Id="rId143" Type="http://schemas.openxmlformats.org/officeDocument/2006/relationships/hyperlink" Target="https://www.tiktok.com/@kiethatinh.2000/video/6988459710299131162?" TargetMode="External"/><Relationship Id="rId264" Type="http://schemas.openxmlformats.org/officeDocument/2006/relationships/hyperlink" Target="https://www.tiktok.com/@vykhang0103/video/6994787192748969243?lang=vi-VN&amp;is_copy_url=0&amp;is_from_webapp=v1&amp;sender_device=pc&amp;sender_web_id=6908929983101486593" TargetMode="External"/><Relationship Id="rId385" Type="http://schemas.openxmlformats.org/officeDocument/2006/relationships/hyperlink" Target="https://www.tiktok.com/@tieungao1907/video/6996503654287068442?" TargetMode="External"/><Relationship Id="rId142" Type="http://schemas.openxmlformats.org/officeDocument/2006/relationships/hyperlink" Target="https://www.tiktok.com/@haiphongphoto.x/video/6987339900899036443?" TargetMode="External"/><Relationship Id="rId263" Type="http://schemas.openxmlformats.org/officeDocument/2006/relationships/hyperlink" Target="https://www.tiktok.com/@choul2002/video/6995145638467882267?lang=vi-VN&amp;is_copy_url=0&amp;is_from_webapp=v1&amp;sender_device=pc&amp;sender_web_id=6908929983101486593" TargetMode="External"/><Relationship Id="rId384" Type="http://schemas.openxmlformats.org/officeDocument/2006/relationships/hyperlink" Target="https://www.tiktok.com/@tieungao1907/video/6993907369440759067?" TargetMode="External"/><Relationship Id="rId141" Type="http://schemas.openxmlformats.org/officeDocument/2006/relationships/hyperlink" Target="https://www.instagram.com/p/CRrBP9HFtOj/" TargetMode="External"/><Relationship Id="rId262" Type="http://schemas.openxmlformats.org/officeDocument/2006/relationships/hyperlink" Target="https://www.tiktok.com/@choul2002/video/6994770713899044123?lang=vi-VN&amp;is_copy_url=0&amp;is_from_webapp=v1&amp;sender_device=pc&amp;sender_web_id=6908929983101486593" TargetMode="External"/><Relationship Id="rId383" Type="http://schemas.openxmlformats.org/officeDocument/2006/relationships/hyperlink" Target="https://www.tiktok.com/@tieungao1907/video/6993539577990450459?" TargetMode="External"/><Relationship Id="rId140" Type="http://schemas.openxmlformats.org/officeDocument/2006/relationships/hyperlink" Target="https://www.facebook.com/100013229984459/posts/1252675021850152/?d=n" TargetMode="External"/><Relationship Id="rId261" Type="http://schemas.openxmlformats.org/officeDocument/2006/relationships/hyperlink" Target="https://www.tiktok.com/@ahihiquyenday/video/6990687687711739162?lang=vi-VN&amp;fbclid=IwAR1OcqMXlBeLquV_ASqxpA4xNnVjN877h_5w896cPMiy3GTLmCtTDeUlygo&amp;is_copy_url=0&amp;is_from_webapp=v1&amp;sender_device=pc&amp;sender_web_id=6908929983101486593" TargetMode="External"/><Relationship Id="rId382" Type="http://schemas.openxmlformats.org/officeDocument/2006/relationships/hyperlink" Target="https://www.tiktok.com/@tieungao1907/video/6992799321049648410?" TargetMode="External"/><Relationship Id="rId5" Type="http://schemas.openxmlformats.org/officeDocument/2006/relationships/hyperlink" Target="https://www.tiktok.com/@giangdeyy0/video/6987288042763504922?" TargetMode="External"/><Relationship Id="rId147" Type="http://schemas.openxmlformats.org/officeDocument/2006/relationships/hyperlink" Target="https://www.tiktok.com/@vansat97/video/6988390846999596314?_" TargetMode="External"/><Relationship Id="rId268" Type="http://schemas.openxmlformats.org/officeDocument/2006/relationships/hyperlink" Target="https://www.tiktok.com/@nhungtinhyeu/video/6991429221809720603?lang=vi-VN&amp;is_copy_url=0&amp;is_from_webapp=v1&amp;sender_device=pc&amp;sender_web_id=6908929983101486593" TargetMode="External"/><Relationship Id="rId389" Type="http://schemas.openxmlformats.org/officeDocument/2006/relationships/hyperlink" Target="https://www.tiktok.com/@minhnhatdzvcl/video/6992799213088263451?" TargetMode="External"/><Relationship Id="rId6" Type="http://schemas.openxmlformats.org/officeDocument/2006/relationships/hyperlink" Target="https://www.tiktok.com/@giangdeyy0/video/6987566550714797338?" TargetMode="External"/><Relationship Id="rId146" Type="http://schemas.openxmlformats.org/officeDocument/2006/relationships/hyperlink" Target="https://www.tiktok.com/@meous99/video/6987701467926891802?" TargetMode="External"/><Relationship Id="rId267" Type="http://schemas.openxmlformats.org/officeDocument/2006/relationships/hyperlink" Target="https://www.tiktok.com/@fit.kiss/video/6989147350895840538?lang=vi-VN&amp;is_copy_url=0&amp;is_from_webapp=v1&amp;sender_device=pc&amp;sender_web_id=6908929983101486593" TargetMode="External"/><Relationship Id="rId388" Type="http://schemas.openxmlformats.org/officeDocument/2006/relationships/hyperlink" Target="https://www.tiktok.com/@minhnhatdzvcl/video/6991428643280964890?" TargetMode="External"/><Relationship Id="rId7" Type="http://schemas.openxmlformats.org/officeDocument/2006/relationships/hyperlink" Target="https://www.tiktok.com/@thuyngann_16/video/6988304363961765146?" TargetMode="External"/><Relationship Id="rId145" Type="http://schemas.openxmlformats.org/officeDocument/2006/relationships/hyperlink" Target="https://www.facebook.com/story.php?story_fbid=2107821152726732&amp;id=100004966026889" TargetMode="External"/><Relationship Id="rId266" Type="http://schemas.openxmlformats.org/officeDocument/2006/relationships/hyperlink" Target="https://www.tiktok.com/@anhbodoi77/video/6986854662611733786?lang=vi-VN&amp;is_copy_url=0&amp;is_from_webapp=v1&amp;sender_device=pc&amp;sender_web_id=6908929983101486593" TargetMode="External"/><Relationship Id="rId387" Type="http://schemas.openxmlformats.org/officeDocument/2006/relationships/hyperlink" Target="https://www.facebook.com/tieungaocute/videos/283351293556690" TargetMode="External"/><Relationship Id="rId8" Type="http://schemas.openxmlformats.org/officeDocument/2006/relationships/hyperlink" Target="https://www.tiktok.com/@shoppingfamily_/video/6985609926110432538?" TargetMode="External"/><Relationship Id="rId144" Type="http://schemas.openxmlformats.org/officeDocument/2006/relationships/hyperlink" Target="https://www.facebook.com/vuthiha89/posts/1956834161136593" TargetMode="External"/><Relationship Id="rId265" Type="http://schemas.openxmlformats.org/officeDocument/2006/relationships/hyperlink" Target="https://www.tiktok.com/@chungtunn/video/6992176639752801562?lang=vi-VN&amp;is_copy_url=0&amp;is_from_webapp=v1&amp;sender_device=pc&amp;sender_web_id=6908929983101486593" TargetMode="External"/><Relationship Id="rId386" Type="http://schemas.openxmlformats.org/officeDocument/2006/relationships/hyperlink" Target="https://www.facebook.com/tieungaocute/videos/893728304547576" TargetMode="External"/><Relationship Id="rId260" Type="http://schemas.openxmlformats.org/officeDocument/2006/relationships/hyperlink" Target="https://www.tiktok.com/@nqhunn/video/6990258061231295770?lang=vi-VN&amp;is_copy_url=0&amp;is_from_webapp=v1&amp;sender_device=pc&amp;sender_web_id=6908929983101486593" TargetMode="External"/><Relationship Id="rId381" Type="http://schemas.openxmlformats.org/officeDocument/2006/relationships/hyperlink" Target="https://www.tiktok.com/@tieungao1907/video/6992152112226422042?" TargetMode="External"/><Relationship Id="rId380" Type="http://schemas.openxmlformats.org/officeDocument/2006/relationships/hyperlink" Target="https://www.tiktok.com/@tieungao1907/video/6990195785925266715?" TargetMode="External"/><Relationship Id="rId139" Type="http://schemas.openxmlformats.org/officeDocument/2006/relationships/hyperlink" Target="https://www.tiktok.com/@hoangthi_phuongthao/video/6984748327371820314?" TargetMode="External"/><Relationship Id="rId138" Type="http://schemas.openxmlformats.org/officeDocument/2006/relationships/hyperlink" Target="https://www.facebook.com/100067564274854/posts/143402697921872/?d=n" TargetMode="External"/><Relationship Id="rId259" Type="http://schemas.openxmlformats.org/officeDocument/2006/relationships/hyperlink" Target="https://www.tiktok.com/@hoduyphuong/video/6994648169946631450?_=&amp;is_copy_url=0&amp;is_from_webapp=v1&amp;sender_device=pc&amp;sender_web_id=6908929983101486593" TargetMode="External"/><Relationship Id="rId137" Type="http://schemas.openxmlformats.org/officeDocument/2006/relationships/hyperlink" Target="https://www.facebook.com/100010592763690/posts/2391267727902963/?d=n" TargetMode="External"/><Relationship Id="rId258" Type="http://schemas.openxmlformats.org/officeDocument/2006/relationships/hyperlink" Target="https://www.tiktok.com/@hth.1909/video/6994767042830290202?l=&amp;is_copy_url=0&amp;is_from_webapp=v1&amp;sender_device=pc&amp;sender_web_id=6908929983101486593" TargetMode="External"/><Relationship Id="rId379" Type="http://schemas.openxmlformats.org/officeDocument/2006/relationships/hyperlink" Target="https://www.tiktok.com/@huongmin_/video/6991695117237226779?" TargetMode="External"/><Relationship Id="rId132" Type="http://schemas.openxmlformats.org/officeDocument/2006/relationships/hyperlink" Target="https://www.tiktok.com/@d.l9801/video/6987334399184358682" TargetMode="External"/><Relationship Id="rId253" Type="http://schemas.openxmlformats.org/officeDocument/2006/relationships/hyperlink" Target="https://www.tiktok.com/@letrang_2k2/video/6995771966208707867?lang=vi-VN&amp;is_copy_url=0&amp;is_from_webapp=v1&amp;sender_device=pc&amp;sender_web_id=6908929983101486593" TargetMode="External"/><Relationship Id="rId374" Type="http://schemas.openxmlformats.org/officeDocument/2006/relationships/hyperlink" Target="https://www.facebook.com/NguyenNhatHoangHon/videos/211853327452130" TargetMode="External"/><Relationship Id="rId495" Type="http://schemas.openxmlformats.org/officeDocument/2006/relationships/hyperlink" Target="https://www.tiktok.com/@tienkhautrang200299/video/6996981453611420954?is_copy_url=0&amp;is_from_webapp=v1&amp;sender_device=pc&amp;sender_web_id=6983582057944237570" TargetMode="External"/><Relationship Id="rId131" Type="http://schemas.openxmlformats.org/officeDocument/2006/relationships/hyperlink" Target="https://www.tiktok.com/@d.l9801/video/6985478364412824859" TargetMode="External"/><Relationship Id="rId252" Type="http://schemas.openxmlformats.org/officeDocument/2006/relationships/hyperlink" Target="https://www.tiktok.com/@letrang_2k2/video/6994684555940695323?lang=vi-VN&amp;is_copy_url=0&amp;is_from_webapp=v1&amp;sender_device=pc&amp;sender_web_id=6908929983101486593" TargetMode="External"/><Relationship Id="rId373" Type="http://schemas.openxmlformats.org/officeDocument/2006/relationships/hyperlink" Target="https://www.facebook.com/NguyenNhatHoangHon/videos/3086011155009495" TargetMode="External"/><Relationship Id="rId494" Type="http://schemas.openxmlformats.org/officeDocument/2006/relationships/hyperlink" Target="https://www.facebook.com/trungthu9x/videos/4302304036494266" TargetMode="External"/><Relationship Id="rId130" Type="http://schemas.openxmlformats.org/officeDocument/2006/relationships/hyperlink" Target="https://www.facebook.com/mushroom.cool88/posts/4240907052671021" TargetMode="External"/><Relationship Id="rId251" Type="http://schemas.openxmlformats.org/officeDocument/2006/relationships/hyperlink" Target="https://www.tiktok.com/@cu_bo32/video/6996629466961284378?lang=vi-VN&amp;is_copy_url=0&amp;is_from_webapp=v1&amp;sender_device=pc&amp;sender_web_id=6908929983101486593" TargetMode="External"/><Relationship Id="rId372" Type="http://schemas.openxmlformats.org/officeDocument/2006/relationships/hyperlink" Target="https://www.tiktok.com/@nhathoanghon/video/6996498611945180443?" TargetMode="External"/><Relationship Id="rId493" Type="http://schemas.openxmlformats.org/officeDocument/2006/relationships/hyperlink" Target="https://www.tiktok.com/@hkl209/video/6996989575365250330?_d=secCgYIASAHKAESMgowcXa5QiEGVeEYGpz0c4C51r4Nwtk%2Fw4PhII2UZz8Dkcr2GjD9r6ecTbL6iu3J%2BJhzGgA%3D&amp;checksum=6d3c27d5eb2ffb3d2c4d861295cc7cf447020ef7aa6f2f65addb44f4fe0f3d67&amp;language=vi&amp;sec_uid=MS4wLjABAAAAbEy_ZU7J4xveIKBfuCXUVuIOSuNwZTiQ6RCOU5_gEeJPm4HfAItMKJOhmv43aDEo&amp;sec_user_id=MS4wLjABAAAAbEy_ZU7J4xveIKBfuCXUVuIOSuNwZTiQ6RCOU5_gEeJPm4HfAItMKJOhmv43aDEo&amp;share_app_id=1180&amp;share_author_id=6763629426921309186&amp;share_link_id=B9708286-A1C6-4040-A9E1-F4BC6C2056DC&amp;tt_from=copy&amp;u_code=d9ee34mghic707&amp;user_id=6763629426921309186&amp;utm_campaign=client_share&amp;utm_medium=ios&amp;utm_source=copy&amp;source=h5_t&amp;_r=1&amp;is_copy_url=0&amp;is_from_webapp=v1&amp;sender_device=pc&amp;sender_web_id=6983582057944237570" TargetMode="External"/><Relationship Id="rId250" Type="http://schemas.openxmlformats.org/officeDocument/2006/relationships/hyperlink" Target="https://www.tiktok.com/@anhthuyet/video/6995883310408944922?lang=vi-VN&amp;is_copy_url=0&amp;is_from_webapp=v1&amp;sender_device=pc&amp;sender_web_id=6908929983101486593" TargetMode="External"/><Relationship Id="rId371" Type="http://schemas.openxmlformats.org/officeDocument/2006/relationships/hyperlink" Target="https://www.tiktok.com/@nhathoanghon/video/6993524660939885851?" TargetMode="External"/><Relationship Id="rId492" Type="http://schemas.openxmlformats.org/officeDocument/2006/relationships/hyperlink" Target="https://www.facebook.com/ngoducanh1012.bg/videos/4388514157874243" TargetMode="External"/><Relationship Id="rId136" Type="http://schemas.openxmlformats.org/officeDocument/2006/relationships/hyperlink" Target="https://www.facebook.com/100007838504341/posts/3003094156628505/?d=n" TargetMode="External"/><Relationship Id="rId257" Type="http://schemas.openxmlformats.org/officeDocument/2006/relationships/hyperlink" Target="https://www.tiktok.com/@vthnhung._/video/6995921312413764890?lang=vi-VN&amp;is_copy_url=0&amp;is_from_webapp=v1&amp;sender_device=pc&amp;sender_web_id=6908929983101486593" TargetMode="External"/><Relationship Id="rId378" Type="http://schemas.openxmlformats.org/officeDocument/2006/relationships/hyperlink" Target="https://www.tiktok.com/@vuhphuong/video/6996587171914239259?" TargetMode="External"/><Relationship Id="rId499" Type="http://schemas.openxmlformats.org/officeDocument/2006/relationships/hyperlink" Target="https://www.tiktok.com/@shoppingfamily_/video/6997294790522031386?is_copy_url=0&amp;is_from_webapp=v1&amp;sender_device=pc&amp;sender_web_id=6908929983101486593" TargetMode="External"/><Relationship Id="rId135" Type="http://schemas.openxmlformats.org/officeDocument/2006/relationships/hyperlink" Target="https://www.tiktok.com/@lrb291/video/6985890980520004891?" TargetMode="External"/><Relationship Id="rId256" Type="http://schemas.openxmlformats.org/officeDocument/2006/relationships/hyperlink" Target="https://www.tiktok.com/@tranganh_cosplay/video/6996988584024640795?_d=secCgYIASAHKAESMgow6kWfJFS26qRvFM52A8QKYZ0XsfqHVtsBSY8oLbKsC0ZFm4XrcXeoAL%2B%2FGiqEE50%2BGgA%3D&amp;checksum=d9d1bc84238947a2e75ebaa7b397224f59b23c1a0748e121e72ec78e6583a8cf&amp;language=vi&amp;mid=6996988567226551067&amp;preview_pb=0&amp;region=VN&amp;sec_user_id=MS4wLjABAAAAwZCJNX8j_DtFn_jQxEgRIkryPT9ZLy2dMkMcRxKD8ZjowMHuJB-dsK3Yh9MS2771&amp;share_app_id=1180&amp;share_item_id=6996988584024640795&amp;share_link_id=6903948E-9D9C-4389-B7B9-500EDF05AB13&amp;source=h5_t&amp;timestamp=1629113433&amp;tt_from=copy&amp;u_code=dgm3d55gh27851&amp;user_id=6924216616336442369&amp;utm_campaign=client_share&amp;utm_medium=ios&amp;utm_source=copy&amp;_r=1&amp;is_copy_url=0&amp;is_from_webapp=v1&amp;sender_device=pc&amp;sender_web_id=6908929983101486593" TargetMode="External"/><Relationship Id="rId377" Type="http://schemas.openxmlformats.org/officeDocument/2006/relationships/hyperlink" Target="https://www.tiktok.com/@vuhphuong/video/6994257206896119066?" TargetMode="External"/><Relationship Id="rId498" Type="http://schemas.openxmlformats.org/officeDocument/2006/relationships/hyperlink" Target="https://www.tiktok.com/@nguyenhanghuong96/video/6997237457565601050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134" Type="http://schemas.openxmlformats.org/officeDocument/2006/relationships/hyperlink" Target="https://www.tiktok.com/@linhpu1412/video/6984629939911920922?" TargetMode="External"/><Relationship Id="rId255" Type="http://schemas.openxmlformats.org/officeDocument/2006/relationships/hyperlink" Target="https://www.tiktok.com/@huemid_03/video/6997240036609608987?lang=vi-VN&amp;is_copy_url=0&amp;is_from_webapp=v1&amp;sender_device=pc&amp;sender_web_id=6908929983101486593" TargetMode="External"/><Relationship Id="rId376" Type="http://schemas.openxmlformats.org/officeDocument/2006/relationships/hyperlink" Target="https://www.tiktok.com/@vuhphuong/video/6991435675203587354?" TargetMode="External"/><Relationship Id="rId497" Type="http://schemas.openxmlformats.org/officeDocument/2006/relationships/hyperlink" Target="https://www.tiktok.com/@nguyenhanghuong96/video/6996865355708697883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133" Type="http://schemas.openxmlformats.org/officeDocument/2006/relationships/hyperlink" Target="https://www.tiktok.com/@thuycute05123/video/6985715429998185754?lang=vi-VN&amp;is_copy_url=0&amp;is_from_webapp=v1&amp;sender_device=pc&amp;sender_web_id=6992511724982355458" TargetMode="External"/><Relationship Id="rId254" Type="http://schemas.openxmlformats.org/officeDocument/2006/relationships/hyperlink" Target="https://www.tiktok.com/@letrang_2k2/video/6996520221645360410?lang=vi-VN&amp;is_copy_url=0&amp;is_from_webapp=v1&amp;sender_device=pc&amp;sender_web_id=6908929983101486593" TargetMode="External"/><Relationship Id="rId375" Type="http://schemas.openxmlformats.org/officeDocument/2006/relationships/hyperlink" Target="https://www.tiktok.com/@vuhphuong/video/6990605119071063322?" TargetMode="External"/><Relationship Id="rId496" Type="http://schemas.openxmlformats.org/officeDocument/2006/relationships/hyperlink" Target="https://www.tiktok.com/@nguyenhanghuong96/video/6993308751197424922?_d=secCgYIASAHKAESMgowttrzrvpirT%2B3P%2B3Me8G1NWs%2FEixkTTmmaheFv7jqcDog%2BQsv9LWazON6NCR%2Bve%2FYGgA%3D&amp;checksum=a1222155da8415818bfef11fe59043e346d0e2aa8a7e30f0669186ec01dc102a&amp;language=vi&amp;sec_uid=MS4wLjABAAAAHQL9uNz42X0g4P-Kq5RIGjeqc3xxaBoJSfQzbXPNpqfeJDY8xAinFFnWHeY7tpfO&amp;sec_user_id=MS4wLjABAAAAHQL9uNz42X0g4P-Kq5RIGjeqc3xxaBoJSfQzbXPNpqfeJDY8xAinFFnWHeY7tpfO&amp;share_app_id=1180&amp;share_author_id=6588380481799618561&amp;share_link_id=AEDBB9FA-2E01-4ACD-B90B-73B7A54BA369&amp;tt_from=copy&amp;u_code=d1efhmm3ji0bme&amp;user_id=6588380481799618561&amp;utm_campaign=client_share&amp;utm_medium=ios&amp;utm_source=copy&amp;source=h5_t&amp;_r=1&amp;is_copy_url=0&amp;is_from_webapp=v1&amp;sender_device=pc&amp;sender_web_id=6983582057944237570" TargetMode="External"/><Relationship Id="rId172" Type="http://schemas.openxmlformats.org/officeDocument/2006/relationships/hyperlink" Target="https://www.tiktok.com/@cu_bo32/video/6990337919793810715?" TargetMode="External"/><Relationship Id="rId293" Type="http://schemas.openxmlformats.org/officeDocument/2006/relationships/hyperlink" Target="https://www.facebook.com/tuongvi69/videos/905967009996156" TargetMode="External"/><Relationship Id="rId171" Type="http://schemas.openxmlformats.org/officeDocument/2006/relationships/hyperlink" Target="https://www.tiktok.com/@yody_vn/video/6986634121699151106?lang=vi-VN&amp;is_copy_url=1&amp;is_from_webapp=v1" TargetMode="External"/><Relationship Id="rId292" Type="http://schemas.openxmlformats.org/officeDocument/2006/relationships/hyperlink" Target="https://www.youtube.com/watch?v=Y5rvBFN-2Uo" TargetMode="External"/><Relationship Id="rId170" Type="http://schemas.openxmlformats.org/officeDocument/2006/relationships/hyperlink" Target="https://www.tiktok.com/@yody_vn/video/6984773909811842305?lang=vi-VN&amp;is_copy_url=1&amp;is_from_webapp=v1" TargetMode="External"/><Relationship Id="rId291" Type="http://schemas.openxmlformats.org/officeDocument/2006/relationships/hyperlink" Target="https://www.youtube.com/watch?v=JOK8F_u5cFo&amp;t=16s" TargetMode="External"/><Relationship Id="rId290" Type="http://schemas.openxmlformats.org/officeDocument/2006/relationships/hyperlink" Target="https://www.youtube.com/watch?v=C_OFt2C3irc&amp;t=36s" TargetMode="External"/><Relationship Id="rId165" Type="http://schemas.openxmlformats.org/officeDocument/2006/relationships/hyperlink" Target="https://www.tiktok.com/@vuhphuong/video/6988861339540229403?" TargetMode="External"/><Relationship Id="rId286" Type="http://schemas.openxmlformats.org/officeDocument/2006/relationships/hyperlink" Target="https://www.tiktok.com/@yona.224/video/6994010516196838683?" TargetMode="External"/><Relationship Id="rId164" Type="http://schemas.openxmlformats.org/officeDocument/2006/relationships/hyperlink" Target="https://www.tiktok.com/@kmquyen2002/video/6989196337422028059?" TargetMode="External"/><Relationship Id="rId285" Type="http://schemas.openxmlformats.org/officeDocument/2006/relationships/hyperlink" Target="https://www.tiktok.com/@yona.224/video/6991786537444805914?" TargetMode="External"/><Relationship Id="rId163" Type="http://schemas.openxmlformats.org/officeDocument/2006/relationships/hyperlink" Target="https://www.tiktok.com/@kmquyen2002/video/6988808733971270939?" TargetMode="External"/><Relationship Id="rId284" Type="http://schemas.openxmlformats.org/officeDocument/2006/relationships/hyperlink" Target="https://www.tiktok.com/@yona.224/video/6991414838811544859?" TargetMode="External"/><Relationship Id="rId162" Type="http://schemas.openxmlformats.org/officeDocument/2006/relationships/hyperlink" Target="https://www.tiktok.com/@huongmin_/video/6989558933924908314?" TargetMode="External"/><Relationship Id="rId283" Type="http://schemas.openxmlformats.org/officeDocument/2006/relationships/hyperlink" Target="https://www.tiktok.com/@yona.224/video/6991050118011063579?" TargetMode="External"/><Relationship Id="rId169" Type="http://schemas.openxmlformats.org/officeDocument/2006/relationships/hyperlink" Target="https://www.tiktok.com/@yody_vn/video/6984268226435779841?lang=vi-VN&amp;is_copy_url=1&amp;is_from_webapp=v1" TargetMode="External"/><Relationship Id="rId168" Type="http://schemas.openxmlformats.org/officeDocument/2006/relationships/hyperlink" Target="https://www.tiktok.com/@yody_vn/video/6984026159004667163?lang=vi-VN&amp;is_copy_url=1&amp;is_from_webapp=v1" TargetMode="External"/><Relationship Id="rId289" Type="http://schemas.openxmlformats.org/officeDocument/2006/relationships/hyperlink" Target="https://www.tiktok.com/@hoaa.hanassii/video/6997354210878704922?" TargetMode="External"/><Relationship Id="rId167" Type="http://schemas.openxmlformats.org/officeDocument/2006/relationships/hyperlink" Target="https://www.tiktok.com/@vuhphuong/video/6989596182729313563?" TargetMode="External"/><Relationship Id="rId288" Type="http://schemas.openxmlformats.org/officeDocument/2006/relationships/hyperlink" Target="https://www.tiktok.com/@hoaa.hanassii/video/6997245756352646426?" TargetMode="External"/><Relationship Id="rId166" Type="http://schemas.openxmlformats.org/officeDocument/2006/relationships/hyperlink" Target="https://www.tiktok.com/@vuhphuong/video/6989109459876334875?" TargetMode="External"/><Relationship Id="rId287" Type="http://schemas.openxmlformats.org/officeDocument/2006/relationships/hyperlink" Target="https://www.tiktok.com/@yona.224/video/6996140121351294235?" TargetMode="External"/><Relationship Id="rId161" Type="http://schemas.openxmlformats.org/officeDocument/2006/relationships/hyperlink" Target="https://www.tiktok.com/@huongmin_/video/6989192981291011355?" TargetMode="External"/><Relationship Id="rId282" Type="http://schemas.openxmlformats.org/officeDocument/2006/relationships/hyperlink" Target="https://www.tiktok.com/@yona.224/video/6990667503278116122?" TargetMode="External"/><Relationship Id="rId160" Type="http://schemas.openxmlformats.org/officeDocument/2006/relationships/hyperlink" Target="https://www.tiktok.com/@huongmin_/video/6988709465444912410?" TargetMode="External"/><Relationship Id="rId281" Type="http://schemas.openxmlformats.org/officeDocument/2006/relationships/hyperlink" Target="https://www.tiktok.com/@yona.224/video/6990191602945903899?" TargetMode="External"/><Relationship Id="rId280" Type="http://schemas.openxmlformats.org/officeDocument/2006/relationships/hyperlink" Target="https://www.tiktok.com/@yona.224/video/6989929438775479579?" TargetMode="External"/><Relationship Id="rId159" Type="http://schemas.openxmlformats.org/officeDocument/2006/relationships/hyperlink" Target="https://www.tiktok.com/@tieungao1907/video/6989825215723244827?" TargetMode="External"/><Relationship Id="rId154" Type="http://schemas.openxmlformats.org/officeDocument/2006/relationships/hyperlink" Target="https://www.tiktok.com/@baduyyyy/video/6989206445728238874?" TargetMode="External"/><Relationship Id="rId275" Type="http://schemas.openxmlformats.org/officeDocument/2006/relationships/hyperlink" Target="https://www.tiktok.com/@chutieuhan10012001/video/6994390473704017178?is_copy_url=0&amp;is_from_webapp=v1&amp;sender_device=pc&amp;sender_web_id=6908929983101486593" TargetMode="External"/><Relationship Id="rId396" Type="http://schemas.openxmlformats.org/officeDocument/2006/relationships/hyperlink" Target="https://www.tiktok.com/@meous99/video/6997343418158419227?" TargetMode="External"/><Relationship Id="rId153" Type="http://schemas.openxmlformats.org/officeDocument/2006/relationships/hyperlink" Target="https://www.tiktok.com/@xuanduong_0403/video/6988463245187222810?" TargetMode="External"/><Relationship Id="rId274" Type="http://schemas.openxmlformats.org/officeDocument/2006/relationships/hyperlink" Target="https://www.tiktok.com/@dienmy_16th2/video/6989929177898110235?lang=vi-VN&amp;fbclid=IwAR2DIlZqcWCtP2YCucUKJnX-ychRUM6elc1sc2kkvie8Ur2WFJlaTg3C7yQ&amp;is_copy_url=0&amp;is_from_webapp=v1&amp;sender_device=pc&amp;sender_web_id=6908929983101486593" TargetMode="External"/><Relationship Id="rId395" Type="http://schemas.openxmlformats.org/officeDocument/2006/relationships/hyperlink" Target="https://www.tiktok.com/@tuan_bo/video/6992448854272511259?" TargetMode="External"/><Relationship Id="rId152" Type="http://schemas.openxmlformats.org/officeDocument/2006/relationships/hyperlink" Target="https://www.tiktok.com/@duchien118/video/6988762606756498714?" TargetMode="External"/><Relationship Id="rId273" Type="http://schemas.openxmlformats.org/officeDocument/2006/relationships/hyperlink" Target="https://www.tiktok.com/@trangchun186/video/6996262197651410203?lang=vi-VN&amp;is_copy_url=0&amp;is_from_webapp=v1&amp;sender_device=pc&amp;sender_web_id=6908929983101486593" TargetMode="External"/><Relationship Id="rId394" Type="http://schemas.openxmlformats.org/officeDocument/2006/relationships/hyperlink" Target="https://www.tiktok.com/@tuan_bo/video/6991701622132952346?" TargetMode="External"/><Relationship Id="rId151" Type="http://schemas.openxmlformats.org/officeDocument/2006/relationships/hyperlink" Target="https://www.tiktok.com/@duchien118/video/6988078772960382235?" TargetMode="External"/><Relationship Id="rId272" Type="http://schemas.openxmlformats.org/officeDocument/2006/relationships/hyperlink" Target="https://www.tiktok.com/@trangchun186/video/6994412546321124634?lang=vi-VN&amp;is_copy_url=0&amp;is_from_webapp=v1&amp;sender_device=pc&amp;sender_web_id=6908929983101486593" TargetMode="External"/><Relationship Id="rId393" Type="http://schemas.openxmlformats.org/officeDocument/2006/relationships/hyperlink" Target="https://www.tiktok.com/@quynh2001/video/6995363443029167387?" TargetMode="External"/><Relationship Id="rId158" Type="http://schemas.openxmlformats.org/officeDocument/2006/relationships/hyperlink" Target="https://www.tiktok.com/@tieungao1907/video/6989560534291008794?" TargetMode="External"/><Relationship Id="rId279" Type="http://schemas.openxmlformats.org/officeDocument/2006/relationships/hyperlink" Target="https://www.tiktok.com/@yona.224/video/6989560712561462554?" TargetMode="External"/><Relationship Id="rId157" Type="http://schemas.openxmlformats.org/officeDocument/2006/relationships/hyperlink" Target="https://vt.tiktok.com/ZGJAJB8Ue/" TargetMode="External"/><Relationship Id="rId278" Type="http://schemas.openxmlformats.org/officeDocument/2006/relationships/hyperlink" Target="https://www.tiktok.com/@phucanhh_/video/6997609518356073754?_d=secCgYIASAHKAESMgowT4f9CfHjAxDJxqNULf511uAHPYxqwOF7Y0scVghjMBAZqAPAdmMdKvqqNjawhU5rGgA%3D&amp;checksum=7c6e7b0a81db4eac0280943e3d9a9bffe01c3adc0d082a8d64f048fb04f9bb0e&amp;language=vi&amp;mid=6997609513255766811&amp;preview_pb=0&amp;region=VN&amp;sec_user_id=MS4wLjABAAAAzih8nWx5fp_M_9ibbXdWDHTKo2DTeA7H7r1IJOz6Dyg&amp;share_app_id=1180&amp;share_item_id=6997609518356073754&amp;share_link_id=30629CE4-4F98-4FB3-BD0B-92B7D9A5C78B&amp;source=h5_t&amp;timestamp=1629257985&amp;tt_from=copy&amp;u_code=i28e7mlj&amp;user_id=61638435651&amp;utm_campaign=client_share&amp;utm_medium=ios&amp;utm_source=copy&amp;_r=1&amp;is_copy_url=0&amp;is_from_webapp=v1&amp;sender_device=pc&amp;sender_web_id=6908929983101486593" TargetMode="External"/><Relationship Id="rId399" Type="http://schemas.openxmlformats.org/officeDocument/2006/relationships/hyperlink" Target="https://www.tiktok.com/@phaminhiu/video/6991387276009852187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156" Type="http://schemas.openxmlformats.org/officeDocument/2006/relationships/hyperlink" Target="https://www.tiktok.com/@minhnhatdzvcl/video/6989563123632000283?" TargetMode="External"/><Relationship Id="rId277" Type="http://schemas.openxmlformats.org/officeDocument/2006/relationships/hyperlink" Target="https://www.facebook.com/nah.anh.1428/videos/985158548928141" TargetMode="External"/><Relationship Id="rId398" Type="http://schemas.openxmlformats.org/officeDocument/2006/relationships/hyperlink" Target="https://www.tiktok.com/@hht0911/video/6991815536543796507?lang=vi-VN&amp;is_copy_url=0&amp;is_from_webapp=v1&amp;sender_device=pc&amp;sender_web_id=6983582057944237570" TargetMode="External"/><Relationship Id="rId155" Type="http://schemas.openxmlformats.org/officeDocument/2006/relationships/hyperlink" Target="https://www.tiktok.com/@thanhdolphin03082000/video/6988845269173554458?" TargetMode="External"/><Relationship Id="rId276" Type="http://schemas.openxmlformats.org/officeDocument/2006/relationships/hyperlink" Target="https://www.tiktok.com/@ngannt212/video/6994281578071444738?is_copy_url=0&amp;is_from_webapp=v1&amp;sender_device=pc&amp;sender_web_id=6908929983101486593" TargetMode="External"/><Relationship Id="rId397" Type="http://schemas.openxmlformats.org/officeDocument/2006/relationships/hyperlink" Target="https://www.tiktok.com/@hht0911/video/6988773712031976730?lang=vi-VN&amp;is_copy_url=0&amp;is_from_webapp=v1&amp;sender_device=pc&amp;sender_web_id=6983582057944237570" TargetMode="External"/><Relationship Id="rId40" Type="http://schemas.openxmlformats.org/officeDocument/2006/relationships/hyperlink" Target="https://www.tiktok.com/@moe1m77/video/6986165765447666971?" TargetMode="External"/><Relationship Id="rId42" Type="http://schemas.openxmlformats.org/officeDocument/2006/relationships/hyperlink" Target="https://www.tiktok.com/@hth.1909/video/6987213734360010011?l=&amp;is_copy_url=0&amp;is_from_webapp=v1&amp;sender_device=pc&amp;sender_web_id=6908929983101486593" TargetMode="External"/><Relationship Id="rId41" Type="http://schemas.openxmlformats.org/officeDocument/2006/relationships/hyperlink" Target="https://www.tiktok.com/@phandactoan/video/6989231727549992219?" TargetMode="External"/><Relationship Id="rId44" Type="http://schemas.openxmlformats.org/officeDocument/2006/relationships/hyperlink" Target="https://www.tiktok.com/@phun.anh/video/6985747312458976538?lang=vi-VN&amp;is_copy_url=0&amp;is_from_webapp=v1&amp;sender_device=pc&amp;sender_web_id=6908929983101486593" TargetMode="External"/><Relationship Id="rId43" Type="http://schemas.openxmlformats.org/officeDocument/2006/relationships/hyperlink" Target="https://www.tiktok.com/@hth.1909/video/6987359551163010331?l=&amp;is_copy_url=0&amp;is_from_webapp=v1&amp;sender_device=pc&amp;sender_web_id=6908929983101486593" TargetMode="External"/><Relationship Id="rId46" Type="http://schemas.openxmlformats.org/officeDocument/2006/relationships/hyperlink" Target="https://www.tiktok.com/@phun.anh/video/6987974852133113115?lang=vi-VN&amp;is_copy_url=0&amp;is_from_webapp=v1&amp;sender_device=pc&amp;sender_web_id=6908929983101486593" TargetMode="External"/><Relationship Id="rId45" Type="http://schemas.openxmlformats.org/officeDocument/2006/relationships/hyperlink" Target="https://www.tiktok.com/@phun.anh/video/6987227337142193435?lang=vi-VN&amp;is_copy_url=0&amp;is_from_webapp=v1&amp;sender_device=pc&amp;sender_web_id=6908929983101486593" TargetMode="External"/><Relationship Id="rId501" Type="http://schemas.openxmlformats.org/officeDocument/2006/relationships/drawing" Target="../drawings/drawing9.xml"/><Relationship Id="rId500" Type="http://schemas.openxmlformats.org/officeDocument/2006/relationships/hyperlink" Target="https://www.facebook.com/pu.be.7547/videos/349721976824292" TargetMode="External"/><Relationship Id="rId48" Type="http://schemas.openxmlformats.org/officeDocument/2006/relationships/hyperlink" Target="https://www.tiktok.com/@sunflizme/video/6986526055104400667?" TargetMode="External"/><Relationship Id="rId47" Type="http://schemas.openxmlformats.org/officeDocument/2006/relationships/hyperlink" Target="https://www.tiktok.com/@sunflizme/video/6985376475360906522?" TargetMode="External"/><Relationship Id="rId49" Type="http://schemas.openxmlformats.org/officeDocument/2006/relationships/hyperlink" Target="https://www.tiktok.com/@sunflizme/video/6986652181176831259?" TargetMode="External"/><Relationship Id="rId31" Type="http://schemas.openxmlformats.org/officeDocument/2006/relationships/hyperlink" Target="https://www.tiktok.com/@anhthuyet/video/6986964324917021979?lang=vi-VN&amp;is_copy_url=0&amp;is_from_webapp=v1&amp;sender_device=pc&amp;sender_web_id=6908929983101486593" TargetMode="External"/><Relationship Id="rId30" Type="http://schemas.openxmlformats.org/officeDocument/2006/relationships/hyperlink" Target="https://www.tiktok.com/@anhthuyet/video/6986225716740377882?lang=vi-VN&amp;is_copy_url=0&amp;is_from_webapp=v1&amp;sender_device=pc&amp;sender_web_id=6908929983101486593" TargetMode="External"/><Relationship Id="rId33" Type="http://schemas.openxmlformats.org/officeDocument/2006/relationships/hyperlink" Target="https://www.tiktok.com/@anhthuyet/video/6987708099490614555?lang=vi-VN&amp;is_copy_url=0&amp;is_from_webapp=v1&amp;sender_device=pc&amp;sender_web_id=6908929983101486593" TargetMode="External"/><Relationship Id="rId32" Type="http://schemas.openxmlformats.org/officeDocument/2006/relationships/hyperlink" Target="https://www.tiktok.com/@anhthuyet/video/6987343268275047707?lang=vi-VN&amp;is_copy_url=0&amp;is_from_webapp=v1&amp;sender_device=pc&amp;sender_web_id=6908929983101486593" TargetMode="External"/><Relationship Id="rId35" Type="http://schemas.openxmlformats.org/officeDocument/2006/relationships/hyperlink" Target="https://www.tiktok.com/@minhthanglv/video/6988824990095363355?" TargetMode="External"/><Relationship Id="rId34" Type="http://schemas.openxmlformats.org/officeDocument/2006/relationships/hyperlink" Target="https://www.tiktok.com/@anhthuyet/video/6983641021737389338?lang=vi-VN&amp;is_copy_url=0&amp;is_from_webapp=v1&amp;sender_device=pc&amp;sender_web_id=6908929983101486593" TargetMode="External"/><Relationship Id="rId37" Type="http://schemas.openxmlformats.org/officeDocument/2006/relationships/hyperlink" Target="https://www.tiktok.com/@thokiwi98/video/6985885789154561307?" TargetMode="External"/><Relationship Id="rId36" Type="http://schemas.openxmlformats.org/officeDocument/2006/relationships/hyperlink" Target="https://www.tiktok.com/@thokiwi98/video/6985501855975542042?" TargetMode="External"/><Relationship Id="rId39" Type="http://schemas.openxmlformats.org/officeDocument/2006/relationships/hyperlink" Target="https://www.tiktok.com/@thokiwi98/video/6987749455248313626?is_copy_url=0&amp;is_from_webapp=v1&amp;sender_device=pc&amp;sender_web_id=6908929983101486593" TargetMode="External"/><Relationship Id="rId38" Type="http://schemas.openxmlformats.org/officeDocument/2006/relationships/hyperlink" Target="https://www.tiktok.com/@thokiwi98/video/6986996760472325403?" TargetMode="External"/><Relationship Id="rId20" Type="http://schemas.openxmlformats.org/officeDocument/2006/relationships/hyperlink" Target="https://www.tiktok.com/@cu_bo32/video/6987339407518960922?lang=vi-VN&amp;is_copy_url=0&amp;is_from_webapp=v1&amp;sender_device=pc&amp;sender_web_id=6908929983101486593" TargetMode="External"/><Relationship Id="rId22" Type="http://schemas.openxmlformats.org/officeDocument/2006/relationships/hyperlink" Target="https://www.tiktok.com/@cu_bo32/video/6988713594175130907?lang=vi-VN&amp;is_copy_url=0&amp;is_from_webapp=v1&amp;sender_device=pc&amp;sender_web_id=6908929983101486593" TargetMode="External"/><Relationship Id="rId21" Type="http://schemas.openxmlformats.org/officeDocument/2006/relationships/hyperlink" Target="https://www.tiktok.com/@cu_bo32/video/6987989671120768283?lang=vi-VN&amp;is_copy_url=0&amp;is_from_webapp=v1&amp;sender_device=pc&amp;sender_web_id=6908929983101486593" TargetMode="External"/><Relationship Id="rId24" Type="http://schemas.openxmlformats.org/officeDocument/2006/relationships/hyperlink" Target="https://www.tiktok.com/@mai_xuan_son/video/6985395217721675035?lang=vi-VN&amp;is_copy_url=0&amp;is_from_webapp=v1&amp;sender_device=pc&amp;sender_web_id=6908929983101486593" TargetMode="External"/><Relationship Id="rId23" Type="http://schemas.openxmlformats.org/officeDocument/2006/relationships/hyperlink" Target="https://www.tiktok.com/@mai_xuan_son/video/6984757361055468826?lang=vi-VN&amp;is_copy_url=0&amp;is_from_webapp=v1&amp;sender_device=pc&amp;sender_web_id=6908929983101486593" TargetMode="External"/><Relationship Id="rId409" Type="http://schemas.openxmlformats.org/officeDocument/2006/relationships/hyperlink" Target="https://www.tiktok.com/@kimoanh1428/video/6992793522759863579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3582057944237570" TargetMode="External"/><Relationship Id="rId404" Type="http://schemas.openxmlformats.org/officeDocument/2006/relationships/hyperlink" Target="https://www.tiktok.com/@phaminhiu/video/6994772365624298778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3" Type="http://schemas.openxmlformats.org/officeDocument/2006/relationships/hyperlink" Target="https://www.tiktok.com/@phaminhiu/video/6993330854671961371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2" Type="http://schemas.openxmlformats.org/officeDocument/2006/relationships/hyperlink" Target="https://www.tiktok.com/@phaminhiu/video/6992489165136989467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1" Type="http://schemas.openxmlformats.org/officeDocument/2006/relationships/hyperlink" Target="https://www.tiktok.com/@phaminhiu/video/6991717039761149210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8" Type="http://schemas.openxmlformats.org/officeDocument/2006/relationships/hyperlink" Target="https://www.tiktok.com/@jackmafia/video/6990193271825829147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7" Type="http://schemas.openxmlformats.org/officeDocument/2006/relationships/hyperlink" Target="https://www.tiktok.com/@jackmafia/video/6989545481214938395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6" Type="http://schemas.openxmlformats.org/officeDocument/2006/relationships/hyperlink" Target="https://www.tiktok.com/@jackmafia/video/6989131054196002074?_d=secCgYIASAHKAESMgowqLckfv6UuccJKM87EiaEamED5okkEct%2BL32a1tVOS2xUIoLgNwfwzJXIRhxHm0BaGgA%3D&amp;checksum=34a9f6a1712c4a89f24d6075b9bcc0fe738dbb34ef3ef654baf1d8b6179fed01&amp;language=vi&amp;sec_uid=MS4wLjABAAAAHDAoOIpcAuGKF_JHDu8rfZAtAdq_tv5ti5vFvdd31TQ3EsrrqvR4UDLKtdP6daA3&amp;sec_user_id=MS4wLjABAAAABZoGHXrZBRfUXemmSi4q3avURclQFi4x2Whu9VjcIcT76FNFZkqEczdQ-sOpcqo6&amp;share_app_id=1180&amp;share_author_id=6728987623341720578&amp;share_link_id=44E5732E-E0C0-4848-8DC2-36DBEACDB954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05" Type="http://schemas.openxmlformats.org/officeDocument/2006/relationships/hyperlink" Target="https://www.tiktok.com/@phaminhiu/video/6996182943286807834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6" Type="http://schemas.openxmlformats.org/officeDocument/2006/relationships/hyperlink" Target="https://www.tiktok.com/@baongoc.1906/video/6984347866856770842?" TargetMode="External"/><Relationship Id="rId25" Type="http://schemas.openxmlformats.org/officeDocument/2006/relationships/hyperlink" Target="https://www.tiktok.com/@mai_xuan_son/video/6985877587641896219?lang=vi-VN&amp;is_copy_url=0&amp;is_from_webapp=v1&amp;sender_device=pc&amp;sender_web_id=6908929983101486593" TargetMode="External"/><Relationship Id="rId28" Type="http://schemas.openxmlformats.org/officeDocument/2006/relationships/hyperlink" Target="https://www.tiktok.com/@anhthuyet/video/6984370824404897051?lang=vi-VN&amp;is_copy_url=0&amp;is_from_webapp=v1&amp;sender_device=pc&amp;sender_web_id=6908929983101486593" TargetMode="External"/><Relationship Id="rId27" Type="http://schemas.openxmlformats.org/officeDocument/2006/relationships/hyperlink" Target="https://www.tiktok.com/@baongoc.1906/video/6985915344045083931?" TargetMode="External"/><Relationship Id="rId400" Type="http://schemas.openxmlformats.org/officeDocument/2006/relationships/hyperlink" Target="https://www.tiktok.com/@phaminhiu/video/6991455696688581915?_d=secCgYIASAHKAESMgowAHqU1kTorvzI3RoUhNDBpneuIAkmZhwdoAdusn4w3ktStpdw1aULRJt7vM0p4pfvGgA%3D&amp;checksum=8261c89d8c75af4f27b3e2320a6f33e56f7fe7838d0fca005a98bc938e2bf2ba&amp;language=vi&amp;sec_uid=MS4wLjABAAAAvxNw2xDXBgxt2g1cY1ORMClXddopaN6lo10JFWbrp02IVa5nkN8T2OX9wvnOhd3g&amp;sec_user_id=MS4wLjABAAAABZoGHXrZBRfUXemmSi4q3avURclQFi4x2Whu9VjcIcT76FNFZkqEczdQ-sOpcqo6&amp;share_app_id=1180&amp;share_author_id=68809753082093568&amp;share_link_id=F47CADE2-B409-4D7E-A4FD-7C1099C9A11A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9" Type="http://schemas.openxmlformats.org/officeDocument/2006/relationships/hyperlink" Target="https://www.tiktok.com/@anhthuyet/video/6985504403096718619?lang=vi-VN&amp;is_copy_url=0&amp;is_from_webapp=v1&amp;sender_device=pc&amp;sender_web_id=6908929983101486593" TargetMode="External"/><Relationship Id="rId11" Type="http://schemas.openxmlformats.org/officeDocument/2006/relationships/hyperlink" Target="https://www.tiktok.com/@thianguyen2001/video/6987770920102300954?fbclid=IwAR2K88TH_6Pxwa31Ff96qvddJoh9dCU0fDhOpZGRrmFbW6yhW__kQWi3yLo&amp;is_copy_url=0&amp;is_from_webapp=v1&amp;sender_device=pc&amp;sender_web_id=6908929983101486593" TargetMode="External"/><Relationship Id="rId10" Type="http://schemas.openxmlformats.org/officeDocument/2006/relationships/hyperlink" Target="https://www.tiktok.com/@thianguyen2001/video/6985927736422370586?" TargetMode="External"/><Relationship Id="rId13" Type="http://schemas.openxmlformats.org/officeDocument/2006/relationships/hyperlink" Target="https://www.tiktok.com/@soojin51296/video/6988474391059369243?is_copy_url=0&amp;is_from_webapp=v1&amp;sender_device=pc&amp;sender_web_id=6908929983101486593" TargetMode="External"/><Relationship Id="rId12" Type="http://schemas.openxmlformats.org/officeDocument/2006/relationships/hyperlink" Target="https://www.tiktok.com/@qh.bland/video/6987723855364115739?" TargetMode="External"/><Relationship Id="rId15" Type="http://schemas.openxmlformats.org/officeDocument/2006/relationships/hyperlink" Target="https://www.tiktok.com/@cu_bo32/video/6984622779647708442?lang=vi-VN&amp;is_copy_url=0&amp;is_from_webapp=v1&amp;sender_device=pc&amp;sender_web_id=6908929983101486593" TargetMode="External"/><Relationship Id="rId14" Type="http://schemas.openxmlformats.org/officeDocument/2006/relationships/hyperlink" Target="https://www.tiktok.com/@cu_bo32/video/6984019010870463771?lang=vi-VN&amp;is_copy_url=0&amp;is_from_webapp=v1&amp;sender_device=pc&amp;sender_web_id=6908929983101486593" TargetMode="External"/><Relationship Id="rId17" Type="http://schemas.openxmlformats.org/officeDocument/2006/relationships/hyperlink" Target="https://www.tiktok.com/@cu_bo32/video/6985710987580017947?lang=vi-VN&amp;is_copy_url=0&amp;is_from_webapp=v1&amp;sender_device=pc&amp;sender_web_id=6908929983101486593" TargetMode="External"/><Relationship Id="rId16" Type="http://schemas.openxmlformats.org/officeDocument/2006/relationships/hyperlink" Target="https://www.tiktok.com/@cu_bo32/video/6984960307118574874?lang=vi-VN&amp;is_copy_url=0&amp;is_from_webapp=v1&amp;sender_device=pc&amp;sender_web_id=6908929983101486593" TargetMode="External"/><Relationship Id="rId19" Type="http://schemas.openxmlformats.org/officeDocument/2006/relationships/hyperlink" Target="https://www.tiktok.com/@cu_bo32/video/6986485072950005019?lang=vi-VN&amp;is_copy_url=0&amp;is_from_webapp=v1&amp;sender_device=pc&amp;sender_web_id=6908929983101486593" TargetMode="External"/><Relationship Id="rId18" Type="http://schemas.openxmlformats.org/officeDocument/2006/relationships/hyperlink" Target="https://www.tiktok.com/@cu_bo32/video/6986086729610480923?lang=vi-VN&amp;is_copy_url=0&amp;is_from_webapp=v1&amp;sender_device=pc&amp;sender_web_id=6908929983101486593" TargetMode="External"/><Relationship Id="rId84" Type="http://schemas.openxmlformats.org/officeDocument/2006/relationships/hyperlink" Target="https://www.tiktok.com/@buingocphuongtrang/video/6986635841242156314" TargetMode="External"/><Relationship Id="rId83" Type="http://schemas.openxmlformats.org/officeDocument/2006/relationships/hyperlink" Target="https://www.facebook.com/100005610043014/posts/1636713313192321/?d=n" TargetMode="External"/><Relationship Id="rId86" Type="http://schemas.openxmlformats.org/officeDocument/2006/relationships/hyperlink" Target="https://www.facebook.com/binhan.072020/videos/528807201570435" TargetMode="External"/><Relationship Id="rId85" Type="http://schemas.openxmlformats.org/officeDocument/2006/relationships/hyperlink" Target="https://www.facebook.com/luong.huyenkha/posts/994937047936105" TargetMode="External"/><Relationship Id="rId88" Type="http://schemas.openxmlformats.org/officeDocument/2006/relationships/hyperlink" Target="https://www.facebook.com/thanh.duong.5220/videos/133547462228191" TargetMode="External"/><Relationship Id="rId87" Type="http://schemas.openxmlformats.org/officeDocument/2006/relationships/hyperlink" Target="https://www.tiktok.com/@hi.am.gnud/video/6986862109560704282?_d=secCgYIASAHKAESMgowuBOu3szKhA24dO1NXtYdbrPJT7IV%2FrIhboyI%2Bsm0%2FAYEgmURtjuViMehV6HXn3sjGgA%3D&amp;checksum=ba2a048923190e3f6539c2f9fc368408d9ccf34fa93febca981642cd85ed4a79&amp;language=vi&amp;mid=6986862110814833434&amp;preview_pb=0&amp;region=VN&amp;sec_user_id=MS4wLjABAAAA3kDh-oQAIKV8ovEghqzUXXiG-OTJE7C7dqbXJMWT-mviRv0PPlYsBTmfCzdsUaRs&amp;share_app_id=1180&amp;share_item_id=6986862109560704282&amp;share_link_id=70E9CCD7-FFAD-474C-B282-0216F172C7C7&amp;source=h5_t&amp;timestamp=1626759114&amp;tt_from=copy&amp;u_code=d6i1fjfa18g5b1&amp;user_id=6701181011680117761&amp;utm_campaign=client_share&amp;utm_medium=ios&amp;utm_source=copy&amp;_r=1" TargetMode="External"/><Relationship Id="rId89" Type="http://schemas.openxmlformats.org/officeDocument/2006/relationships/hyperlink" Target="https://www.facebook.com/100004254121912/posts/2036618319823286/?d=n" TargetMode="External"/><Relationship Id="rId80" Type="http://schemas.openxmlformats.org/officeDocument/2006/relationships/hyperlink" Target="https://www.tiktok.com/@h21052001/video/6986880680403684635?is_copy_url=0&amp;is_from_webapp=v1&amp;sender_device=pc&amp;sender_web_id=6908929983101486593" TargetMode="External"/><Relationship Id="rId82" Type="http://schemas.openxmlformats.org/officeDocument/2006/relationships/hyperlink" Target="https://www.facebook.com/Changchi.1604/videos/165010988924001" TargetMode="External"/><Relationship Id="rId81" Type="http://schemas.openxmlformats.org/officeDocument/2006/relationships/hyperlink" Target="https://www.facebook.com/nganthithuhien/videos/4171727379561493" TargetMode="External"/><Relationship Id="rId73" Type="http://schemas.openxmlformats.org/officeDocument/2006/relationships/hyperlink" Target="https://www.tiktok.com/@toanprdsofficial/video/6989206587835419931?is_copy_url=0&amp;is_from_webapp=v1&amp;sender_device=pc&amp;sender_web_id=6908929983101486593" TargetMode="External"/><Relationship Id="rId72" Type="http://schemas.openxmlformats.org/officeDocument/2006/relationships/hyperlink" Target="https://www.tiktok.com/@toanprdsofficial/video/6987722032494546202?is_copy_url=0&amp;is_from_webapp=v1&amp;sender_device=pc&amp;sender_web_id=6908929983101486593" TargetMode="External"/><Relationship Id="rId75" Type="http://schemas.openxmlformats.org/officeDocument/2006/relationships/hyperlink" Target="https://www.instagram.com/reel/CRoQb_QDvXz/" TargetMode="External"/><Relationship Id="rId74" Type="http://schemas.openxmlformats.org/officeDocument/2006/relationships/hyperlink" Target="https://www.tiktok.com/@toanprdsofficial/video/6989587951852293402?is_copy_url=0&amp;is_from_webapp=v1&amp;sender_device=pc&amp;sender_web_id=6908929983101486593" TargetMode="External"/><Relationship Id="rId77" Type="http://schemas.openxmlformats.org/officeDocument/2006/relationships/hyperlink" Target="https://www.instagram.com/reel/CR1OPZPDuaP/" TargetMode="External"/><Relationship Id="rId76" Type="http://schemas.openxmlformats.org/officeDocument/2006/relationships/hyperlink" Target="https://www.instagram.com/reel/CRydlrjDHH1/" TargetMode="External"/><Relationship Id="rId79" Type="http://schemas.openxmlformats.org/officeDocument/2006/relationships/hyperlink" Target="https://www.tiktok.com/@thinhnguyenart_official/video/6987658404219161882?is_copy_url=0&amp;is_from_webapp=v1&amp;sender_device=pc&amp;sender_web_id=6908929983101486593" TargetMode="External"/><Relationship Id="rId78" Type="http://schemas.openxmlformats.org/officeDocument/2006/relationships/hyperlink" Target="https://www.tiktok.com/@thinhnguyenart_official/video/6986805848148364570?is_copy_url=0&amp;is_from_webapp=v1&amp;sender_device=pc&amp;sender_web_id=6908929983101486593" TargetMode="External"/><Relationship Id="rId71" Type="http://schemas.openxmlformats.org/officeDocument/2006/relationships/hyperlink" Target="https://www.tiktok.com/@bedangbae/video/6988850866996464922?is_copy_url=0&amp;is_from_webapp=v1&amp;sender_device=pc&amp;sender_web_id=6908929983101486593" TargetMode="External"/><Relationship Id="rId70" Type="http://schemas.openxmlformats.org/officeDocument/2006/relationships/hyperlink" Target="https://www.tiktok.com/@bedangbae/video/6988479754257173787?is_copy_url=0&amp;is_from_webapp=v1&amp;sender_device=pc&amp;sender_web_id=6908929983101486593" TargetMode="External"/><Relationship Id="rId62" Type="http://schemas.openxmlformats.org/officeDocument/2006/relationships/hyperlink" Target="https://www.facebook.com/moclanla/videos/810057876567671" TargetMode="External"/><Relationship Id="rId61" Type="http://schemas.openxmlformats.org/officeDocument/2006/relationships/hyperlink" Target="https://www.tiktok.com/@hoanglong86a/video/6987977038158187802?is_copy_url=0&amp;is_from_webapp=v1&amp;sender_device=pc&amp;sender_web_id=6908929983101486593" TargetMode="External"/><Relationship Id="rId64" Type="http://schemas.openxmlformats.org/officeDocument/2006/relationships/hyperlink" Target="https://www.facebook.com/100034376687766/videos/1011431982958642" TargetMode="External"/><Relationship Id="rId63" Type="http://schemas.openxmlformats.org/officeDocument/2006/relationships/hyperlink" Target="https://www.tiktok.com/@moclan24/video/6985398456982490394?is_copy_url=0&amp;is_from_webapp=v1&amp;sender_device=pc&amp;sender_web_id=6908929983101486593" TargetMode="External"/><Relationship Id="rId66" Type="http://schemas.openxmlformats.org/officeDocument/2006/relationships/hyperlink" Target="https://www.tiktok.com/@nhinguyenn84/video/6988885802331819291?is_copy_url=0&amp;is_from_webapp=v1&amp;sender_device=pc&amp;sender_web_id=6908929983101486593" TargetMode="External"/><Relationship Id="rId65" Type="http://schemas.openxmlformats.org/officeDocument/2006/relationships/hyperlink" Target="https://www.facebook.com/thaonhi.lam.16121/videos/495856034847593" TargetMode="External"/><Relationship Id="rId68" Type="http://schemas.openxmlformats.org/officeDocument/2006/relationships/hyperlink" Target="https://www.facebook.com/100022227891749/posts/1003653740385546/" TargetMode="External"/><Relationship Id="rId67" Type="http://schemas.openxmlformats.org/officeDocument/2006/relationships/hyperlink" Target="https://www.facebook.com/100028527371304/videos/557859528559826" TargetMode="External"/><Relationship Id="rId60" Type="http://schemas.openxmlformats.org/officeDocument/2006/relationships/hyperlink" Target="https://www.facebook.com/tienanh.vu.334/videos/358632378979133" TargetMode="External"/><Relationship Id="rId69" Type="http://schemas.openxmlformats.org/officeDocument/2006/relationships/hyperlink" Target="https://www.tiktok.com/@bedangbae/video/6984029292141350170?is_copy_url=0&amp;is_from_webapp=v1&amp;sender_device=pc&amp;sender_web_id=6908929983101486593" TargetMode="External"/><Relationship Id="rId51" Type="http://schemas.openxmlformats.org/officeDocument/2006/relationships/hyperlink" Target="https://www.tiktok.com/@behyblack/video/6985394076241661210?is_copy_url=0&amp;is_from_webapp=v1&amp;sender_device=pc&amp;sender_web_id=6908929983101486593" TargetMode="External"/><Relationship Id="rId50" Type="http://schemas.openxmlformats.org/officeDocument/2006/relationships/hyperlink" Target="https://www.tiktok.com/@mango011101/video/6988452233641872666?is_copy_url=0&amp;is_from_webapp=v1&amp;sender_device=pc&amp;sender_web_id=6908929983101486593" TargetMode="External"/><Relationship Id="rId53" Type="http://schemas.openxmlformats.org/officeDocument/2006/relationships/hyperlink" Target="https://www.tiktok.com/@hoduyphuong/video/6987601217287507227?_=&amp;is_copy_url=0&amp;is_from_webapp=v1&amp;sender_device=pc&amp;sender_web_id=6908929983101486593" TargetMode="External"/><Relationship Id="rId52" Type="http://schemas.openxmlformats.org/officeDocument/2006/relationships/hyperlink" Target="https://www.tiktok.com/@hoduyphuong/video/6986852837477109018?_=&amp;is_copy_url=0&amp;is_from_webapp=v1&amp;sender_device=pc&amp;sender_web_id=6908929983101486593" TargetMode="External"/><Relationship Id="rId55" Type="http://schemas.openxmlformats.org/officeDocument/2006/relationships/hyperlink" Target="https://www.tiktok.com/@hoduyphuong/video/6989822411969547546?_=&amp;is_copy_url=0&amp;is_from_webapp=v1&amp;sender_device=pc&amp;sender_web_id=6908929983101486593" TargetMode="External"/><Relationship Id="rId54" Type="http://schemas.openxmlformats.org/officeDocument/2006/relationships/hyperlink" Target="https://www.tiktok.com/@hoduyphuong/video/6989081767756025114?_=&amp;is_copy_url=0&amp;is_from_webapp=v1&amp;sender_device=pc&amp;sender_web_id=6908929983101486593" TargetMode="External"/><Relationship Id="rId57" Type="http://schemas.openxmlformats.org/officeDocument/2006/relationships/hyperlink" Target="https://www.facebook.com/100004356046481/posts/1911476309007552/" TargetMode="External"/><Relationship Id="rId56" Type="http://schemas.openxmlformats.org/officeDocument/2006/relationships/hyperlink" Target="https://www.tiktok.com/@khanhkhie/video/6989582358781496602?is_copy_url=0&amp;is_from_webapp=v1&amp;sender_device=pc&amp;sender_web_id=6908929983101486593" TargetMode="External"/><Relationship Id="rId59" Type="http://schemas.openxmlformats.org/officeDocument/2006/relationships/hyperlink" Target="https://www.facebook.com/100006045494111/videos/781616739195419" TargetMode="External"/><Relationship Id="rId58" Type="http://schemas.openxmlformats.org/officeDocument/2006/relationships/hyperlink" Target="https://www.instagram.com/p/CRqeQUYHT4r/?utm_medium=copy_link" TargetMode="External"/><Relationship Id="rId107" Type="http://schemas.openxmlformats.org/officeDocument/2006/relationships/hyperlink" Target="https://www.tiktok.com/@dongthy_1010/video/6987714387532320026?_d=secCgYIASAHKAESMgowjNjMDsbbMtqhLK4jzs69WGHs9BjuoAMllhvHwyq56WFmLqWPLR76vYLIHnVieJ2RGgA%3D&amp;checksum=9de496463966ab35c42d86adba9a37483e28cb9a7dfa8ff6ba0d5e0e97bb6e13&amp;language=vi&amp;sec_uid=MS4wLjABAAAA-gYQDQsDp3MFvfF8ohaRA8lh_yej0PC4wZTWVAXRA9UPMQLgwhXfgqEujKOks6Av&amp;sec_user_id=MS4wLjABAAAABZoGHXrZBRfUXemmSi4q3avURclQFi4x2Whu9VjcIcT76FNFZkqEczdQ-sOpcqo6&amp;share_app_id=1180&amp;share_author_id=6699249775030125570&amp;share_link_id=D0906501-3F5B-4B71-8BFB-56432885CA90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8" Type="http://schemas.openxmlformats.org/officeDocument/2006/relationships/hyperlink" Target="https://www.tiktok.com/@chutieuhan10012001/video/6993927950177455386?is_copy_url=0&amp;is_from_webapp=v1&amp;sender_device=pc&amp;sender_web_id=6908929983101486593" TargetMode="External"/><Relationship Id="rId349" Type="http://schemas.openxmlformats.org/officeDocument/2006/relationships/hyperlink" Target="https://www.facebook.com/le.havy.7121/videos/4091299580995454" TargetMode="External"/><Relationship Id="rId106" Type="http://schemas.openxmlformats.org/officeDocument/2006/relationships/hyperlink" Target="https://www.tiktok.com/@thupin_0109/video/6987714532185541914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7" Type="http://schemas.openxmlformats.org/officeDocument/2006/relationships/hyperlink" Target="https://www.tiktok.com/@chutieuhan10012001/video/6992910488677960987?is_copy_url=0&amp;is_from_webapp=v1&amp;sender_device=pc&amp;sender_web_id=6908929983101486593" TargetMode="External"/><Relationship Id="rId348" Type="http://schemas.openxmlformats.org/officeDocument/2006/relationships/hyperlink" Target="https://www.facebook.com/caammxuynhh/videos/1423985334637846" TargetMode="External"/><Relationship Id="rId469" Type="http://schemas.openxmlformats.org/officeDocument/2006/relationships/hyperlink" Target="https://www.tiktok.com/@_ram215/video/6996546066585799963?is_copy_url=0&amp;is_from_webapp=v1&amp;sender_device=pc&amp;sender_web_id=6983582057944237570" TargetMode="External"/><Relationship Id="rId105" Type="http://schemas.openxmlformats.org/officeDocument/2006/relationships/hyperlink" Target="https://www.tiktok.com/@trangrung08/video/6988324224867798299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26" Type="http://schemas.openxmlformats.org/officeDocument/2006/relationships/hyperlink" Target="https://www.facebook.com/watch/?v=358189612342573&amp;extid=NS-UNK-UNK-UNK-IOS_GK0T-GK1C" TargetMode="External"/><Relationship Id="rId347" Type="http://schemas.openxmlformats.org/officeDocument/2006/relationships/hyperlink" Target="https://www.tiktok.com/@besam2403/video/6995874077416115482?sender_device=mobile&amp;sender_web_id=6986624137116976642&amp;is_from_webapp=v1&amp;is_copy_url=0" TargetMode="External"/><Relationship Id="rId468" Type="http://schemas.openxmlformats.org/officeDocument/2006/relationships/hyperlink" Target="https://www.tiktok.com/@_ram215/video/6993185588618808602?is_copy_url=0&amp;is_from_webapp=v1&amp;sender_device=pc&amp;sender_web_id=6983582057944237570" TargetMode="External"/><Relationship Id="rId104" Type="http://schemas.openxmlformats.org/officeDocument/2006/relationships/hyperlink" Target="https://www.tiktok.com/@trangrung08/video/698797118569477250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5" Type="http://schemas.openxmlformats.org/officeDocument/2006/relationships/hyperlink" Target="https://www.tiktok.com/@ngannt212/video/6993272602756271361?is_copy_url=0&amp;is_from_webapp=v1&amp;sender_device=pc&amp;sender_web_id=6908929983101486593" TargetMode="External"/><Relationship Id="rId346" Type="http://schemas.openxmlformats.org/officeDocument/2006/relationships/hyperlink" Target="https://www.facebook.com/100007200393912/posts/2936098316640153/?d=n" TargetMode="External"/><Relationship Id="rId467" Type="http://schemas.openxmlformats.org/officeDocument/2006/relationships/hyperlink" Target="https://www.tiktok.com/@_ram215/video/6992033998566460698?is_copy_url=0&amp;is_from_webapp=v1&amp;sender_device=pc&amp;sender_web_id=6983582057944237570" TargetMode="External"/><Relationship Id="rId109" Type="http://schemas.openxmlformats.org/officeDocument/2006/relationships/hyperlink" Target="https://www.tiktok.com/@truongvihihi/video/6986581662444424475?lang=vi-VN&amp;is_copy_url=0&amp;is_from_webapp=v1&amp;sender_device=pc&amp;sender_web_id=6983582057944237570" TargetMode="External"/><Relationship Id="rId108" Type="http://schemas.openxmlformats.org/officeDocument/2006/relationships/hyperlink" Target="https://www.tiktok.com/@truongvihihi/video/6986123091936120090?lang=vi-VN&amp;is_copy_url=0&amp;is_from_webapp=v1&amp;sender_device=pc&amp;sender_web_id=6983582057944237570" TargetMode="External"/><Relationship Id="rId229" Type="http://schemas.openxmlformats.org/officeDocument/2006/relationships/hyperlink" Target="https://www.tiktok.com/@chutieuhan10012001/video/6991051453611674907?is_copy_url=0&amp;is_from_webapp=v1&amp;sender_device=pc&amp;sender_web_id=6908929983101486593" TargetMode="External"/><Relationship Id="rId220" Type="http://schemas.openxmlformats.org/officeDocument/2006/relationships/hyperlink" Target="https://www.tiktok.com/@badt99/video/6992029651119934747?is_copy_url=0&amp;is_from_webapp=v1&amp;sender_device=pc&amp;sender_web_id=6908929983101486593" TargetMode="External"/><Relationship Id="rId341" Type="http://schemas.openxmlformats.org/officeDocument/2006/relationships/hyperlink" Target="https://www.facebook.com/100003335207852/videos/pcb.4205612949559837/3064580483758435" TargetMode="External"/><Relationship Id="rId462" Type="http://schemas.openxmlformats.org/officeDocument/2006/relationships/hyperlink" Target="https://www.tiktok.com/@d.l9801/video/6989189622660173082?lang=vi-VN&amp;is_copy_url=0&amp;is_from_webapp=v1&amp;sender_device=pc&amp;sender_web_id=6983582057944237570" TargetMode="External"/><Relationship Id="rId340" Type="http://schemas.openxmlformats.org/officeDocument/2006/relationships/hyperlink" Target="https://www.tiktok.com/@unheo1219/video/6994642593392971034?" TargetMode="External"/><Relationship Id="rId461" Type="http://schemas.openxmlformats.org/officeDocument/2006/relationships/hyperlink" Target="https://www.tiktok.com/@buingocphuongtrang/video/6993198670703299866?is_copy_url=0&amp;is_from_webapp=v1&amp;sender_device=pc&amp;sender_web_id=6983582057944237570" TargetMode="External"/><Relationship Id="rId460" Type="http://schemas.openxmlformats.org/officeDocument/2006/relationships/hyperlink" Target="https://www.tiktok.com/@buingocphuongtrang/video/6990693452635802907?is_copy_url=0&amp;is_from_webapp=v1&amp;sender_device=pc&amp;sender_web_id=6983582057944237570" TargetMode="External"/><Relationship Id="rId103" Type="http://schemas.openxmlformats.org/officeDocument/2006/relationships/hyperlink" Target="https://www.tiktok.com/@trangrung08/video/698691186544823836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4" Type="http://schemas.openxmlformats.org/officeDocument/2006/relationships/hyperlink" Target="https://www.tiktok.com/@ngannt212/video/6989825465703763227?is_copy_url=0&amp;is_from_webapp=v1&amp;sender_device=pc&amp;sender_web_id=6908929983101486593" TargetMode="External"/><Relationship Id="rId345" Type="http://schemas.openxmlformats.org/officeDocument/2006/relationships/hyperlink" Target="https://www.facebook.com/100007197069413/posts/2893460727570468/?d=n" TargetMode="External"/><Relationship Id="rId466" Type="http://schemas.openxmlformats.org/officeDocument/2006/relationships/hyperlink" Target="https://www.tiktok.com/@_ram215/video/6991616014534413595?is_copy_url=0&amp;is_from_webapp=v1&amp;sender_device=pc&amp;sender_web_id=6983582057944237570" TargetMode="External"/><Relationship Id="rId102" Type="http://schemas.openxmlformats.org/officeDocument/2006/relationships/hyperlink" Target="https://www.tiktok.com/@trangrung08/video/6986548298593078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3" Type="http://schemas.openxmlformats.org/officeDocument/2006/relationships/hyperlink" Target="https://www.facebook.com/01633166673h/videos/1033006097103767" TargetMode="External"/><Relationship Id="rId344" Type="http://schemas.openxmlformats.org/officeDocument/2006/relationships/hyperlink" Target="https://www.facebook.com/100069810784981/posts/124533986550294/?d=n" TargetMode="External"/><Relationship Id="rId465" Type="http://schemas.openxmlformats.org/officeDocument/2006/relationships/hyperlink" Target="https://www.tiktok.com/@_ram215/video/6990163737533631770?lang=vi-VN&amp;is_copy_url=0&amp;is_from_webapp=v1&amp;sender_device=pc&amp;sender_web_id=6983582057944237570" TargetMode="External"/><Relationship Id="rId101" Type="http://schemas.openxmlformats.org/officeDocument/2006/relationships/hyperlink" Target="https://www.tiktok.com/@trangrung08/video/6986135195472661786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2" Type="http://schemas.openxmlformats.org/officeDocument/2006/relationships/hyperlink" Target="https://www.tiktok.com/@anhtiendola/video/6994024593291873563?lang=vi-VN&amp;is_copy_url=0&amp;is_from_webapp=v1&amp;sender_device=pc&amp;sender_web_id=6908929983101486593" TargetMode="External"/><Relationship Id="rId343" Type="http://schemas.openxmlformats.org/officeDocument/2006/relationships/hyperlink" Target="https://www.facebook.com/100043082003294/posts/483685963077466/?d=n" TargetMode="External"/><Relationship Id="rId464" Type="http://schemas.openxmlformats.org/officeDocument/2006/relationships/hyperlink" Target="https://www.tiktok.com/@_ram215/video/6989810625182534939?lang=vi-VN&amp;is_copy_url=0&amp;is_from_webapp=v1&amp;sender_device=pc&amp;sender_web_id=6983582057944237570" TargetMode="External"/><Relationship Id="rId100" Type="http://schemas.openxmlformats.org/officeDocument/2006/relationships/hyperlink" Target="https://www.tiktok.com/@trangrung08/video/698542860166762012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21" Type="http://schemas.openxmlformats.org/officeDocument/2006/relationships/hyperlink" Target="https://www.tiktok.com/@badt99/video/6993612052770098459?is_copy_url=0&amp;is_from_webapp=v1&amp;sender_device=pc&amp;sender_web_id=6908929983101486593" TargetMode="External"/><Relationship Id="rId342" Type="http://schemas.openxmlformats.org/officeDocument/2006/relationships/hyperlink" Target="https://www.facebook.com/toanduyduy88/videos/874360593435788" TargetMode="External"/><Relationship Id="rId463" Type="http://schemas.openxmlformats.org/officeDocument/2006/relationships/hyperlink" Target="https://www.tiktok.com/@d.l9801/video/6996978245279239451?lang=vi-VN&amp;is_copy_url=0&amp;is_from_webapp=v1&amp;sender_device=pc&amp;sender_web_id=6983582057944237570" TargetMode="External"/><Relationship Id="rId217" Type="http://schemas.openxmlformats.org/officeDocument/2006/relationships/hyperlink" Target="https://www.tiktok.com/@letrang_2k2/video/6993662824840973594?is_copy_url=0&amp;is_from_webapp=v1&amp;sender_device=pc&amp;sender_web_id=6908929983101486593" TargetMode="External"/><Relationship Id="rId338" Type="http://schemas.openxmlformats.org/officeDocument/2006/relationships/hyperlink" Target="https://www.facebook.com/Vunguyetthu91/videos/529118878334036/" TargetMode="External"/><Relationship Id="rId459" Type="http://schemas.openxmlformats.org/officeDocument/2006/relationships/hyperlink" Target="https://www.tiktok.com/@quynhgo/video/6996534884558753051?_d=secCgYIASAHKAESMgowZ2qmwgNXbrXjyq5FMspQ8QPAe497lrGNYHE2YQR7gYaI98nZqpeeYJltX2nNGNmdGgA%3D&amp;language=vi&amp;sec_uid=MS4wLjABAAAABfLOBt9R09gaACxATvC4jQctf1hHzekfnjNO_8JPDhOVsu269vPHXL2YJZ5zKDBd&amp;sec_user_id=MS4wLjABAAAABfLOBt9R09gaACxATvC4jQctf1hHzekfnjNO_8JPDhOVsu269vPHXL2YJZ5zKDBd&amp;share_app_id=1180&amp;share_author_id=6983460434691474434&amp;share_link_id=51F09909-305D-4EED-8B27-DB67A29A0995&amp;tt_from=copy&amp;u_code=djf7f9373af1h6&amp;user_id=6983460434691474434&amp;utm_campaign=client_share&amp;utm_medium=ios&amp;utm_source=copy&amp;source=h5_t&amp;_r=1&amp;is_copy_url=0&amp;is_from_webapp=v1&amp;sender_device=pc&amp;sender_web_id=6983582057944237570" TargetMode="External"/><Relationship Id="rId216" Type="http://schemas.openxmlformats.org/officeDocument/2006/relationships/hyperlink" Target="https://www.tiktok.com/@letrang_2k2/video/6992423111752830235?is_copy_url=0&amp;is_from_webapp=v1&amp;sender_device=pc&amp;sender_web_id=6908929983101486593" TargetMode="External"/><Relationship Id="rId337" Type="http://schemas.openxmlformats.org/officeDocument/2006/relationships/hyperlink" Target="https://www.facebook.com/nuong.truongthimy/videos/168974925323712" TargetMode="External"/><Relationship Id="rId458" Type="http://schemas.openxmlformats.org/officeDocument/2006/relationships/hyperlink" Target="https://www.tiktok.com/@quynhgo/video/6995941766083955994?_d=secCgYIASAHKAESMgowZ2qmwgNXbrXjyq5FMspQ8QPAe497lrGNYHE2YQR7gYaI98nZqpeeYJltX2nNGNmdGgA%3D&amp;language=vi&amp;sec_uid=MS4wLjABAAAABfLOBt9R09gaACxATvC4jQctf1hHzekfnjNO_8JPDhOVsu269vPHXL2YJZ5zKDBd&amp;sec_user_id=MS4wLjABAAAABfLOBt9R09gaACxATvC4jQctf1hHzekfnjNO_8JPDhOVsu269vPHXL2YJZ5zKDBd&amp;share_app_id=1180&amp;share_author_id=6983460434691474434&amp;share_link_id=51F09909-305D-4EED-8B27-DB67A29A0995&amp;tt_from=copy&amp;u_code=djf7f9373af1h6&amp;user_id=6983460434691474434&amp;utm_campaign=client_share&amp;utm_medium=ios&amp;utm_source=copy&amp;source=h5_t&amp;_r=1&amp;is_copy_url=0&amp;is_from_webapp=v1&amp;sender_device=pc&amp;sender_web_id=6983582057944237570" TargetMode="External"/><Relationship Id="rId215" Type="http://schemas.openxmlformats.org/officeDocument/2006/relationships/hyperlink" Target="https://www.tiktok.com/@letrang_2k2/video/6992052221353430299?is_copy_url=0&amp;is_from_webapp=v1&amp;sender_device=pc&amp;sender_web_id=6908929983101486593" TargetMode="External"/><Relationship Id="rId336" Type="http://schemas.openxmlformats.org/officeDocument/2006/relationships/hyperlink" Target="https://www.facebook.com/meo.moon.522/videos/207973791327426" TargetMode="External"/><Relationship Id="rId457" Type="http://schemas.openxmlformats.org/officeDocument/2006/relationships/hyperlink" Target="https://www.facebook.com/quynh.giao.31/videos/182272053962950" TargetMode="External"/><Relationship Id="rId214" Type="http://schemas.openxmlformats.org/officeDocument/2006/relationships/hyperlink" Target="https://www.tiktok.com/@letrang_2k2/video/6991435077972413722?is_copy_url=0&amp;is_from_webapp=v1&amp;sender_device=pc&amp;sender_web_id=6908929983101486593" TargetMode="External"/><Relationship Id="rId335" Type="http://schemas.openxmlformats.org/officeDocument/2006/relationships/hyperlink" Target="https://www.facebook.com/Suph036/videos/1019821965224376" TargetMode="External"/><Relationship Id="rId456" Type="http://schemas.openxmlformats.org/officeDocument/2006/relationships/hyperlink" Target="https://www.tiktok.com/@cattia.ttv_/video/6994762898434313498?lang=vi-VN&amp;is_copy_url=0&amp;is_from_webapp=v1&amp;sender_device=pc&amp;sender_web_id=6983582057944237570" TargetMode="External"/><Relationship Id="rId219" Type="http://schemas.openxmlformats.org/officeDocument/2006/relationships/hyperlink" Target="https://www.tiktok.com/@badt99/video/6990905217294306586?is_copy_url=0&amp;is_from_webapp=v1&amp;sender_device=pc&amp;sender_web_id=6908929983101486593" TargetMode="External"/><Relationship Id="rId218" Type="http://schemas.openxmlformats.org/officeDocument/2006/relationships/hyperlink" Target="https://www.tiktok.com/@letrang_2k2/video/6993946912693030171?" TargetMode="External"/><Relationship Id="rId339" Type="http://schemas.openxmlformats.org/officeDocument/2006/relationships/hyperlink" Target="https://www.tiktok.com/@unheo1219/video/6995880449323093275?" TargetMode="External"/><Relationship Id="rId330" Type="http://schemas.openxmlformats.org/officeDocument/2006/relationships/hyperlink" Target="https://www.tiktok.com/@nmtvlog99/video/6996992360877952283?" TargetMode="External"/><Relationship Id="rId451" Type="http://schemas.openxmlformats.org/officeDocument/2006/relationships/hyperlink" Target="https://www.tiktok.com/@haxinhgai..95/video/6989787486281059610?fbclid=IwAR3He4bA6prCvdaABHfFgfPqhI7SNETeJewnkaDEkIxCTW9mOsGXJMKVKPk&amp;is_copy_url=0&amp;is_from_webapp=v1&amp;sender_device=pc&amp;sender_web_id=6983582057944237570" TargetMode="External"/><Relationship Id="rId450" Type="http://schemas.openxmlformats.org/officeDocument/2006/relationships/hyperlink" Target="https://www.facebook.com/hatrinh.ha95/videos/1504019759960611" TargetMode="External"/><Relationship Id="rId213" Type="http://schemas.openxmlformats.org/officeDocument/2006/relationships/hyperlink" Target="https://www.tiktok.com/@letrang_2k2/video/6990197204019350810?is_copy_url=0&amp;is_from_webapp=v1&amp;sender_device=pc&amp;sender_web_id=6908929983101486593" TargetMode="External"/><Relationship Id="rId334" Type="http://schemas.openxmlformats.org/officeDocument/2006/relationships/hyperlink" Target="https://www.tiktok.com/@phamuyen369/video/6996990519704292635?" TargetMode="External"/><Relationship Id="rId455" Type="http://schemas.openxmlformats.org/officeDocument/2006/relationships/hyperlink" Target="https://www.facebook.com/trinhkien.aodai/videos/2877671582544887" TargetMode="External"/><Relationship Id="rId212" Type="http://schemas.openxmlformats.org/officeDocument/2006/relationships/hyperlink" Target="https://www.tiktok.com/@itsbevis/video/6992551336797687041?" TargetMode="External"/><Relationship Id="rId333" Type="http://schemas.openxmlformats.org/officeDocument/2006/relationships/hyperlink" Target="https://www.tiktok.com/@phamuyen369/video/6995465035531193627?" TargetMode="External"/><Relationship Id="rId454" Type="http://schemas.openxmlformats.org/officeDocument/2006/relationships/hyperlink" Target="https://www.facebook.com/Habeauty.95/videos/540906827112339" TargetMode="External"/><Relationship Id="rId211" Type="http://schemas.openxmlformats.org/officeDocument/2006/relationships/hyperlink" Target="https://www.tiktok.com/@phamvinh99/video/6990582079016684827?" TargetMode="External"/><Relationship Id="rId332" Type="http://schemas.openxmlformats.org/officeDocument/2006/relationships/hyperlink" Target="https://www.tiktok.com/@phamuyen369/video/6993249441725680923?" TargetMode="External"/><Relationship Id="rId453" Type="http://schemas.openxmlformats.org/officeDocument/2006/relationships/hyperlink" Target="https://www.tiktok.com/@haxinhgai..95/video/6993617128679132443?fbclid=IwAR3He4bA6prCvdaABHfFgfPqhI7SNETeJewnkaDEkIxCTW9mOsGXJMKVKPk&amp;is_copy_url=0&amp;is_from_webapp=v1&amp;sender_device=pc&amp;sender_web_id=6983582057944237570" TargetMode="External"/><Relationship Id="rId210" Type="http://schemas.openxmlformats.org/officeDocument/2006/relationships/hyperlink" Target="https://www.tiktok.com/@phamquynhhoa2004/video/6993174055427919130?is_copy_url=0&amp;is_from_webapp=v1&amp;sender_device=pc&amp;sender_web_id=6908929983101486593" TargetMode="External"/><Relationship Id="rId331" Type="http://schemas.openxmlformats.org/officeDocument/2006/relationships/hyperlink" Target="https://www.tiktok.com/@nmtvlog99/video/6997369506733509915?" TargetMode="External"/><Relationship Id="rId452" Type="http://schemas.openxmlformats.org/officeDocument/2006/relationships/hyperlink" Target="https://www.tiktok.com/@haxinhgai..95/video/6991790291418238234?fbclid=IwAR3He4bA6prCvdaABHfFgfPqhI7SNETeJewnkaDEkIxCTW9mOsGXJMKVKPk&amp;is_copy_url=0&amp;is_from_webapp=v1&amp;sender_device=pc&amp;sender_web_id=6983582057944237570" TargetMode="External"/><Relationship Id="rId370" Type="http://schemas.openxmlformats.org/officeDocument/2006/relationships/hyperlink" Target="https://www.tiktok.com/@nhathoanghon/video/6992540553892220186?" TargetMode="External"/><Relationship Id="rId491" Type="http://schemas.openxmlformats.org/officeDocument/2006/relationships/hyperlink" Target="https://www.facebook.com/trinhanhduc206/videos/512211576506040" TargetMode="External"/><Relationship Id="rId490" Type="http://schemas.openxmlformats.org/officeDocument/2006/relationships/hyperlink" Target="https://www.tiktok.com/@thuhuong2xx1/video/6996979355477871899?is_copy_url=0&amp;is_from_webapp=v1&amp;sender_device=pc&amp;sender_web_id=6983582057944237570" TargetMode="External"/><Relationship Id="rId129" Type="http://schemas.openxmlformats.org/officeDocument/2006/relationships/hyperlink" Target="https://www.facebook.com/100004629070346/posts/2004499493047667/?d=n" TargetMode="External"/><Relationship Id="rId128" Type="http://schemas.openxmlformats.org/officeDocument/2006/relationships/hyperlink" Target="https://www.tiktok.com/@trungke.ontiktok/video/6988082977817382170?lang=vi-VN&amp;is_copy_url=0&amp;is_from_webapp=v1&amp;sender_device=pc&amp;sender_web_id=6982736742253446658" TargetMode="External"/><Relationship Id="rId249" Type="http://schemas.openxmlformats.org/officeDocument/2006/relationships/hyperlink" Target="https://www.tiktok.com/@anhthuyet/video/6995504440773971227?lang=vi-VN&amp;is_copy_url=0&amp;is_from_webapp=v1&amp;sender_device=pc&amp;sender_web_id=6908929983101486593" TargetMode="External"/><Relationship Id="rId127" Type="http://schemas.openxmlformats.org/officeDocument/2006/relationships/hyperlink" Target="https://www.tiktok.com/@10103anh/video/6988433610764324122?is_copy_url=0&amp;is_from_webapp=v1&amp;sender_device=pc&amp;sender_web_id=6983582057944237570" TargetMode="External"/><Relationship Id="rId248" Type="http://schemas.openxmlformats.org/officeDocument/2006/relationships/hyperlink" Target="https://www.tiktok.com/@kngn212/video/6995908693707558145?lang=vi-VN&amp;is_copy_url=0&amp;is_from_webapp=v1&amp;sender_device=pc&amp;sender_web_id=6908929983101486593" TargetMode="External"/><Relationship Id="rId369" Type="http://schemas.openxmlformats.org/officeDocument/2006/relationships/hyperlink" Target="https://www.tiktok.com/@nhathoanghon/video/6992163733153844506?" TargetMode="External"/><Relationship Id="rId126" Type="http://schemas.openxmlformats.org/officeDocument/2006/relationships/hyperlink" Target="https://www.tiktok.com/@dinhtrangthao03/video/6987710639842004250?lang=vi-VN&amp;is_copy_url=0&amp;is_from_webapp=v1&amp;sender_device=pc&amp;sender_web_id=6982736742253446658" TargetMode="External"/><Relationship Id="rId247" Type="http://schemas.openxmlformats.org/officeDocument/2006/relationships/hyperlink" Target="https://www.tiktok.com/@huemid_03/video/6995380895683251483?lang=vi-VN&amp;is_copy_url=0&amp;is_from_webapp=v1&amp;sender_device=pc&amp;sender_web_id=6908929983101486593" TargetMode="External"/><Relationship Id="rId368" Type="http://schemas.openxmlformats.org/officeDocument/2006/relationships/hyperlink" Target="https://www.tiktok.com/@nhathoanghon/video/6990930171633159450?" TargetMode="External"/><Relationship Id="rId489" Type="http://schemas.openxmlformats.org/officeDocument/2006/relationships/hyperlink" Target="https://www.facebook.com/100006351731572/videos/pcb.3167338600154500/378913080264829" TargetMode="External"/><Relationship Id="rId121" Type="http://schemas.openxmlformats.org/officeDocument/2006/relationships/hyperlink" Target="https://www.tiktok.com/@_hvqt_/video/698727529236460674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42" Type="http://schemas.openxmlformats.org/officeDocument/2006/relationships/hyperlink" Target="https://www.tiktok.com/@ngoafood_/video/6994785675635608858?" TargetMode="External"/><Relationship Id="rId363" Type="http://schemas.openxmlformats.org/officeDocument/2006/relationships/hyperlink" Target="https://www.tiktok.com/@huynh4nhh/video/6996625988977413402?" TargetMode="External"/><Relationship Id="rId484" Type="http://schemas.openxmlformats.org/officeDocument/2006/relationships/hyperlink" Target="https://www.facebook.com/ngoloi.1979/videos/894534377806357" TargetMode="External"/><Relationship Id="rId120" Type="http://schemas.openxmlformats.org/officeDocument/2006/relationships/hyperlink" Target="https://www.tiktok.com/@_hvqt_/video/6986940501475855642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41" Type="http://schemas.openxmlformats.org/officeDocument/2006/relationships/hyperlink" Target="https://www.tiktok.com/@ngoafood_/video/6992931191955541274?" TargetMode="External"/><Relationship Id="rId362" Type="http://schemas.openxmlformats.org/officeDocument/2006/relationships/hyperlink" Target="https://www.tiktok.com/@huynh4nhh/video/6995393904245738778?" TargetMode="External"/><Relationship Id="rId483" Type="http://schemas.openxmlformats.org/officeDocument/2006/relationships/hyperlink" Target="https://www.tiktok.com/@thaihagiang25/video/6995535245655231770?_d=secCgYIASAHKAESMgowxG0qer5KOTG3HWK3qCL7GN7oKIMtE9pYAqKQaWJxZ71nyocuA%2BvpFZCGkGNr8%2F9nGgA%3D&amp;checksum=4e71203219780f87be0cc86efcd535efce0cb0f2df6a38d289491d72414accb8&amp;language=vi&amp;mid=6995535251929959195&amp;preview_pb=0&amp;region=VN&amp;sec_user_id=MS4wLjABAAAAiP-0-2oiTEagOFH_LHH3Q5XkY7OfYr5prJMjhUh6bCTy0FBoE2DehLJDjAswPQLY&amp;share_app_id=1180&amp;share_item_id=6995535245655231770&amp;share_link_id=6bc3b62e-d3d6-4bff-bd10-1b82b28b75b7&amp;source=h5_t&amp;timestamp=1628870248&amp;u_code=dcg95afb7dg1bk&amp;user_id=6831075834708689921&amp;utm_campaign=client_share&amp;utm_medium=android&amp;utm_source=copy&amp;_r=1&amp;is_copy_url=0&amp;is_from_webapp=v1&amp;sender_device=pc&amp;sender_web_id=6983582057944237570" TargetMode="External"/><Relationship Id="rId240" Type="http://schemas.openxmlformats.org/officeDocument/2006/relationships/hyperlink" Target="https://www.facebook.com/100026620564081/posts/890096831887661/?d=n" TargetMode="External"/><Relationship Id="rId361" Type="http://schemas.openxmlformats.org/officeDocument/2006/relationships/hyperlink" Target="https://www.tiktok.com/@huynh4nhh/video/6994261827660057882?" TargetMode="External"/><Relationship Id="rId482" Type="http://schemas.openxmlformats.org/officeDocument/2006/relationships/hyperlink" Target="https://www.facebook.com/nguyenthamnb/videos/516262562785297" TargetMode="External"/><Relationship Id="rId360" Type="http://schemas.openxmlformats.org/officeDocument/2006/relationships/hyperlink" Target="https://www.tiktok.com/@huynh4nhh/video/6993884571368574235?" TargetMode="External"/><Relationship Id="rId481" Type="http://schemas.openxmlformats.org/officeDocument/2006/relationships/hyperlink" Target="https://www.tiktok.com/@dinhlanphuongmethorua/video/6990714957226577178?_d=secCgYIASAHKAESMgowfO5gbAwhqoNq%2FPgehzzqa5feJA65OVxXVLJJYI%2F8AE8cf9y2%2B3nhPdQpYoritmDmGgA%3D&amp;language=vi&amp;preview_pb=0&amp;sec_user_id=MS4wLjABAAAArLBC2Plw0trRKoJd7BWSBwTKEcrusTey5lvl69K9N_ZVvpcpJEdRxjY1gCdzkBgc&amp;share_item_id=6990714957226577178&amp;share_link_id=A4F4F958-3D84-4BD4-8F80-7FA083269B96&amp;source=h5_m&amp;timestamp=1627652672&amp;tt_from=messenger&amp;u_code=djk25g44k3324a&amp;user_id=6987999890643289115&amp;utm_campaign=client_share&amp;utm_medium=ios&amp;utm_source=messenger&amp;_r=1&amp;fbclid=IwAR0u6JX8ikkhxtvSwpz3GksssqOxJBjcmzezz560RJR10i-rAm7G4t0jKUY&amp;is_copy_url=0&amp;is_from_webapp=v1&amp;sender_device=pc&amp;sender_web_id=6983582057944237570" TargetMode="External"/><Relationship Id="rId125" Type="http://schemas.openxmlformats.org/officeDocument/2006/relationships/hyperlink" Target="https://www.tiktok.com/@dinhtrangthao03/video/6986965664674221338?lang=vi-VN&amp;is_copy_url=0&amp;is_from_webapp=v1&amp;sender_device=pc&amp;sender_web_id=6983582057944237570" TargetMode="External"/><Relationship Id="rId246" Type="http://schemas.openxmlformats.org/officeDocument/2006/relationships/hyperlink" Target="https://www.tiktok.com/@huemid_03/video/6994764524733697307?lang=vi-VN&amp;is_copy_url=0&amp;is_from_webapp=v1&amp;sender_device=pc&amp;sender_web_id=6908929983101486593" TargetMode="External"/><Relationship Id="rId367" Type="http://schemas.openxmlformats.org/officeDocument/2006/relationships/hyperlink" Target="https://www.tiktok.com/@nhathoanghon/video/6989935461955341594?" TargetMode="External"/><Relationship Id="rId488" Type="http://schemas.openxmlformats.org/officeDocument/2006/relationships/hyperlink" Target="https://www.tiktok.com/@thu.kobito/video/6997247480777706753?lang=vi-VN&amp;is_copy_url=0&amp;is_from_webapp=v1&amp;sender_device=pc&amp;sender_web_id=6983582057944237570" TargetMode="External"/><Relationship Id="rId124" Type="http://schemas.openxmlformats.org/officeDocument/2006/relationships/hyperlink" Target="https://www.tiktok.com/@dinhtrangthao03/video/6986220375331966235?lang=vi-VN&amp;is_copy_url=0&amp;is_from_webapp=v1&amp;sender_device=pc&amp;sender_web_id=6983582057944237570" TargetMode="External"/><Relationship Id="rId245" Type="http://schemas.openxmlformats.org/officeDocument/2006/relationships/hyperlink" Target="https://www.instagram.com/reel/CSWlV8VJM49/" TargetMode="External"/><Relationship Id="rId366" Type="http://schemas.openxmlformats.org/officeDocument/2006/relationships/hyperlink" Target="https://www.tiktok.com/@vansat97/video/6996935837602581787?" TargetMode="External"/><Relationship Id="rId487" Type="http://schemas.openxmlformats.org/officeDocument/2006/relationships/hyperlink" Target="https://www.tiktok.com/@thu.kobito/video/6996154736714075393?lang=vi-VN&amp;is_copy_url=0&amp;is_from_webapp=v1&amp;sender_device=pc&amp;sender_web_id=6983582057944237570" TargetMode="External"/><Relationship Id="rId123" Type="http://schemas.openxmlformats.org/officeDocument/2006/relationships/hyperlink" Target="https://www.tiktok.com/@_hvqt_/video/6988284628704464155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44" Type="http://schemas.openxmlformats.org/officeDocument/2006/relationships/hyperlink" Target="https://www.tiktok.com/@toanprdsofficial/video/6994400376417979674?" TargetMode="External"/><Relationship Id="rId365" Type="http://schemas.openxmlformats.org/officeDocument/2006/relationships/hyperlink" Target="https://www.tiktok.com/@vansat97/video/6994347174536563994?" TargetMode="External"/><Relationship Id="rId486" Type="http://schemas.openxmlformats.org/officeDocument/2006/relationships/hyperlink" Target="https://www.tiktok.com/@vomai2412/video/6995019627843685659?_d=secCgYIASAHKAESMgowXjeQ4HBf8FFnZkWdjzJLZizmnbvqTbqIGbl5yxrvQRUSIXKybDjfSmVhzP%2FVQsSOGgA%3D&amp;checksum=49ce1e95839b35157fba9e9126a4dbad326396f623a6e73af6408da9d1c3761e&amp;language=vi&amp;sec_uid=MS4wLjABAAAAakcoLn0AH5d0lix39quyCHbeQ03KVcBklMVDcbdxXNpvr5r1DrAsI5YZtHHqLDeV&amp;sec_user_id=MS4wLjABAAAAakcoLn0AH5d0lix39quyCHbeQ03KVcBklMVDcbdxXNpvr5r1DrAsI5YZtHHqLDeV&amp;share_app_id=1180&amp;share_author_id=6854816817475781633&amp;share_link_id=8E18F6E1-DCBB-4681-98A2-26A180A0B665&amp;tt_from=copy&amp;u_code=ddi77ac9ek69je&amp;user_id=6854816817475781633&amp;utm_campaign=client_share&amp;utm_medium=ios&amp;utm_source=copy&amp;source=h5_t&amp;_r=1&amp;is_copy_url=0&amp;is_from_webapp=v1&amp;sender_device=pc&amp;sender_web_id=6983582057944237570" TargetMode="External"/><Relationship Id="rId122" Type="http://schemas.openxmlformats.org/officeDocument/2006/relationships/hyperlink" Target="https://www.tiktok.com/@_hvqt_/video/6987921745013493018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43" Type="http://schemas.openxmlformats.org/officeDocument/2006/relationships/hyperlink" Target="https://www.tiktok.com/@cu_bo32/video/6994041086737911066?is_copy_url=0&amp;is_from_webapp=v1&amp;sender_device=pc&amp;sender_web_id=6908929983101486593" TargetMode="External"/><Relationship Id="rId364" Type="http://schemas.openxmlformats.org/officeDocument/2006/relationships/hyperlink" Target="https://www.tiktok.com/@vansat97/video/6990675984127216923?" TargetMode="External"/><Relationship Id="rId485" Type="http://schemas.openxmlformats.org/officeDocument/2006/relationships/hyperlink" Target="https://www.facebook.com/phan.thanhhue/videos/533888777727779" TargetMode="External"/><Relationship Id="rId95" Type="http://schemas.openxmlformats.org/officeDocument/2006/relationships/hyperlink" Target="https://www.tiktok.com/@diemho2001/video/6986865973164887322?_d=secCgYIASAHKAESMgow9NJnTsj1sFLfv%2FND6tGFyVWNU4sRS1Ysgw6zbbs3%2FXQSp6nfjHKXZSear2%2BG7DQwGgA%3D&amp;checksum=fcd66aaad65073745e8bdc650f9b4df225dd157fc0b66091eea02573d7baf656&amp;language=vi&amp;mid=0&amp;preview_pb=0&amp;region=VN&amp;sec_user_id=MS4wLjABAAAAeUyqxr1lLghoR-BN_0fHPOJw_sBypPJQgRk-u3fD-jNvyGN7SgpJV_fqPKMSG6Nl&amp;share_app_id=1180&amp;share_item_id=6986865973164887322&amp;share_link_id=30E35354-5834-4BBE-815B-D9FD54DC332B&amp;source=h5_t&amp;timestamp=1626756519&amp;tt_from=copy&amp;u_code=dhj3d9i31j850i&amp;user_id=6943273166978712578&amp;utm_campaign=client_share&amp;utm_medium=ios&amp;utm_source=copy&amp;_r=1&amp;is_copy_url=0&amp;is_from_webapp=v1&amp;sender_device=pc&amp;sender_web_id=6983582057944237570" TargetMode="External"/><Relationship Id="rId94" Type="http://schemas.openxmlformats.org/officeDocument/2006/relationships/hyperlink" Target="https://www.tiktok.com/@diemho2001/video/6986142575874936090?lang=vi-VN&amp;is_copy_url=0&amp;is_from_webapp=v1&amp;sender_device=pc&amp;sender_web_id=6982736742253446658" TargetMode="External"/><Relationship Id="rId97" Type="http://schemas.openxmlformats.org/officeDocument/2006/relationships/hyperlink" Target="https://www.tiktok.com/@diemho2001/video/6987380795577077019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96" Type="http://schemas.openxmlformats.org/officeDocument/2006/relationships/hyperlink" Target="https://www.tiktok.com/@diemho2001/video/698735259099670453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99" Type="http://schemas.openxmlformats.org/officeDocument/2006/relationships/hyperlink" Target="https://www.tiktok.com/@ducvamy/video/6988410622690004251?lang=vi-VN&amp;is_copy_url=0&amp;is_from_webapp=v1&amp;sender_device=pc&amp;sender_web_id=6983582057944237570" TargetMode="External"/><Relationship Id="rId480" Type="http://schemas.openxmlformats.org/officeDocument/2006/relationships/hyperlink" Target="https://www.facebook.com/phung.thanhxuan/videos/642663623375275" TargetMode="External"/><Relationship Id="rId98" Type="http://schemas.openxmlformats.org/officeDocument/2006/relationships/hyperlink" Target="https://www.facebook.com/thanhhuyen.bgvn/videos/338390987868753" TargetMode="External"/><Relationship Id="rId91" Type="http://schemas.openxmlformats.org/officeDocument/2006/relationships/hyperlink" Target="https://www.tiktok.com/@h_myyy/video/6988491726566591770?_d=secCgYIASAHKAESMgowDO5FZKohaYwJR%2FFCwjNTqQhd0kie4w9YBoeWWoQ1ubwzOBfIArT4s%2BeGSDeLP5EWGgA%3D&amp;checksum=268733546857c0f963d13114f9dfe05534127f7c25d02fe05e459d6fff25e866&amp;language=vi&amp;sec_uid=MS4wLjABAAAA7FJgxknNTTZsd38Ae6nK8ybe4eR_9bByJ67ElJ27DfQ&amp;sec_user_id=MS4wLjABAAAABZoGHXrZBRfUXemmSi4q3avURclQFi4x2Whu9VjcIcT76FNFZkqEczdQ-sOpcqo6&amp;share_app_id=1180&amp;share_author_id=65809383349&amp;share_link_id=F2D64BBE-78F8-4A85-A654-AD5BBD8C40D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90" Type="http://schemas.openxmlformats.org/officeDocument/2006/relationships/hyperlink" Target="https://www.facebook.com/sakura.ha.vt/posts/3002325446670099" TargetMode="External"/><Relationship Id="rId93" Type="http://schemas.openxmlformats.org/officeDocument/2006/relationships/hyperlink" Target="https://www.tiktok.com/@diemho2001/video/6985854256574172442?lang=vi-VN&amp;is_copy_url=0&amp;is_from_webapp=v1&amp;sender_device=pc&amp;sender_web_id=6982736742253446658" TargetMode="External"/><Relationship Id="rId92" Type="http://schemas.openxmlformats.org/officeDocument/2006/relationships/hyperlink" Target="https://www.tiktok.com/@kimoanh1428/video/6987187194888867098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2736742253446658" TargetMode="External"/><Relationship Id="rId118" Type="http://schemas.openxmlformats.org/officeDocument/2006/relationships/hyperlink" Target="https://www.tiktok.com/@_hvqt_/video/698624934738187394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39" Type="http://schemas.openxmlformats.org/officeDocument/2006/relationships/hyperlink" Target="https://www.facebook.com/100011482775766/posts/1497090074017071/?d=n" TargetMode="External"/><Relationship Id="rId117" Type="http://schemas.openxmlformats.org/officeDocument/2006/relationships/hyperlink" Target="https://www.tiktok.com/@thaochoe69/video/6987243407030652187?_d=secCgYIASAHKAESMgow7YiQophjMowF7n7Bc%2BlfvFTYzVqk7OPamjLGQ3RrV4EsC%2Fp6jddbQ5Wbv9YDNmSoGgA%3D&amp;checksum=2452e92d7eeb9dc3047c5f1a777c0d995ebc80c40b40312e50a3181d41d64db4&amp;language=vi&amp;sec_uid=MS4wLjABAAAAZTIfUDgg7q7WuUGGxMunTwEn1FCifbZhpFF41M6etYiYTefOa6cJfCCz-kGIQJGN&amp;sec_user_id=MS4wLjABAAAABZoGHXrZBRfUXemmSi4q3avURclQFi4x2Whu9VjcIcT76FNFZkqEczdQ-sOpcqo6&amp;share_app_id=1180&amp;share_author_id=6671012919801184258&amp;share_link_id=0298E10D-1114-437B-A8CB-A6C38353F835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8" Type="http://schemas.openxmlformats.org/officeDocument/2006/relationships/hyperlink" Target="https://www.facebook.com/100005636101373/posts/1666573390207182/?d=n" TargetMode="External"/><Relationship Id="rId359" Type="http://schemas.openxmlformats.org/officeDocument/2006/relationships/hyperlink" Target="https://www.tiktok.com/@huynh4nhh/video/6993275599431224603?" TargetMode="External"/><Relationship Id="rId116" Type="http://schemas.openxmlformats.org/officeDocument/2006/relationships/hyperlink" Target="https://www.tiktok.com/@tolathule/video/698836598451187228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37" Type="http://schemas.openxmlformats.org/officeDocument/2006/relationships/hyperlink" Target="https://www.tiktok.com/@thinhnguyenart_official/video/6995123863264824578?is_copy_url=0&amp;is_from_webapp=v1&amp;sender_device=pc&amp;sender_web_id=6908929983101486593" TargetMode="External"/><Relationship Id="rId358" Type="http://schemas.openxmlformats.org/officeDocument/2006/relationships/hyperlink" Target="https://www.tiktok.com/@thuonghienn/video/6996620377145232666?" TargetMode="External"/><Relationship Id="rId479" Type="http://schemas.openxmlformats.org/officeDocument/2006/relationships/hyperlink" Target="https://www.facebook.com/phuongthanh.nguyen.906/videos/260431488968154" TargetMode="External"/><Relationship Id="rId115" Type="http://schemas.openxmlformats.org/officeDocument/2006/relationships/hyperlink" Target="https://www.tiktok.com/@tolathule/video/6988004214760869146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36" Type="http://schemas.openxmlformats.org/officeDocument/2006/relationships/hyperlink" Target="https://www.tiktok.com/@thinhnguyenart_official/video/6994398310421318914?is_copy_url=0&amp;is_from_webapp=v1&amp;sender_device=pc&amp;sender_web_id=6908929983101486593" TargetMode="External"/><Relationship Id="rId357" Type="http://schemas.openxmlformats.org/officeDocument/2006/relationships/hyperlink" Target="https://www.facebook.com/nmtvlog99/videos/334196018448843" TargetMode="External"/><Relationship Id="rId478" Type="http://schemas.openxmlformats.org/officeDocument/2006/relationships/hyperlink" Target="https://www.tiktok.com/@truong_qn/video/6995485588703022362?is_copy_url=0&amp;is_from_webapp=v1&amp;sender_device=pc&amp;sender_web_id=6983582057944237570" TargetMode="External"/><Relationship Id="rId119" Type="http://schemas.openxmlformats.org/officeDocument/2006/relationships/hyperlink" Target="https://www.tiktok.com/@_hvqt_/video/6986496813293456667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110" Type="http://schemas.openxmlformats.org/officeDocument/2006/relationships/hyperlink" Target="https://www.tiktok.com/@truongvihihi/video/6986965369126800666?lang=vi-VN&amp;is_copy_url=0&amp;is_from_webapp=v1&amp;sender_device=pc&amp;sender_web_id=6983582057944237570" TargetMode="External"/><Relationship Id="rId231" Type="http://schemas.openxmlformats.org/officeDocument/2006/relationships/hyperlink" Target="https://www.tiktok.com/@cuonghancouple/video/6992911283016256795?is_copy_url=0&amp;is_from_webapp=v1&amp;sender_device=pc&amp;sender_web_id=6908929983101486593" TargetMode="External"/><Relationship Id="rId352" Type="http://schemas.openxmlformats.org/officeDocument/2006/relationships/hyperlink" Target="https://www.facebook.com/YonCuon/videos/1238475999948922" TargetMode="External"/><Relationship Id="rId473" Type="http://schemas.openxmlformats.org/officeDocument/2006/relationships/hyperlink" Target="https://www.tiktok.com/@truong_qn/video/6989472522370682139?is_copy_url=0&amp;is_from_webapp=v1&amp;sender_device=pc&amp;sender_web_id=6983582057944237570" TargetMode="External"/><Relationship Id="rId230" Type="http://schemas.openxmlformats.org/officeDocument/2006/relationships/hyperlink" Target="https://www.tiktok.com/@cuonghancouple/video/6991051587275722011?is_copy_url=0&amp;is_from_webapp=v1&amp;sender_device=pc&amp;sender_web_id=6908929983101486593" TargetMode="External"/><Relationship Id="rId351" Type="http://schemas.openxmlformats.org/officeDocument/2006/relationships/hyperlink" Target="https://www.facebook.com/YonCuon/videos/815157779368764" TargetMode="External"/><Relationship Id="rId472" Type="http://schemas.openxmlformats.org/officeDocument/2006/relationships/hyperlink" Target="https://www.tiktok.com/@truong_qn/video/6989151063471410459?_d=secCgYIASAHKAESMgowLmkz2ExDeXgIan7x9mIDHD42x50hbwkhN6YhbJMydsVrPR6q1fBpzh6vkDM0TKIVGgA%3D&amp;checksum=33ed7467324e4cdbf4534f452319febb41f460733250324d052d4f437f6462cc&amp;language=vi&amp;mid=6989151045662411546&amp;preview_pb=0&amp;region=VN&amp;sec_user_id=MS4wLjABAAAAmB3MYYXyfQYprgA8aA5T77tiKXFhU1vrXaG1Da2OPuU1bqLlT4eYYH1xLEp_8BqU&amp;share_app_id=1180&amp;share_item_id=6989151063471410459&amp;share_link_id=cb53a587-f431-4e37-bee0-930c25b028f4&amp;source=h5_t&amp;timestamp=1627289026&amp;u_code=cldl5l4c115fbi&amp;user_id=6521910605594918914&amp;utm_campaign=client_share&amp;utm_medium=android&amp;utm_source=copy&amp;_r=1&amp;is_copy_url=0&amp;is_from_webapp=v1&amp;sender_device=pc&amp;sender_web_id=6983582057944237570" TargetMode="External"/><Relationship Id="rId350" Type="http://schemas.openxmlformats.org/officeDocument/2006/relationships/hyperlink" Target="https://www.facebook.com/YonCuon/videos/345495407077361" TargetMode="External"/><Relationship Id="rId471" Type="http://schemas.openxmlformats.org/officeDocument/2006/relationships/hyperlink" Target="https://www.facebook.com/100005340498640/videos/505387720562605" TargetMode="External"/><Relationship Id="rId470" Type="http://schemas.openxmlformats.org/officeDocument/2006/relationships/hyperlink" Target="https://www.tiktok.com/@10103anh/video/6992494608265612570?is_copy_url=0&amp;is_from_webapp=v1&amp;sender_device=pc&amp;sender_web_id=6983582057944237570" TargetMode="External"/><Relationship Id="rId114" Type="http://schemas.openxmlformats.org/officeDocument/2006/relationships/hyperlink" Target="https://www.tiktok.com/@tolathule/video/6987759501868846363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235" Type="http://schemas.openxmlformats.org/officeDocument/2006/relationships/hyperlink" Target="https://www.tiktok.com/@letrang_2k2/video/6995146019751136538?lang=vi-VN&amp;is_copy_url=0&amp;is_from_webapp=v1&amp;sender_device=pc&amp;sender_web_id=6908929983101486593" TargetMode="External"/><Relationship Id="rId356" Type="http://schemas.openxmlformats.org/officeDocument/2006/relationships/hyperlink" Target="https://www.facebook.com/nmtvlog99/videos/2800359736933697" TargetMode="External"/><Relationship Id="rId477" Type="http://schemas.openxmlformats.org/officeDocument/2006/relationships/hyperlink" Target="https://www.tiktok.com/@truong_qn/video/6994386467934063898?is_copy_url=0&amp;is_from_webapp=v1&amp;sender_device=pc&amp;sender_web_id=6983582057944237570" TargetMode="External"/><Relationship Id="rId113" Type="http://schemas.openxmlformats.org/officeDocument/2006/relationships/hyperlink" Target="https://www.tiktok.com/@truongvihihi/video/698833826973378485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4" Type="http://schemas.openxmlformats.org/officeDocument/2006/relationships/hyperlink" Target="https://www.tiktok.com/@sunflizme/video/6994069667283356955?_d=secCgYIASAHKAESMgowsrLIXTxOhAs0pNeHLVxYGD2%2FUhawI1d3LCexjk4W1KFtf7BVolJ93XOmoNNWGWImGgA%3D&amp;checksum=eecccc653761ee892f43f3ae2d48e32f370d0bc812eef5e6b5b0ace544483258&amp;language=vi&amp;mid=6985376460475206427&amp;preview_pb=0&amp;region=VN&amp;sec_user_id=MS4wLjABAAAA_7Qd1g5GTuF1Q376HGjNDL7HZIiPQniGA9zTAikABBmk5w4f9CyEPbxILEBKdMi-&amp;share_app_id=1180&amp;share_item_id=6985376475360906522&amp;share_link_id=802AC648-9E6E-4982-8CA3-0FF927A89A09&amp;source=h5_t&amp;timestamp=1626417283&amp;tt_from=copy&amp;u_code=d0f1b4hjljkh17&amp;user_id=6566826464812662785&amp;utm_campaign=client_share&amp;utm_medium=ios&amp;utm_source=copy&amp;_r=1&amp;is_copy_url=0&amp;is_from_webapp=v1&amp;sender_device=pc&amp;sender_web_id=6908929983101486593" TargetMode="External"/><Relationship Id="rId355" Type="http://schemas.openxmlformats.org/officeDocument/2006/relationships/hyperlink" Target="https://www.facebook.com/nmtvlog99/videos/160322706174959" TargetMode="External"/><Relationship Id="rId476" Type="http://schemas.openxmlformats.org/officeDocument/2006/relationships/hyperlink" Target="https://www.tiktok.com/@truong_qn/video/6992508021448494363?is_copy_url=0&amp;is_from_webapp=v1&amp;sender_device=pc&amp;sender_web_id=6983582057944237570" TargetMode="External"/><Relationship Id="rId112" Type="http://schemas.openxmlformats.org/officeDocument/2006/relationships/hyperlink" Target="https://www.tiktok.com/@truongvihihi/video/698796700757236457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3" Type="http://schemas.openxmlformats.org/officeDocument/2006/relationships/hyperlink" Target="https://www.youtube.com/watch?v=A8wUVr6AGrI&amp;t=439s" TargetMode="External"/><Relationship Id="rId354" Type="http://schemas.openxmlformats.org/officeDocument/2006/relationships/hyperlink" Target="https://www.facebook.com/nmtvlog99/videos/519221099360964" TargetMode="External"/><Relationship Id="rId475" Type="http://schemas.openxmlformats.org/officeDocument/2006/relationships/hyperlink" Target="https://www.tiktok.com/@truong_qn/video/6991030818583907611?is_copy_url=0&amp;is_from_webapp=v1&amp;sender_device=pc&amp;sender_web_id=6983582057944237570" TargetMode="External"/><Relationship Id="rId111" Type="http://schemas.openxmlformats.org/officeDocument/2006/relationships/hyperlink" Target="https://www.tiktok.com/@truongvihihi/video/6987602432029232410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2736742253446658" TargetMode="External"/><Relationship Id="rId232" Type="http://schemas.openxmlformats.org/officeDocument/2006/relationships/hyperlink" Target="https://www.tiktok.com/@cuonghancouple/video/6993927255118384410?is_copy_url=0&amp;is_from_webapp=v1&amp;sender_device=pc&amp;sender_web_id=6908929983101486593" TargetMode="External"/><Relationship Id="rId353" Type="http://schemas.openxmlformats.org/officeDocument/2006/relationships/hyperlink" Target="https://www.facebook.com/YonCuon/videos/293025969257634" TargetMode="External"/><Relationship Id="rId474" Type="http://schemas.openxmlformats.org/officeDocument/2006/relationships/hyperlink" Target="https://www.tiktok.com/@truong_qn/video/6990269678895516955?is_copy_url=0&amp;is_from_webapp=v1&amp;sender_device=pc&amp;sender_web_id=6983582057944237570" TargetMode="External"/><Relationship Id="rId305" Type="http://schemas.openxmlformats.org/officeDocument/2006/relationships/hyperlink" Target="https://www.tiktok.com/@quely94/video/6989453718311669019?" TargetMode="External"/><Relationship Id="rId426" Type="http://schemas.openxmlformats.org/officeDocument/2006/relationships/hyperlink" Target="https://www.tiktok.com/@truongvihihi/video/6992045152248302875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4" Type="http://schemas.openxmlformats.org/officeDocument/2006/relationships/hyperlink" Target="https://www.tiktok.com/@phuonganh260499/video/6996517746364239131?" TargetMode="External"/><Relationship Id="rId425" Type="http://schemas.openxmlformats.org/officeDocument/2006/relationships/hyperlink" Target="https://www.tiktok.com/@truongvihihi/video/699130674706753461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3" Type="http://schemas.openxmlformats.org/officeDocument/2006/relationships/hyperlink" Target="https://www.tiktok.com/@phuonganh260499/video/6995391462271651098?" TargetMode="External"/><Relationship Id="rId424" Type="http://schemas.openxmlformats.org/officeDocument/2006/relationships/hyperlink" Target="https://www.tiktok.com/@thupin_0109/video/6989092024280534298?_d=secCgYIASAHKAESMgow1mRSV%2FKLchUeRb9mgpLGoEWxEYWmCgP0fF4FYVfsjF%2BCQfcT1pZvc%2F79IiomQ3GAGgA%3D&amp;checksum=aa264d43c89ebf95971ccfbbf55e43cbe184b21f01e21a62646d5b22a9c1b1d1&amp;language=vi&amp;sec_uid=MS4wLjABAAAA0sv5Bd_ApAXaXs_4j8hLhN_Nz0n8Ua5wKw93wlMRpxgc-_nNYj05H9KmlLM1MI_D&amp;sec_user_id=MS4wLjABAAAABZoGHXrZBRfUXemmSi4q3avURclQFi4x2Whu9VjcIcT76FNFZkqEczdQ-sOpcqo6&amp;share_app_id=1180&amp;share_author_id=6658215747251355650&amp;share_link_id=DC3BA539-40ED-406F-9A5F-FEA62B52AF4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2" Type="http://schemas.openxmlformats.org/officeDocument/2006/relationships/hyperlink" Target="https://www.tiktok.com/@phuonganh260499/video/6993907259147324698?" TargetMode="External"/><Relationship Id="rId423" Type="http://schemas.openxmlformats.org/officeDocument/2006/relationships/hyperlink" Target="https://www.tiktok.com/@trangrung08/video/699505752611488079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9" Type="http://schemas.openxmlformats.org/officeDocument/2006/relationships/hyperlink" Target="https://www.tiktok.com/@colycoc/video/6994294319284849921?" TargetMode="External"/><Relationship Id="rId308" Type="http://schemas.openxmlformats.org/officeDocument/2006/relationships/hyperlink" Target="https://www.tiktok.com/@colycoc/video/6992781247902747905?" TargetMode="External"/><Relationship Id="rId429" Type="http://schemas.openxmlformats.org/officeDocument/2006/relationships/hyperlink" Target="https://www.tiktok.com/@tolathule/video/6988739354269191451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7" Type="http://schemas.openxmlformats.org/officeDocument/2006/relationships/hyperlink" Target="https://www.tiktok.com/@colycoc/video/6992534879728667905?" TargetMode="External"/><Relationship Id="rId428" Type="http://schemas.openxmlformats.org/officeDocument/2006/relationships/hyperlink" Target="https://www.tiktok.com/@truongvihihi/video/6996879556019768602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6" Type="http://schemas.openxmlformats.org/officeDocument/2006/relationships/hyperlink" Target="https://www.tiktok.com/@colycoc/video/6989077386696379649?" TargetMode="External"/><Relationship Id="rId427" Type="http://schemas.openxmlformats.org/officeDocument/2006/relationships/hyperlink" Target="https://www.tiktok.com/@truongvihihi/video/6993162838546205979?_d=secCgYIASAHKAESMgownDUqualBDK25SoM603UHqIMHhFbemijowIjoj2J1zWUtt%2BAATewUwU%2Fztx4a7xJEGgA%3D&amp;checksum=b907ac0e220229e5d2700c509ead909f6130fef697b867358ddd060443c049db&amp;language=vi&amp;sec_uid=MS4wLjABAAAAgc612Y9AUT-BR4tejiEFyg8VsHp2YPl7U7az588zE56EAXJmWkyeRA9k5v9LlDGh&amp;sec_user_id=MS4wLjABAAAABZoGHXrZBRfUXemmSi4q3avURclQFi4x2Whu9VjcIcT76FNFZkqEczdQ-sOpcqo6&amp;share_app_id=1180&amp;share_author_id=6862673275857978369&amp;share_link_id=AFA658AE-9C8E-4491-82EE-1C9DA24DC0C2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1" Type="http://schemas.openxmlformats.org/officeDocument/2006/relationships/hyperlink" Target="https://www.tiktok.com/@phuonganh260499/video/6992796274646846746?" TargetMode="External"/><Relationship Id="rId422" Type="http://schemas.openxmlformats.org/officeDocument/2006/relationships/hyperlink" Target="https://www.tiktok.com/@trangrung08/video/699363792146309455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00" Type="http://schemas.openxmlformats.org/officeDocument/2006/relationships/hyperlink" Target="https://www.tiktok.com/@phuonganh260499/video/6990938927632813338?" TargetMode="External"/><Relationship Id="rId421" Type="http://schemas.openxmlformats.org/officeDocument/2006/relationships/hyperlink" Target="https://www.tiktok.com/@trangrung08/video/6992805326441549082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20" Type="http://schemas.openxmlformats.org/officeDocument/2006/relationships/hyperlink" Target="https://www.tiktok.com/@trangrung08/video/699088397740187983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5" Type="http://schemas.openxmlformats.org/officeDocument/2006/relationships/hyperlink" Target="https://www.tiktok.com/@ducvamy/video/6988842287035927834?lang=vi-VN&amp;is_copy_url=0&amp;is_from_webapp=v1&amp;sender_device=pc&amp;sender_web_id=6983582057944237570" TargetMode="External"/><Relationship Id="rId414" Type="http://schemas.openxmlformats.org/officeDocument/2006/relationships/hyperlink" Target="https://www.tiktok.com/@diemho2001/video/698945546856957877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3" Type="http://schemas.openxmlformats.org/officeDocument/2006/relationships/hyperlink" Target="https://www.tiktok.com/@diemho2001/video/698927066007370473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2" Type="http://schemas.openxmlformats.org/officeDocument/2006/relationships/hyperlink" Target="https://www.tiktok.com/@diemho2001/video/6989231482472631578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9" Type="http://schemas.openxmlformats.org/officeDocument/2006/relationships/hyperlink" Target="https://www.tiktok.com/@trangrung08/video/6989103891283479834?_d=secCgYIASAHKAESMgow4biuRjiy%2BOKi9WTrwKzovT6j%2FID7AMIoiey%2BHhFZ0PJIuhNZDFplQ%2BNarF3O%2B13xGgA%3D&amp;checksum=513d2ded55676f78dc961c21c6a3868dba6a5efc360896cba9704f5b937e5da5&amp;language=vi&amp;sec_uid=MS4wLjABAAAAhP6bo744Yulw7C3FMKLtvV-LbEBA9KIiucv0hymGVIlpWQnyUUU4JzemPQVX0WBt&amp;sec_user_id=MS4wLjABAAAABZoGHXrZBRfUXemmSi4q3avURclQFi4x2Whu9VjcIcT76FNFZkqEczdQ-sOpcqo6&amp;share_app_id=1180&amp;share_author_id=6683454062393099265&amp;share_link_id=3BE351E2-4956-4D24-8F42-0E6C9FBA8936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8" Type="http://schemas.openxmlformats.org/officeDocument/2006/relationships/hyperlink" Target="https://www.tiktok.com/@ducvamy/video/6995087151092321563?lang=vi-VN&amp;is_copy_url=0&amp;is_from_webapp=v1&amp;sender_device=pc&amp;sender_web_id=6983582057944237570" TargetMode="External"/><Relationship Id="rId417" Type="http://schemas.openxmlformats.org/officeDocument/2006/relationships/hyperlink" Target="https://www.tiktok.com/@ducvamy/video/6990257045626703130?lang=vi-VN&amp;is_copy_url=0&amp;is_from_webapp=v1&amp;sender_device=pc&amp;sender_web_id=6983582057944237570" TargetMode="External"/><Relationship Id="rId416" Type="http://schemas.openxmlformats.org/officeDocument/2006/relationships/hyperlink" Target="https://www.tiktok.com/@ducvamy/video/6989506810268880154?lang=vi-VN&amp;is_copy_url=0&amp;is_from_webapp=v1&amp;sender_device=pc&amp;sender_web_id=6983582057944237570" TargetMode="External"/><Relationship Id="rId411" Type="http://schemas.openxmlformats.org/officeDocument/2006/relationships/hyperlink" Target="https://www.tiktok.com/@diemho2001/video/6989193881053089051?_d=secCgYIASAHKAESMgowKnSJuApL9svPlLuuferBCkpG7BZx65MjlIlMXUDDXJW9XBR59TrfyJXqaD0mUcvZGgA%3D&amp;checksum=18fce0306aa26d60c1c8b763a7b1e67fa2ac10743e53d425acc3e7c094518d66&amp;language=vi&amp;sec_uid=MS4wLjABAAAAeUyqxr1lLghoR-BN_0fHPOJw_sBypPJQgRk-u3fD-jNvyGN7SgpJV_fqPKMSG6Nl&amp;sec_user_id=MS4wLjABAAAABZoGHXrZBRfUXemmSi4q3avURclQFi4x2Whu9VjcIcT76FNFZkqEczdQ-sOpcqo6&amp;share_app_id=1180&amp;share_author_id=6943273166978712578&amp;share_link_id=FAD63B3C-9EDA-4EBF-8C77-938CD3EF2F35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10" Type="http://schemas.openxmlformats.org/officeDocument/2006/relationships/hyperlink" Target="https://www.tiktok.com/@kimoanh1428/video/6992918738517495067?_d=secCgYIASAHKAESMgowB63c9T7KFMzLMgw9Wi%2B9awqPYvJ%2BKnfAYcKx%2Bx%2BtM%2FGxddMsh0%2BoiV1DOvJ77OoOGgA%3D&amp;checksum=b5341c59f1dca2475b38120eee3432652f6173a362c4e98341e2368b611b667a&amp;language=vi&amp;sec_uid=MS4wLjABAAAA_C0BMtsD1xW90qetTVXAwuVuas6LLXEAm9Kzvl30_9D_W7w6LUdoIquZrEjTUiDr&amp;sec_user_id=MS4wLjABAAAAhpMAVfXODeBPA3ldQ9d8sfKrkSiWXkHOkpu4Jm7DIO8yRhbG_6-Kmdyhvg-_qqF9&amp;share_app_id=1180&amp;share_author_id=6559528703231524865&amp;share_link_id=7D99BC85-382D-4C90-B614-E084FA27144D&amp;tt_from=copy&amp;u_code=dj9596cdhfijac&amp;user_id=6977649712895837185&amp;utm_campaign=client_share&amp;utm_medium=ios&amp;utm_source=copy&amp;source=h5_t&amp;_r=1&amp;is_copy_url=0&amp;is_from_webapp=v1&amp;sender_device=pc&amp;sender_web_id=6983582057944237570" TargetMode="External"/><Relationship Id="rId206" Type="http://schemas.openxmlformats.org/officeDocument/2006/relationships/hyperlink" Target="https://www.tiktok.com/@hoang_giatuofficial/video/6988835648597658906?is_copy_url=0&amp;is_from_webapp=v1&amp;sender_device=pc&amp;sender_web_id=6908929983101486593" TargetMode="External"/><Relationship Id="rId327" Type="http://schemas.openxmlformats.org/officeDocument/2006/relationships/hyperlink" Target="https://www.tiktok.com/@nmtvlog99/video/6993641859729935642?" TargetMode="External"/><Relationship Id="rId448" Type="http://schemas.openxmlformats.org/officeDocument/2006/relationships/hyperlink" Target="https://www.facebook.com/emkolathienthan/videos/4527306413948969" TargetMode="External"/><Relationship Id="rId205" Type="http://schemas.openxmlformats.org/officeDocument/2006/relationships/hyperlink" Target="https://www.tiktok.com/@hat590/video/6990332390979702042?is_copy_url=0&amp;is_from_webapp=v1&amp;sender_device=pc&amp;sender_web_id=6908929983101486593" TargetMode="External"/><Relationship Id="rId326" Type="http://schemas.openxmlformats.org/officeDocument/2006/relationships/hyperlink" Target="https://www.tiktok.com/@nmtvlog99/video/6991811233976569115?" TargetMode="External"/><Relationship Id="rId447" Type="http://schemas.openxmlformats.org/officeDocument/2006/relationships/hyperlink" Target="https://www.youtube.com/watch?v=mbkZ0sMv30M" TargetMode="External"/><Relationship Id="rId204" Type="http://schemas.openxmlformats.org/officeDocument/2006/relationships/hyperlink" Target="https://www.tiktok.com/@hat590/video/6989576551998262555?is_copy_url=0&amp;is_from_webapp=v1&amp;sender_device=pc&amp;sender_web_id=6908929983101486593" TargetMode="External"/><Relationship Id="rId325" Type="http://schemas.openxmlformats.org/officeDocument/2006/relationships/hyperlink" Target="https://www.tiktok.com/@nmtvlog99/video/6991052269428935963?" TargetMode="External"/><Relationship Id="rId446" Type="http://schemas.openxmlformats.org/officeDocument/2006/relationships/hyperlink" Target="https://www.facebook.com/lebaodeptrai/videos/1318471708548999" TargetMode="External"/><Relationship Id="rId203" Type="http://schemas.openxmlformats.org/officeDocument/2006/relationships/hyperlink" Target="https://www.facebook.com/ky.ky.5209/videos/408310450908568" TargetMode="External"/><Relationship Id="rId324" Type="http://schemas.openxmlformats.org/officeDocument/2006/relationships/hyperlink" Target="https://www.tiktok.com/@nmtvlog99/video/6990678789277715738?" TargetMode="External"/><Relationship Id="rId445" Type="http://schemas.openxmlformats.org/officeDocument/2006/relationships/hyperlink" Target="https://www.tiktok.com/@lebaoofficial/video/6993653361807527194?lang=vi-VN&amp;is_copy_url=0&amp;is_from_webapp=v1&amp;sender_device=pc&amp;sender_web_id=6983582057944237570" TargetMode="External"/><Relationship Id="rId209" Type="http://schemas.openxmlformats.org/officeDocument/2006/relationships/hyperlink" Target="https://www.tiktok.com/@phamquynhhoa2004/video/6989592326041554203?is_copy_url=0&amp;is_from_webapp=v1&amp;sender_device=pc&amp;sender_web_id=6908929983101486593" TargetMode="External"/><Relationship Id="rId208" Type="http://schemas.openxmlformats.org/officeDocument/2006/relationships/hyperlink" Target="https://www.facebook.com/100004590362501/posts/1979306372232356/?d=n" TargetMode="External"/><Relationship Id="rId329" Type="http://schemas.openxmlformats.org/officeDocument/2006/relationships/hyperlink" Target="https://www.tiktok.com/@nmtvlog99/video/6995136571754188058?" TargetMode="External"/><Relationship Id="rId207" Type="http://schemas.openxmlformats.org/officeDocument/2006/relationships/hyperlink" Target="https://www.tiktok.com/@hoang_giatuofficial/video/6990675800861199643?is_copy_url=0&amp;is_from_webapp=v1&amp;sender_device=pc&amp;sender_web_id=6908929983101486593" TargetMode="External"/><Relationship Id="rId328" Type="http://schemas.openxmlformats.org/officeDocument/2006/relationships/hyperlink" Target="https://www.tiktok.com/@nmtvlog99/video/6994027452980808986?" TargetMode="External"/><Relationship Id="rId449" Type="http://schemas.openxmlformats.org/officeDocument/2006/relationships/hyperlink" Target="https://www.instagram.com/p/CSLMLZmp1cM/?utm_source=ig_web_copy_link" TargetMode="External"/><Relationship Id="rId440" Type="http://schemas.openxmlformats.org/officeDocument/2006/relationships/hyperlink" Target="https://www.tiktok.com/@dinhtrangthao03/video/6993652665104239899?lang=vi-VN&amp;is_copy_url=0&amp;is_from_webapp=v1&amp;sender_device=pc&amp;sender_web_id=6983582057944237570" TargetMode="External"/><Relationship Id="rId202" Type="http://schemas.openxmlformats.org/officeDocument/2006/relationships/hyperlink" Target="https://www.facebook.com/loanvu1312/videos/1131153590627327" TargetMode="External"/><Relationship Id="rId323" Type="http://schemas.openxmlformats.org/officeDocument/2006/relationships/hyperlink" Target="https://www.tiktok.com/@chuyengiasongao/video/6996869146541591834?" TargetMode="External"/><Relationship Id="rId444" Type="http://schemas.openxmlformats.org/officeDocument/2006/relationships/hyperlink" Target="https://www.tiktok.com/@lebaoofficial/video/6993652670733061403?lang=vi-VN&amp;is_copy_url=0&amp;is_from_webapp=v1&amp;sender_device=pc&amp;sender_web_id=6983582057944237570" TargetMode="External"/><Relationship Id="rId201" Type="http://schemas.openxmlformats.org/officeDocument/2006/relationships/hyperlink" Target="https://www.tiktok.com/@tuyen270394/video/6990658832435383578?_=&amp;is_copy_url=0&amp;is_from_webapp=v1&amp;sender_device=pc&amp;sender_web_id=6908929983101486593" TargetMode="External"/><Relationship Id="rId322" Type="http://schemas.openxmlformats.org/officeDocument/2006/relationships/hyperlink" Target="https://www.tiktok.com/@chuyengiasongao/video/6996125799757679898?" TargetMode="External"/><Relationship Id="rId443" Type="http://schemas.openxmlformats.org/officeDocument/2006/relationships/hyperlink" Target="https://www.tiktok.com/@tranvan0407/video/6995506350570671386?lang=vi-VN&amp;is_copy_url=0&amp;is_from_webapp=v1&amp;sender_device=pc&amp;sender_web_id=6983582057944237570" TargetMode="External"/><Relationship Id="rId200" Type="http://schemas.openxmlformats.org/officeDocument/2006/relationships/hyperlink" Target="https://www.facebook.com/100003131800673/posts/4188330314614654/?d=n" TargetMode="External"/><Relationship Id="rId321" Type="http://schemas.openxmlformats.org/officeDocument/2006/relationships/hyperlink" Target="https://www.tiktok.com/@vsorl0602/video/6995845369380801818?" TargetMode="External"/><Relationship Id="rId442" Type="http://schemas.openxmlformats.org/officeDocument/2006/relationships/hyperlink" Target="https://www.tiktok.com/@dinhtrangthao03/video/6995875035734936858?lang=vi-VN&amp;is_copy_url=0&amp;is_from_webapp=v1&amp;sender_device=pc&amp;sender_web_id=6983582057944237570" TargetMode="External"/><Relationship Id="rId320" Type="http://schemas.openxmlformats.org/officeDocument/2006/relationships/hyperlink" Target="https://www.tiktok.com/@vsorl0602/video/6996227645579005211?" TargetMode="External"/><Relationship Id="rId441" Type="http://schemas.openxmlformats.org/officeDocument/2006/relationships/hyperlink" Target="https://www.tiktok.com/@dinhtrangthao03/video/6994393946998787354?lang=vi-VN&amp;is_copy_url=0&amp;is_from_webapp=v1&amp;sender_device=pc&amp;sender_web_id=6983582057944237570" TargetMode="External"/><Relationship Id="rId316" Type="http://schemas.openxmlformats.org/officeDocument/2006/relationships/hyperlink" Target="https://www.tiktok.com/@tinhnguyen241298/video/6991059476782648602?" TargetMode="External"/><Relationship Id="rId437" Type="http://schemas.openxmlformats.org/officeDocument/2006/relationships/hyperlink" Target="https://www.tiktok.com/@dinhtrangthao03/video/6991786929654074650?lang=vi-VN&amp;is_copy_url=0&amp;is_from_webapp=v1&amp;sender_device=pc&amp;sender_web_id=6983582057944237570" TargetMode="External"/><Relationship Id="rId315" Type="http://schemas.openxmlformats.org/officeDocument/2006/relationships/hyperlink" Target="https://www.tiktok.com/@tinhnguyen241298/video/6989944203329490202?" TargetMode="External"/><Relationship Id="rId436" Type="http://schemas.openxmlformats.org/officeDocument/2006/relationships/hyperlink" Target="https://www.tiktok.com/@mymyle231/video/6994782586488884507?_d=secCgYIASAHKAESMgowTaSPXVETCF5LBZ2O1P4%2B%2Bpuo%2FsLIImw4rfuTk7DhD1mRselvhM6Npjaeqic1%2BbBFGgA%3D&amp;checksum=163751001ab23af1c2c78e9851d71e6875de52c80b438b524155997dd9acca73&amp;language=vi&amp;sec_uid=MS4wLjABAAAAz-DRqWdEA0u8ksBqZGQ0p9f81Zylnj5QUvUY0hktvKQ7dfoIqLRsOilg2gcz22Nj&amp;sec_user_id=MS4wLjABAAAABZoGHXrZBRfUXemmSi4q3avURclQFi4x2Whu9VjcIcT76FNFZkqEczdQ-sOpcqo6&amp;share_app_id=1180&amp;share_author_id=6792047944855176193&amp;share_link_id=2BF209A4-1DED-4FE8-9E56-90ACCC6E051C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14" Type="http://schemas.openxmlformats.org/officeDocument/2006/relationships/hyperlink" Target="https://www.tiktok.com/@kiethatinh.2000/video/6997350832609955098?" TargetMode="External"/><Relationship Id="rId435" Type="http://schemas.openxmlformats.org/officeDocument/2006/relationships/hyperlink" Target="https://www.tiktok.com/@neyunn98/video/6989940398487506202?lang=vi-VN&amp;is_copy_url=0&amp;is_from_webapp=v1&amp;sender_device=pc&amp;sender_web_id=6983582057944237570" TargetMode="External"/><Relationship Id="rId313" Type="http://schemas.openxmlformats.org/officeDocument/2006/relationships/hyperlink" Target="https://www.tiktok.com/@kiethatinh.2000/video/6993647070087318810?" TargetMode="External"/><Relationship Id="rId434" Type="http://schemas.openxmlformats.org/officeDocument/2006/relationships/hyperlink" Target="https://www.tiktok.com/@_hvqt_/video/6994790557000142106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19" Type="http://schemas.openxmlformats.org/officeDocument/2006/relationships/hyperlink" Target="https://www.tiktok.com/@tinhnguyen241298/video/6994386336115461378?" TargetMode="External"/><Relationship Id="rId318" Type="http://schemas.openxmlformats.org/officeDocument/2006/relationships/hyperlink" Target="https://www.tiktok.com/@tinhnguyen241298/video/6993645076631129346?" TargetMode="External"/><Relationship Id="rId439" Type="http://schemas.openxmlformats.org/officeDocument/2006/relationships/hyperlink" Target="https://www.tiktok.com/@dinhtrangthao03/video/6992901545285192986?lang=vi-VN&amp;is_copy_url=0&amp;is_from_webapp=v1&amp;sender_device=pc&amp;sender_web_id=6983582057944237570" TargetMode="External"/><Relationship Id="rId317" Type="http://schemas.openxmlformats.org/officeDocument/2006/relationships/hyperlink" Target="https://www.tiktok.com/@tinhnguyen241298/video/6992424102241799425" TargetMode="External"/><Relationship Id="rId438" Type="http://schemas.openxmlformats.org/officeDocument/2006/relationships/hyperlink" Target="https://www.tiktok.com/@dinhtrangthao03/video/6992164180686114075?lang=vi-VN&amp;is_copy_url=0&amp;is_from_webapp=v1&amp;sender_device=pc&amp;sender_web_id=6983582057944237570" TargetMode="External"/><Relationship Id="rId312" Type="http://schemas.openxmlformats.org/officeDocument/2006/relationships/hyperlink" Target="https://www.tiktok.com/@kiethatinh.2000/video/6992533439295589658?" TargetMode="External"/><Relationship Id="rId433" Type="http://schemas.openxmlformats.org/officeDocument/2006/relationships/hyperlink" Target="https://www.tiktok.com/@_hvqt_/video/6990246796161305883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11" Type="http://schemas.openxmlformats.org/officeDocument/2006/relationships/hyperlink" Target="https://www.tiktok.com/@kiethatinh.2000/video/6990946182860180762?" TargetMode="External"/><Relationship Id="rId432" Type="http://schemas.openxmlformats.org/officeDocument/2006/relationships/hyperlink" Target="https://www.tiktok.com/@_hvqt_/video/6990170909084486939?_d=secCgYIASAHKAESMgow7NaRc4U4ZEEnIK3MZv7eoNipgJb0mYy86Bg%2BK%2FnVf0Djt3o8h9rxan8aUFiX7%2BI9GgA%3D&amp;checksum=bb52dbb2baddda7f5ff23fac26fb703bf3d57a5c81012264a756b27749e90e47&amp;language=vi&amp;sec_uid=MS4wLjABAAAAfIHqu03KeE0RabiJSb0D15AxESdVt2blm3l45UnI6DKHdQfPCr26WmscLaLmd6Am&amp;sec_user_id=MS4wLjABAAAABZoGHXrZBRfUXemmSi4q3avURclQFi4x2Whu9VjcIcT76FNFZkqEczdQ-sOpcqo6&amp;share_app_id=1180&amp;share_author_id=6785221352245789697&amp;share_link_id=2836671F-16FB-4829-BAF8-35AD49A0F2BE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310" Type="http://schemas.openxmlformats.org/officeDocument/2006/relationships/hyperlink" Target="https://www.tiktok.com/@colycoc/video/6995769496266886401?" TargetMode="External"/><Relationship Id="rId431" Type="http://schemas.openxmlformats.org/officeDocument/2006/relationships/hyperlink" Target="https://www.tiktok.com/@tolathule/video/6994777706277702938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Relationship Id="rId430" Type="http://schemas.openxmlformats.org/officeDocument/2006/relationships/hyperlink" Target="https://www.tiktok.com/@tolathule/video/6988851041768869147?_d=secCgYIASAHKAESMgowUGX0h9U32iam%2Fc0L1isyCwR76kheNtDxbOLkRyaMqzqiZFLbjAceyEq8rLCtIf70GgA%3D&amp;checksum=bbb7abb0fcc9d265985d3dfcc58fc80dbb9c1b7da0ec914b8cbd19d37c6dcf8e&amp;language=vi&amp;sec_uid=MS4wLjABAAAA6HfnsrmOsZA71wUAxGRPyD7GqmACFJpBvYouXRFdstM&amp;sec_user_id=MS4wLjABAAAABZoGHXrZBRfUXemmSi4q3avURclQFi4x2Whu9VjcIcT76FNFZkqEczdQ-sOpcqo6&amp;share_app_id=1180&amp;share_author_id=63824341257&amp;share_link_id=C5CC2838-8F2F-41A5-A238-DF7D13198C9B&amp;tt_from=copy&amp;u_code=d16a1cdem4bjl5&amp;user_id=6580521240628297730&amp;utm_campaign=client_share&amp;utm_medium=ios&amp;utm_source=copy&amp;source=h5_t&amp;_r=1&amp;is_copy_url=0&amp;is_from_webapp=v1&amp;sender_device=pc&amp;sender_web_id=6983582057944237570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7.57"/>
    <col customWidth="1" min="2" max="2" width="28.57"/>
    <col customWidth="1" min="3" max="3" width="17.29"/>
    <col customWidth="1" min="4" max="4" width="28.57"/>
    <col customWidth="1" min="5" max="5" width="13.71"/>
    <col customWidth="1" min="6" max="7" width="12.57"/>
    <col customWidth="1" min="8" max="8" width="27.14"/>
    <col customWidth="1" min="9" max="9" width="13.29"/>
    <col customWidth="1" min="10" max="10" width="18.0"/>
    <col customWidth="1" min="12" max="12" width="19.0"/>
    <col customWidth="1" min="14" max="14" width="22.71"/>
  </cols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 t="s">
        <v>14</v>
      </c>
      <c r="B2" s="8"/>
      <c r="C2" s="8"/>
      <c r="D2" s="8"/>
      <c r="E2" s="8"/>
      <c r="F2" s="9"/>
      <c r="G2" s="9"/>
      <c r="H2" s="8"/>
      <c r="I2" s="10">
        <f>SUM(I3:I128)</f>
        <v>243000000</v>
      </c>
      <c r="J2" s="10">
        <f>SUM(J3:J995)</f>
        <v>66700000</v>
      </c>
      <c r="K2" s="10">
        <f>SUM(K3:K128)</f>
        <v>316200000</v>
      </c>
      <c r="L2" s="8"/>
      <c r="M2" s="8"/>
      <c r="N2" s="11"/>
      <c r="O2" s="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2">
        <v>1.0</v>
      </c>
      <c r="B3" s="12" t="s">
        <v>15</v>
      </c>
      <c r="C3" s="12" t="str">
        <f>B3&amp;".0001"</f>
        <v>INFTHUY282.0001</v>
      </c>
      <c r="D3" s="12" t="s">
        <v>16</v>
      </c>
      <c r="E3" s="12" t="s">
        <v>17</v>
      </c>
      <c r="F3" s="13">
        <v>1.0</v>
      </c>
      <c r="G3" s="14"/>
      <c r="H3" s="12" t="s">
        <v>18</v>
      </c>
      <c r="I3" s="15">
        <v>500000.0</v>
      </c>
      <c r="J3" s="12">
        <v>500000.0</v>
      </c>
      <c r="K3" s="15">
        <f t="shared" ref="K3:K42" si="1">SUM(I3:J3)</f>
        <v>1000000</v>
      </c>
      <c r="L3" s="12">
        <v>3.41007065389E11</v>
      </c>
      <c r="M3" s="12" t="s">
        <v>19</v>
      </c>
      <c r="N3" s="16" t="s">
        <v>20</v>
      </c>
      <c r="O3" s="12" t="s">
        <v>21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2">
        <v>2.0</v>
      </c>
      <c r="B4" s="12"/>
      <c r="C4" s="12"/>
      <c r="D4" s="12" t="s">
        <v>22</v>
      </c>
      <c r="E4" s="12" t="s">
        <v>23</v>
      </c>
      <c r="F4" s="13">
        <v>1.0</v>
      </c>
      <c r="G4" s="14" t="s">
        <v>24</v>
      </c>
      <c r="H4" s="12" t="s">
        <v>25</v>
      </c>
      <c r="I4" s="15">
        <v>0.0</v>
      </c>
      <c r="J4" s="12">
        <v>600000.0</v>
      </c>
      <c r="K4" s="15">
        <f t="shared" si="1"/>
        <v>600000</v>
      </c>
      <c r="L4" s="12">
        <v>1.9130408068012E13</v>
      </c>
      <c r="M4" s="12" t="s">
        <v>26</v>
      </c>
      <c r="N4" s="17"/>
      <c r="O4" s="18" t="s">
        <v>21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2">
        <v>3.0</v>
      </c>
      <c r="B5" s="12"/>
      <c r="C5" s="12"/>
      <c r="D5" s="12" t="s">
        <v>27</v>
      </c>
      <c r="E5" s="12" t="s">
        <v>28</v>
      </c>
      <c r="F5" s="13" t="s">
        <v>29</v>
      </c>
      <c r="G5" s="14"/>
      <c r="H5" s="12" t="s">
        <v>30</v>
      </c>
      <c r="I5" s="15">
        <v>1000000.0</v>
      </c>
      <c r="J5" s="12">
        <v>1000000.0</v>
      </c>
      <c r="K5" s="15">
        <f t="shared" si="1"/>
        <v>2000000</v>
      </c>
      <c r="L5" s="19" t="s">
        <v>31</v>
      </c>
      <c r="M5" s="12" t="s">
        <v>19</v>
      </c>
      <c r="N5" s="12" t="s">
        <v>32</v>
      </c>
      <c r="O5" s="18" t="s">
        <v>21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2">
        <v>4.0</v>
      </c>
      <c r="B6" s="20"/>
      <c r="C6" s="20"/>
      <c r="D6" s="20" t="s">
        <v>33</v>
      </c>
      <c r="E6" s="12" t="s">
        <v>34</v>
      </c>
      <c r="F6" s="14"/>
      <c r="G6" s="13">
        <v>1.0</v>
      </c>
      <c r="H6" s="12">
        <v>0.0</v>
      </c>
      <c r="I6" s="15">
        <v>0.0</v>
      </c>
      <c r="J6" s="12">
        <v>500000.0</v>
      </c>
      <c r="K6" s="15">
        <f t="shared" si="1"/>
        <v>500000</v>
      </c>
      <c r="L6" s="12">
        <v>1.8810000020927E13</v>
      </c>
      <c r="M6" s="12" t="s">
        <v>35</v>
      </c>
      <c r="N6" s="12" t="s">
        <v>36</v>
      </c>
      <c r="O6" s="18" t="s">
        <v>21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2">
        <v>5.0</v>
      </c>
      <c r="B7" s="12"/>
      <c r="C7" s="12"/>
      <c r="D7" s="12" t="s">
        <v>37</v>
      </c>
      <c r="E7" s="12" t="s">
        <v>38</v>
      </c>
      <c r="F7" s="13">
        <v>1.0</v>
      </c>
      <c r="G7" s="17"/>
      <c r="H7" s="12">
        <v>54.0</v>
      </c>
      <c r="I7" s="15">
        <v>1000000.0</v>
      </c>
      <c r="J7" s="12">
        <v>1000000.0</v>
      </c>
      <c r="K7" s="15">
        <f t="shared" si="1"/>
        <v>2000000</v>
      </c>
      <c r="L7" s="12">
        <v>1.051000276204E12</v>
      </c>
      <c r="M7" s="12" t="s">
        <v>39</v>
      </c>
      <c r="N7" s="12" t="s">
        <v>40</v>
      </c>
      <c r="O7" s="18" t="s">
        <v>21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2">
        <v>6.0</v>
      </c>
      <c r="B8" s="12"/>
      <c r="C8" s="12"/>
      <c r="D8" s="12" t="s">
        <v>41</v>
      </c>
      <c r="E8" s="12" t="s">
        <v>42</v>
      </c>
      <c r="F8" s="13">
        <v>1.0</v>
      </c>
      <c r="G8" s="17"/>
      <c r="H8" s="12" t="s">
        <v>43</v>
      </c>
      <c r="I8" s="15">
        <v>0.0</v>
      </c>
      <c r="J8" s="12">
        <v>1500000.0</v>
      </c>
      <c r="K8" s="15">
        <f t="shared" si="1"/>
        <v>1500000</v>
      </c>
      <c r="L8" s="12">
        <v>1.97199999999E11</v>
      </c>
      <c r="M8" s="12" t="s">
        <v>44</v>
      </c>
      <c r="N8" s="17"/>
      <c r="O8" s="18" t="s">
        <v>21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2">
        <v>7.0</v>
      </c>
      <c r="B9" s="20"/>
      <c r="C9" s="20"/>
      <c r="D9" s="20" t="s">
        <v>45</v>
      </c>
      <c r="E9" s="16" t="s">
        <v>46</v>
      </c>
      <c r="F9" s="13" t="s">
        <v>47</v>
      </c>
      <c r="G9" s="17"/>
      <c r="H9" s="12" t="s">
        <v>43</v>
      </c>
      <c r="I9" s="15">
        <v>0.0</v>
      </c>
      <c r="J9" s="12">
        <v>1000000.0</v>
      </c>
      <c r="K9" s="15">
        <f t="shared" si="1"/>
        <v>1000000</v>
      </c>
      <c r="L9" s="12">
        <v>1.9033376421011E13</v>
      </c>
      <c r="M9" s="12" t="s">
        <v>48</v>
      </c>
      <c r="N9" s="17"/>
      <c r="O9" s="18" t="s">
        <v>21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2">
        <v>8.0</v>
      </c>
      <c r="B10" s="12"/>
      <c r="C10" s="12"/>
      <c r="D10" s="12" t="s">
        <v>49</v>
      </c>
      <c r="E10" s="12" t="s">
        <v>50</v>
      </c>
      <c r="F10" s="13">
        <v>1.0</v>
      </c>
      <c r="G10" s="17"/>
      <c r="H10" s="12" t="s">
        <v>51</v>
      </c>
      <c r="I10" s="15">
        <v>7500000.0</v>
      </c>
      <c r="J10" s="12">
        <v>1000000.0</v>
      </c>
      <c r="K10" s="15">
        <f t="shared" si="1"/>
        <v>8500000</v>
      </c>
      <c r="L10" s="19" t="s">
        <v>52</v>
      </c>
      <c r="M10" s="12" t="s">
        <v>53</v>
      </c>
      <c r="N10" s="12" t="s">
        <v>54</v>
      </c>
      <c r="O10" s="18" t="s">
        <v>21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2">
        <v>9.0</v>
      </c>
      <c r="B11" s="21"/>
      <c r="C11" s="21"/>
      <c r="D11" s="22" t="s">
        <v>55</v>
      </c>
      <c r="E11" s="12" t="s">
        <v>56</v>
      </c>
      <c r="F11" s="13">
        <v>1.0</v>
      </c>
      <c r="G11" s="17"/>
      <c r="H11" s="12" t="s">
        <v>43</v>
      </c>
      <c r="I11" s="23"/>
      <c r="J11" s="12">
        <v>1000000.0</v>
      </c>
      <c r="K11" s="15">
        <f t="shared" si="1"/>
        <v>1000000</v>
      </c>
      <c r="L11" s="24">
        <v>1.27530367E8</v>
      </c>
      <c r="M11" s="24" t="s">
        <v>44</v>
      </c>
      <c r="N11" s="25" t="s">
        <v>57</v>
      </c>
      <c r="O11" s="18" t="s">
        <v>21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2">
        <v>10.0</v>
      </c>
      <c r="B12" s="26"/>
      <c r="C12" s="26"/>
      <c r="D12" s="27" t="s">
        <v>58</v>
      </c>
      <c r="E12" s="12" t="s">
        <v>59</v>
      </c>
      <c r="F12" s="13" t="s">
        <v>60</v>
      </c>
      <c r="G12" s="17"/>
      <c r="H12" s="12" t="s">
        <v>61</v>
      </c>
      <c r="I12" s="15">
        <v>1.25E7</v>
      </c>
      <c r="J12" s="12">
        <v>1000000.0</v>
      </c>
      <c r="K12" s="15">
        <f t="shared" si="1"/>
        <v>13500000</v>
      </c>
      <c r="L12" s="28"/>
      <c r="M12" s="28"/>
      <c r="N12" s="29"/>
      <c r="O12" s="18" t="s">
        <v>21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2">
        <v>11.0</v>
      </c>
      <c r="B13" s="12"/>
      <c r="C13" s="12"/>
      <c r="D13" s="30" t="s">
        <v>62</v>
      </c>
      <c r="E13" s="12" t="s">
        <v>63</v>
      </c>
      <c r="F13" s="13">
        <v>1.0</v>
      </c>
      <c r="G13" s="17"/>
      <c r="H13" s="12" t="s">
        <v>64</v>
      </c>
      <c r="I13" s="15">
        <v>1.85E7</v>
      </c>
      <c r="J13" s="12">
        <v>1000000.0</v>
      </c>
      <c r="K13" s="15">
        <f t="shared" si="1"/>
        <v>19500000</v>
      </c>
      <c r="L13" s="28"/>
      <c r="M13" s="28"/>
      <c r="N13" s="29"/>
      <c r="O13" s="18" t="s">
        <v>21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2">
        <v>12.0</v>
      </c>
      <c r="B14" s="12"/>
      <c r="C14" s="12"/>
      <c r="D14" s="30" t="s">
        <v>65</v>
      </c>
      <c r="E14" s="12" t="s">
        <v>66</v>
      </c>
      <c r="F14" s="13">
        <v>1.0</v>
      </c>
      <c r="G14" s="17"/>
      <c r="H14" s="12" t="s">
        <v>43</v>
      </c>
      <c r="I14" s="15">
        <v>0.0</v>
      </c>
      <c r="J14" s="12">
        <v>1000000.0</v>
      </c>
      <c r="K14" s="15">
        <f t="shared" si="1"/>
        <v>1000000</v>
      </c>
      <c r="L14" s="28"/>
      <c r="M14" s="28"/>
      <c r="N14" s="29"/>
      <c r="O14" s="18" t="s">
        <v>21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2">
        <v>13.0</v>
      </c>
      <c r="B15" s="12"/>
      <c r="C15" s="12"/>
      <c r="D15" s="30" t="s">
        <v>67</v>
      </c>
      <c r="E15" s="12" t="s">
        <v>68</v>
      </c>
      <c r="F15" s="31" t="s">
        <v>69</v>
      </c>
      <c r="G15" s="17"/>
      <c r="H15" s="12" t="s">
        <v>70</v>
      </c>
      <c r="I15" s="15">
        <v>4500000.0</v>
      </c>
      <c r="J15" s="12">
        <v>1000000.0</v>
      </c>
      <c r="K15" s="15">
        <f t="shared" si="1"/>
        <v>5500000</v>
      </c>
      <c r="L15" s="28"/>
      <c r="M15" s="28"/>
      <c r="N15" s="29"/>
      <c r="O15" s="18" t="s">
        <v>21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2">
        <v>14.0</v>
      </c>
      <c r="B16" s="12"/>
      <c r="C16" s="12"/>
      <c r="D16" s="30" t="s">
        <v>71</v>
      </c>
      <c r="E16" s="12" t="s">
        <v>72</v>
      </c>
      <c r="F16" s="13">
        <v>1.0</v>
      </c>
      <c r="G16" s="17"/>
      <c r="H16" s="12" t="s">
        <v>43</v>
      </c>
      <c r="I16" s="23"/>
      <c r="J16" s="12">
        <v>1000000.0</v>
      </c>
      <c r="K16" s="15">
        <f t="shared" si="1"/>
        <v>1000000</v>
      </c>
      <c r="L16" s="32"/>
      <c r="M16" s="32"/>
      <c r="N16" s="33"/>
      <c r="O16" s="18" t="s">
        <v>21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12">
        <v>15.0</v>
      </c>
      <c r="B17" s="12"/>
      <c r="C17" s="12"/>
      <c r="D17" s="34" t="s">
        <v>73</v>
      </c>
      <c r="E17" s="12" t="s">
        <v>74</v>
      </c>
      <c r="F17" s="17"/>
      <c r="G17" s="13">
        <v>1.0</v>
      </c>
      <c r="H17" s="12">
        <v>0.0</v>
      </c>
      <c r="I17" s="15">
        <v>0.0</v>
      </c>
      <c r="J17" s="12">
        <v>1000000.0</v>
      </c>
      <c r="K17" s="15">
        <f t="shared" si="1"/>
        <v>1000000</v>
      </c>
      <c r="L17" s="12">
        <v>1.9033560450016E13</v>
      </c>
      <c r="M17" s="12" t="s">
        <v>75</v>
      </c>
      <c r="N17" s="35" t="s">
        <v>76</v>
      </c>
      <c r="O17" s="18" t="s">
        <v>21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12">
        <v>16.0</v>
      </c>
      <c r="B18" s="12"/>
      <c r="C18" s="12"/>
      <c r="D18" s="34" t="s">
        <v>77</v>
      </c>
      <c r="E18" s="12" t="s">
        <v>78</v>
      </c>
      <c r="F18" s="13">
        <v>1.0</v>
      </c>
      <c r="G18" s="17"/>
      <c r="H18" s="12" t="s">
        <v>43</v>
      </c>
      <c r="I18" s="15">
        <v>0.0</v>
      </c>
      <c r="J18" s="12">
        <v>1000000.0</v>
      </c>
      <c r="K18" s="15">
        <f t="shared" si="1"/>
        <v>1000000</v>
      </c>
      <c r="L18" s="12">
        <v>6939917.0</v>
      </c>
      <c r="M18" s="12" t="s">
        <v>79</v>
      </c>
      <c r="N18" s="12" t="s">
        <v>80</v>
      </c>
      <c r="O18" s="18" t="s">
        <v>21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12">
        <v>17.0</v>
      </c>
      <c r="B19" s="12"/>
      <c r="C19" s="12"/>
      <c r="D19" s="34" t="s">
        <v>81</v>
      </c>
      <c r="E19" s="12" t="s">
        <v>82</v>
      </c>
      <c r="F19" s="13">
        <v>1.0</v>
      </c>
      <c r="G19" s="17"/>
      <c r="H19" s="12" t="s">
        <v>43</v>
      </c>
      <c r="I19" s="15">
        <v>0.0</v>
      </c>
      <c r="J19" s="12">
        <v>1000000.0</v>
      </c>
      <c r="K19" s="15">
        <f t="shared" si="1"/>
        <v>1000000</v>
      </c>
      <c r="L19" s="12">
        <v>1.9028801288998E13</v>
      </c>
      <c r="M19" s="12" t="s">
        <v>48</v>
      </c>
      <c r="N19" s="12" t="s">
        <v>83</v>
      </c>
      <c r="O19" s="18" t="s">
        <v>21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12">
        <v>18.0</v>
      </c>
      <c r="B20" s="12"/>
      <c r="C20" s="12"/>
      <c r="D20" s="34" t="s">
        <v>84</v>
      </c>
      <c r="E20" s="12" t="s">
        <v>85</v>
      </c>
      <c r="F20" s="13">
        <v>1.0</v>
      </c>
      <c r="G20" s="17"/>
      <c r="H20" s="12" t="s">
        <v>43</v>
      </c>
      <c r="I20" s="15">
        <v>0.0</v>
      </c>
      <c r="J20" s="12">
        <v>1000000.0</v>
      </c>
      <c r="K20" s="15">
        <f t="shared" si="1"/>
        <v>1000000</v>
      </c>
      <c r="L20" s="12">
        <v>1.9034695106011E13</v>
      </c>
      <c r="M20" s="12" t="s">
        <v>26</v>
      </c>
      <c r="N20" s="12" t="s">
        <v>86</v>
      </c>
      <c r="O20" s="18" t="s">
        <v>21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2">
        <v>19.0</v>
      </c>
      <c r="B21" s="36"/>
      <c r="C21" s="36"/>
      <c r="D21" s="36" t="s">
        <v>87</v>
      </c>
      <c r="E21" s="12" t="s">
        <v>88</v>
      </c>
      <c r="F21" s="13">
        <v>1.0</v>
      </c>
      <c r="G21" s="14"/>
      <c r="H21" s="12" t="s">
        <v>89</v>
      </c>
      <c r="I21" s="15">
        <v>0.0</v>
      </c>
      <c r="J21" s="12">
        <v>1000000.0</v>
      </c>
      <c r="K21" s="15">
        <f t="shared" si="1"/>
        <v>1000000</v>
      </c>
      <c r="L21" s="12">
        <v>2.1210000627175E13</v>
      </c>
      <c r="M21" s="12" t="s">
        <v>90</v>
      </c>
      <c r="N21" s="12" t="s">
        <v>91</v>
      </c>
      <c r="O21" s="12" t="s">
        <v>92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12">
        <v>20.0</v>
      </c>
      <c r="B22" s="36"/>
      <c r="C22" s="36"/>
      <c r="D22" s="36" t="s">
        <v>93</v>
      </c>
      <c r="E22" s="12" t="s">
        <v>94</v>
      </c>
      <c r="F22" s="13">
        <v>1.0</v>
      </c>
      <c r="G22" s="14"/>
      <c r="H22" s="12" t="s">
        <v>95</v>
      </c>
      <c r="I22" s="15">
        <v>0.0</v>
      </c>
      <c r="J22" s="12">
        <v>1000000.0</v>
      </c>
      <c r="K22" s="15">
        <f t="shared" si="1"/>
        <v>1000000</v>
      </c>
      <c r="L22" s="37">
        <v>1.05000820531E11</v>
      </c>
      <c r="M22" s="12" t="s">
        <v>96</v>
      </c>
      <c r="N22" s="12" t="s">
        <v>97</v>
      </c>
      <c r="O22" s="12" t="s">
        <v>92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12">
        <v>21.0</v>
      </c>
      <c r="B23" s="36"/>
      <c r="C23" s="36"/>
      <c r="D23" s="36" t="s">
        <v>98</v>
      </c>
      <c r="E23" s="12" t="s">
        <v>99</v>
      </c>
      <c r="F23" s="38">
        <v>4.0</v>
      </c>
      <c r="G23" s="38"/>
      <c r="H23" s="12" t="s">
        <v>100</v>
      </c>
      <c r="I23" s="15">
        <v>0.0</v>
      </c>
      <c r="J23" s="12">
        <v>500000.0</v>
      </c>
      <c r="K23" s="15">
        <f t="shared" si="1"/>
        <v>500000</v>
      </c>
      <c r="L23" s="12">
        <v>1.00870644053E11</v>
      </c>
      <c r="M23" s="12" t="s">
        <v>101</v>
      </c>
      <c r="N23" s="12" t="s">
        <v>102</v>
      </c>
      <c r="O23" s="12" t="s">
        <v>92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12">
        <v>22.0</v>
      </c>
      <c r="B24" s="36"/>
      <c r="C24" s="36"/>
      <c r="D24" s="36" t="s">
        <v>103</v>
      </c>
      <c r="E24" s="12" t="s">
        <v>104</v>
      </c>
      <c r="F24" s="13">
        <v>1.0</v>
      </c>
      <c r="G24" s="14"/>
      <c r="H24" s="12" t="s">
        <v>105</v>
      </c>
      <c r="I24" s="15">
        <v>0.0</v>
      </c>
      <c r="J24" s="12">
        <v>500000.0</v>
      </c>
      <c r="K24" s="15">
        <f t="shared" si="1"/>
        <v>500000</v>
      </c>
      <c r="L24" s="12">
        <v>3.610205344421E12</v>
      </c>
      <c r="M24" s="12" t="s">
        <v>106</v>
      </c>
      <c r="N24" s="12" t="s">
        <v>107</v>
      </c>
      <c r="O24" s="12" t="s">
        <v>92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12">
        <v>23.0</v>
      </c>
      <c r="B25" s="36"/>
      <c r="C25" s="36"/>
      <c r="D25" s="36" t="s">
        <v>108</v>
      </c>
      <c r="E25" s="12" t="s">
        <v>109</v>
      </c>
      <c r="F25" s="13">
        <v>1.0</v>
      </c>
      <c r="G25" s="13" t="s">
        <v>110</v>
      </c>
      <c r="H25" s="12" t="s">
        <v>111</v>
      </c>
      <c r="I25" s="15">
        <v>500000.0</v>
      </c>
      <c r="J25" s="12">
        <v>1500000.0</v>
      </c>
      <c r="K25" s="15">
        <f t="shared" si="1"/>
        <v>2000000</v>
      </c>
      <c r="L25" s="12">
        <v>1.3100837E7</v>
      </c>
      <c r="M25" s="12" t="s">
        <v>112</v>
      </c>
      <c r="N25" s="12" t="s">
        <v>113</v>
      </c>
      <c r="O25" s="12" t="s">
        <v>92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12">
        <v>24.0</v>
      </c>
      <c r="B26" s="36"/>
      <c r="C26" s="36"/>
      <c r="D26" s="36" t="s">
        <v>114</v>
      </c>
      <c r="E26" s="12" t="s">
        <v>115</v>
      </c>
      <c r="F26" s="13">
        <v>1.0</v>
      </c>
      <c r="G26" s="14"/>
      <c r="H26" s="12" t="s">
        <v>116</v>
      </c>
      <c r="I26" s="15">
        <v>0.0</v>
      </c>
      <c r="J26" s="12">
        <v>500000.0</v>
      </c>
      <c r="K26" s="15">
        <f t="shared" si="1"/>
        <v>500000</v>
      </c>
      <c r="L26" s="12">
        <v>1.018031824E9</v>
      </c>
      <c r="M26" s="12" t="s">
        <v>117</v>
      </c>
      <c r="N26" s="12" t="s">
        <v>118</v>
      </c>
      <c r="O26" s="12" t="s">
        <v>92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12">
        <v>25.0</v>
      </c>
      <c r="B27" s="36"/>
      <c r="C27" s="36"/>
      <c r="D27" s="36" t="s">
        <v>119</v>
      </c>
      <c r="E27" s="12" t="s">
        <v>120</v>
      </c>
      <c r="F27" s="13">
        <v>1.0</v>
      </c>
      <c r="G27" s="14"/>
      <c r="H27" s="12" t="s">
        <v>121</v>
      </c>
      <c r="I27" s="15">
        <v>2500000.0</v>
      </c>
      <c r="J27" s="12">
        <v>500000.0</v>
      </c>
      <c r="K27" s="15">
        <f t="shared" si="1"/>
        <v>3000000</v>
      </c>
      <c r="L27" s="12">
        <v>1.9028393201013E13</v>
      </c>
      <c r="M27" s="12" t="s">
        <v>122</v>
      </c>
      <c r="N27" s="12" t="s">
        <v>123</v>
      </c>
      <c r="O27" s="12" t="s">
        <v>92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12">
        <v>26.0</v>
      </c>
      <c r="B28" s="36"/>
      <c r="C28" s="36"/>
      <c r="D28" s="36" t="s">
        <v>124</v>
      </c>
      <c r="E28" s="12" t="s">
        <v>125</v>
      </c>
      <c r="F28" s="13" t="s">
        <v>126</v>
      </c>
      <c r="G28" s="14"/>
      <c r="H28" s="12" t="s">
        <v>127</v>
      </c>
      <c r="I28" s="15">
        <v>2000000.0</v>
      </c>
      <c r="J28" s="12">
        <v>500000.0</v>
      </c>
      <c r="K28" s="15">
        <f t="shared" si="1"/>
        <v>2500000</v>
      </c>
      <c r="L28" s="19" t="s">
        <v>128</v>
      </c>
      <c r="M28" s="12" t="s">
        <v>39</v>
      </c>
      <c r="N28" s="12" t="s">
        <v>129</v>
      </c>
      <c r="O28" s="12" t="s">
        <v>92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12">
        <v>27.0</v>
      </c>
      <c r="B29" s="36"/>
      <c r="C29" s="36"/>
      <c r="D29" s="36" t="s">
        <v>130</v>
      </c>
      <c r="E29" s="12" t="s">
        <v>131</v>
      </c>
      <c r="F29" s="31" t="s">
        <v>132</v>
      </c>
      <c r="G29" s="38"/>
      <c r="H29" s="12" t="s">
        <v>133</v>
      </c>
      <c r="I29" s="15">
        <v>1500000.0</v>
      </c>
      <c r="J29" s="12">
        <v>500000.0</v>
      </c>
      <c r="K29" s="15">
        <f t="shared" si="1"/>
        <v>2000000</v>
      </c>
      <c r="L29" s="12">
        <v>5.6010001005198E13</v>
      </c>
      <c r="M29" s="12" t="s">
        <v>90</v>
      </c>
      <c r="N29" s="12" t="s">
        <v>134</v>
      </c>
      <c r="O29" s="12" t="s">
        <v>92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12">
        <v>28.0</v>
      </c>
      <c r="B30" s="36"/>
      <c r="C30" s="36"/>
      <c r="D30" s="36" t="s">
        <v>135</v>
      </c>
      <c r="E30" s="12" t="s">
        <v>136</v>
      </c>
      <c r="F30" s="13">
        <v>1.0</v>
      </c>
      <c r="G30" s="14"/>
      <c r="H30" s="12" t="s">
        <v>137</v>
      </c>
      <c r="I30" s="15">
        <v>0.0</v>
      </c>
      <c r="J30" s="12">
        <v>500000.0</v>
      </c>
      <c r="K30" s="15">
        <f t="shared" si="1"/>
        <v>500000</v>
      </c>
      <c r="L30" s="37">
        <v>1.0195747E7</v>
      </c>
      <c r="M30" s="12" t="s">
        <v>112</v>
      </c>
      <c r="N30" s="12" t="s">
        <v>138</v>
      </c>
      <c r="O30" s="12" t="s">
        <v>92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12">
        <v>29.0</v>
      </c>
      <c r="B31" s="36"/>
      <c r="C31" s="36"/>
      <c r="D31" s="36" t="s">
        <v>139</v>
      </c>
      <c r="E31" s="12" t="s">
        <v>140</v>
      </c>
      <c r="F31" s="31" t="s">
        <v>141</v>
      </c>
      <c r="G31" s="38"/>
      <c r="H31" s="12" t="s">
        <v>142</v>
      </c>
      <c r="I31" s="15">
        <v>4000000.0</v>
      </c>
      <c r="J31" s="12">
        <v>500000.0</v>
      </c>
      <c r="K31" s="15">
        <f t="shared" si="1"/>
        <v>4500000</v>
      </c>
      <c r="L31" s="12">
        <v>1.9034190908014E13</v>
      </c>
      <c r="M31" s="12" t="s">
        <v>143</v>
      </c>
      <c r="N31" s="12" t="s">
        <v>144</v>
      </c>
      <c r="O31" s="12" t="s">
        <v>92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12">
        <v>30.0</v>
      </c>
      <c r="B32" s="36"/>
      <c r="C32" s="36"/>
      <c r="D32" s="36" t="s">
        <v>145</v>
      </c>
      <c r="E32" s="37" t="s">
        <v>146</v>
      </c>
      <c r="F32" s="31" t="s">
        <v>147</v>
      </c>
      <c r="G32" s="38"/>
      <c r="H32" s="12" t="s">
        <v>148</v>
      </c>
      <c r="I32" s="15">
        <v>1.75E7</v>
      </c>
      <c r="J32" s="12">
        <v>1000000.0</v>
      </c>
      <c r="K32" s="15">
        <f t="shared" si="1"/>
        <v>18500000</v>
      </c>
      <c r="L32" s="12">
        <v>1.9035425982019E13</v>
      </c>
      <c r="M32" s="12" t="s">
        <v>149</v>
      </c>
      <c r="N32" s="12" t="s">
        <v>150</v>
      </c>
      <c r="O32" s="12" t="s">
        <v>92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12">
        <v>31.0</v>
      </c>
      <c r="B33" s="36"/>
      <c r="C33" s="36"/>
      <c r="D33" s="36" t="s">
        <v>151</v>
      </c>
      <c r="E33" s="12" t="s">
        <v>152</v>
      </c>
      <c r="F33" s="13" t="s">
        <v>153</v>
      </c>
      <c r="G33" s="14"/>
      <c r="H33" s="12" t="s">
        <v>154</v>
      </c>
      <c r="I33" s="15">
        <v>2500000.0</v>
      </c>
      <c r="J33" s="12">
        <v>500000.0</v>
      </c>
      <c r="K33" s="15">
        <f t="shared" si="1"/>
        <v>3000000</v>
      </c>
      <c r="L33" s="12">
        <v>1.9033440819016E13</v>
      </c>
      <c r="M33" s="12" t="s">
        <v>122</v>
      </c>
      <c r="N33" s="12" t="s">
        <v>155</v>
      </c>
      <c r="O33" s="12" t="s">
        <v>92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12">
        <v>32.0</v>
      </c>
      <c r="B34" s="36"/>
      <c r="C34" s="36"/>
      <c r="D34" s="36" t="s">
        <v>156</v>
      </c>
      <c r="E34" s="12" t="s">
        <v>157</v>
      </c>
      <c r="F34" s="13">
        <v>1.0</v>
      </c>
      <c r="G34" s="17"/>
      <c r="H34" s="12" t="s">
        <v>158</v>
      </c>
      <c r="I34" s="15">
        <v>500000.0</v>
      </c>
      <c r="J34" s="12">
        <v>1000000.0</v>
      </c>
      <c r="K34" s="15">
        <f t="shared" si="1"/>
        <v>1500000</v>
      </c>
      <c r="L34" s="12">
        <v>1.9034102620014E13</v>
      </c>
      <c r="M34" s="12" t="s">
        <v>122</v>
      </c>
      <c r="N34" s="12" t="s">
        <v>159</v>
      </c>
      <c r="O34" s="12" t="s">
        <v>92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12">
        <v>33.0</v>
      </c>
      <c r="B35" s="36"/>
      <c r="C35" s="36"/>
      <c r="D35" s="36" t="s">
        <v>160</v>
      </c>
      <c r="E35" s="12" t="s">
        <v>161</v>
      </c>
      <c r="F35" s="13">
        <v>1.0</v>
      </c>
      <c r="G35" s="17"/>
      <c r="H35" s="12" t="s">
        <v>162</v>
      </c>
      <c r="I35" s="15">
        <v>500000.0</v>
      </c>
      <c r="J35" s="12">
        <v>1000000.0</v>
      </c>
      <c r="K35" s="15">
        <f t="shared" si="1"/>
        <v>1500000</v>
      </c>
      <c r="L35" s="12">
        <v>1.9034494142018E13</v>
      </c>
      <c r="M35" s="12" t="s">
        <v>122</v>
      </c>
      <c r="N35" s="12" t="s">
        <v>163</v>
      </c>
      <c r="O35" s="12" t="s">
        <v>92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12">
        <v>34.0</v>
      </c>
      <c r="B36" s="36"/>
      <c r="C36" s="36"/>
      <c r="D36" s="36" t="s">
        <v>164</v>
      </c>
      <c r="E36" s="12" t="s">
        <v>165</v>
      </c>
      <c r="F36" s="31" t="s">
        <v>166</v>
      </c>
      <c r="G36" s="17"/>
      <c r="H36" s="12" t="s">
        <v>167</v>
      </c>
      <c r="I36" s="15">
        <v>1.2E7</v>
      </c>
      <c r="J36" s="12">
        <v>1000000.0</v>
      </c>
      <c r="K36" s="15">
        <f t="shared" si="1"/>
        <v>13000000</v>
      </c>
      <c r="L36" s="12" t="s">
        <v>168</v>
      </c>
      <c r="M36" s="12" t="s">
        <v>19</v>
      </c>
      <c r="N36" s="12" t="s">
        <v>169</v>
      </c>
      <c r="O36" s="12" t="s">
        <v>92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12">
        <v>35.0</v>
      </c>
      <c r="B37" s="36"/>
      <c r="C37" s="36"/>
      <c r="D37" s="36" t="s">
        <v>170</v>
      </c>
      <c r="E37" s="12" t="s">
        <v>171</v>
      </c>
      <c r="F37" s="13">
        <v>1.0</v>
      </c>
      <c r="G37" s="17"/>
      <c r="H37" s="12" t="s">
        <v>172</v>
      </c>
      <c r="I37" s="15">
        <v>500000.0</v>
      </c>
      <c r="J37" s="12">
        <v>500000.0</v>
      </c>
      <c r="K37" s="15">
        <f t="shared" si="1"/>
        <v>1000000</v>
      </c>
      <c r="L37" s="12">
        <v>1.9033994281018E13</v>
      </c>
      <c r="M37" s="12" t="s">
        <v>122</v>
      </c>
      <c r="N37" s="12" t="s">
        <v>173</v>
      </c>
      <c r="O37" s="12" t="s">
        <v>92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12">
        <v>36.0</v>
      </c>
      <c r="B38" s="36"/>
      <c r="C38" s="36"/>
      <c r="D38" s="36" t="s">
        <v>174</v>
      </c>
      <c r="E38" s="12" t="s">
        <v>175</v>
      </c>
      <c r="F38" s="13">
        <v>1.0</v>
      </c>
      <c r="G38" s="17"/>
      <c r="H38" s="12" t="s">
        <v>176</v>
      </c>
      <c r="I38" s="15">
        <v>0.0</v>
      </c>
      <c r="J38" s="12">
        <v>100000.0</v>
      </c>
      <c r="K38" s="15">
        <f t="shared" si="1"/>
        <v>100000</v>
      </c>
      <c r="L38" s="39">
        <v>1.9036653260011E13</v>
      </c>
      <c r="M38" s="12" t="s">
        <v>149</v>
      </c>
      <c r="N38" s="12" t="s">
        <v>177</v>
      </c>
      <c r="O38" s="12" t="s">
        <v>92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12">
        <v>37.0</v>
      </c>
      <c r="B39" s="36"/>
      <c r="C39" s="36"/>
      <c r="D39" s="36" t="s">
        <v>178</v>
      </c>
      <c r="E39" s="12" t="s">
        <v>179</v>
      </c>
      <c r="F39" s="13">
        <v>1.0</v>
      </c>
      <c r="G39" s="17"/>
      <c r="H39" s="12" t="s">
        <v>180</v>
      </c>
      <c r="I39" s="15">
        <v>500000.0</v>
      </c>
      <c r="J39" s="12">
        <v>500000.0</v>
      </c>
      <c r="K39" s="15">
        <f t="shared" si="1"/>
        <v>1000000</v>
      </c>
      <c r="L39" s="19" t="s">
        <v>181</v>
      </c>
      <c r="M39" s="12" t="s">
        <v>182</v>
      </c>
      <c r="N39" s="12" t="s">
        <v>183</v>
      </c>
      <c r="O39" s="12" t="s">
        <v>92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12">
        <v>38.0</v>
      </c>
      <c r="B40" s="36"/>
      <c r="C40" s="36"/>
      <c r="D40" s="36" t="s">
        <v>184</v>
      </c>
      <c r="E40" s="12" t="s">
        <v>185</v>
      </c>
      <c r="F40" s="12">
        <v>2.0</v>
      </c>
      <c r="G40" s="17"/>
      <c r="H40" s="12" t="s">
        <v>100</v>
      </c>
      <c r="I40" s="15">
        <v>0.0</v>
      </c>
      <c r="J40" s="12">
        <v>500000.0</v>
      </c>
      <c r="K40" s="15">
        <f t="shared" si="1"/>
        <v>500000</v>
      </c>
      <c r="L40" s="19" t="s">
        <v>186</v>
      </c>
      <c r="M40" s="12" t="s">
        <v>187</v>
      </c>
      <c r="N40" s="12" t="s">
        <v>188</v>
      </c>
      <c r="O40" s="12" t="s">
        <v>92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12">
        <v>39.0</v>
      </c>
      <c r="B41" s="40"/>
      <c r="C41" s="40"/>
      <c r="D41" s="40" t="s">
        <v>189</v>
      </c>
      <c r="E41" s="41" t="s">
        <v>190</v>
      </c>
      <c r="F41" s="42" t="s">
        <v>191</v>
      </c>
      <c r="G41" s="42"/>
      <c r="H41" s="43">
        <v>1581.0</v>
      </c>
      <c r="I41" s="44">
        <v>0.0</v>
      </c>
      <c r="J41" s="44">
        <v>500000.0</v>
      </c>
      <c r="K41" s="45">
        <f t="shared" si="1"/>
        <v>500000</v>
      </c>
      <c r="L41" s="46">
        <v>8.00180219999E11</v>
      </c>
      <c r="M41" s="47" t="s">
        <v>192</v>
      </c>
      <c r="N41" s="48" t="s">
        <v>193</v>
      </c>
      <c r="O41" s="12" t="s">
        <v>194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12">
        <v>40.0</v>
      </c>
      <c r="B42" s="49"/>
      <c r="C42" s="49"/>
      <c r="D42" s="49" t="s">
        <v>195</v>
      </c>
      <c r="E42" s="50" t="s">
        <v>196</v>
      </c>
      <c r="F42" s="42"/>
      <c r="G42" s="51" t="s">
        <v>197</v>
      </c>
      <c r="H42" s="43"/>
      <c r="I42" s="44">
        <v>0.0</v>
      </c>
      <c r="J42" s="44">
        <v>500000.0</v>
      </c>
      <c r="K42" s="45">
        <f t="shared" si="1"/>
        <v>500000</v>
      </c>
      <c r="L42" s="52">
        <v>8.840188888668E12</v>
      </c>
      <c r="M42" s="53" t="s">
        <v>53</v>
      </c>
      <c r="N42" s="53" t="s">
        <v>198</v>
      </c>
      <c r="O42" s="12" t="s">
        <v>194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12">
        <v>41.0</v>
      </c>
      <c r="B43" s="54"/>
      <c r="C43" s="54"/>
      <c r="D43" s="54" t="s">
        <v>199</v>
      </c>
      <c r="E43" s="41" t="s">
        <v>200</v>
      </c>
      <c r="F43" s="42" t="s">
        <v>191</v>
      </c>
      <c r="G43" s="55" t="s">
        <v>201</v>
      </c>
      <c r="H43" s="43" t="s">
        <v>202</v>
      </c>
      <c r="I43" s="44">
        <v>1500000.0</v>
      </c>
      <c r="J43" s="56" t="s">
        <v>203</v>
      </c>
      <c r="K43" s="45">
        <v>3500000.0</v>
      </c>
      <c r="L43" s="57">
        <v>8.32788888E8</v>
      </c>
      <c r="M43" s="12" t="s">
        <v>112</v>
      </c>
      <c r="N43" s="17"/>
      <c r="O43" s="12" t="s">
        <v>194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24">
        <v>42.0</v>
      </c>
      <c r="B44" s="54"/>
      <c r="C44" s="54"/>
      <c r="D44" s="58" t="s">
        <v>204</v>
      </c>
      <c r="E44" s="59" t="s">
        <v>205</v>
      </c>
      <c r="F44" s="42" t="s">
        <v>206</v>
      </c>
      <c r="G44" s="42"/>
      <c r="H44" s="43">
        <v>8513.0</v>
      </c>
      <c r="I44" s="44">
        <v>0.0</v>
      </c>
      <c r="J44" s="44">
        <v>500000.0</v>
      </c>
      <c r="K44" s="60">
        <f>SUM(I44:J44)</f>
        <v>500000</v>
      </c>
      <c r="L44" s="61" t="s">
        <v>207</v>
      </c>
      <c r="M44" s="17"/>
      <c r="N44" s="17"/>
      <c r="O44" s="12" t="s">
        <v>194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28"/>
      <c r="B45" s="54"/>
      <c r="C45" s="54"/>
      <c r="D45" s="28"/>
      <c r="E45" s="28"/>
      <c r="F45" s="42" t="s">
        <v>191</v>
      </c>
      <c r="G45" s="42"/>
      <c r="H45" s="43" t="s">
        <v>208</v>
      </c>
      <c r="I45" s="44">
        <v>0.0</v>
      </c>
      <c r="J45" s="62"/>
      <c r="K45" s="28"/>
      <c r="L45" s="28"/>
      <c r="M45" s="17"/>
      <c r="N45" s="17"/>
      <c r="O45" s="12" t="s">
        <v>194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28"/>
      <c r="B46" s="54"/>
      <c r="C46" s="54"/>
      <c r="D46" s="28"/>
      <c r="E46" s="28"/>
      <c r="F46" s="42" t="s">
        <v>191</v>
      </c>
      <c r="G46" s="42"/>
      <c r="H46" s="43" t="s">
        <v>209</v>
      </c>
      <c r="I46" s="44">
        <v>0.0</v>
      </c>
      <c r="J46" s="62"/>
      <c r="K46" s="28"/>
      <c r="L46" s="28"/>
      <c r="M46" s="17"/>
      <c r="N46" s="17"/>
      <c r="O46" s="12" t="s">
        <v>194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28"/>
      <c r="B47" s="54"/>
      <c r="C47" s="54"/>
      <c r="D47" s="28"/>
      <c r="E47" s="28"/>
      <c r="F47" s="42" t="s">
        <v>191</v>
      </c>
      <c r="G47" s="42"/>
      <c r="H47" s="43">
        <v>4917.0</v>
      </c>
      <c r="I47" s="44">
        <v>0.0</v>
      </c>
      <c r="J47" s="62"/>
      <c r="K47" s="28"/>
      <c r="L47" s="28"/>
      <c r="M47" s="17"/>
      <c r="N47" s="17"/>
      <c r="O47" s="12" t="s">
        <v>194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32"/>
      <c r="B48" s="54"/>
      <c r="C48" s="54"/>
      <c r="D48" s="32"/>
      <c r="E48" s="32"/>
      <c r="F48" s="42" t="s">
        <v>191</v>
      </c>
      <c r="G48" s="42"/>
      <c r="H48" s="43" t="s">
        <v>210</v>
      </c>
      <c r="I48" s="44">
        <v>0.0</v>
      </c>
      <c r="J48" s="62"/>
      <c r="K48" s="32"/>
      <c r="L48" s="32"/>
      <c r="M48" s="17"/>
      <c r="N48" s="17"/>
      <c r="O48" s="12" t="s">
        <v>194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12">
        <v>43.0</v>
      </c>
      <c r="B49" s="63"/>
      <c r="C49" s="63"/>
      <c r="D49" s="63" t="s">
        <v>211</v>
      </c>
      <c r="E49" s="41" t="s">
        <v>212</v>
      </c>
      <c r="F49" s="42" t="s">
        <v>191</v>
      </c>
      <c r="G49" s="42"/>
      <c r="H49" s="43" t="s">
        <v>213</v>
      </c>
      <c r="I49" s="44">
        <v>0.0</v>
      </c>
      <c r="J49" s="44">
        <v>500000.0</v>
      </c>
      <c r="K49" s="45">
        <f>SUM(I49:J49)</f>
        <v>500000</v>
      </c>
      <c r="L49" s="64" t="s">
        <v>214</v>
      </c>
      <c r="M49" s="17"/>
      <c r="N49" s="17"/>
      <c r="O49" s="12" t="s">
        <v>194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24">
        <v>44.0</v>
      </c>
      <c r="B50" s="54"/>
      <c r="C50" s="54"/>
      <c r="D50" s="58" t="s">
        <v>215</v>
      </c>
      <c r="E50" s="59" t="s">
        <v>216</v>
      </c>
      <c r="F50" s="42" t="s">
        <v>191</v>
      </c>
      <c r="G50" s="42"/>
      <c r="H50" s="43" t="s">
        <v>217</v>
      </c>
      <c r="I50" s="44">
        <v>1000000.0</v>
      </c>
      <c r="J50" s="44">
        <v>1000000.0</v>
      </c>
      <c r="K50" s="60">
        <v>1.85E7</v>
      </c>
      <c r="L50" s="61" t="s">
        <v>218</v>
      </c>
      <c r="M50" s="17"/>
      <c r="N50" s="17"/>
      <c r="O50" s="12" t="s">
        <v>194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28"/>
      <c r="B51" s="54"/>
      <c r="C51" s="54"/>
      <c r="D51" s="28"/>
      <c r="E51" s="28"/>
      <c r="F51" s="42" t="s">
        <v>191</v>
      </c>
      <c r="G51" s="42"/>
      <c r="H51" s="43" t="s">
        <v>219</v>
      </c>
      <c r="I51" s="44">
        <v>2500000.0</v>
      </c>
      <c r="J51" s="62"/>
      <c r="K51" s="28"/>
      <c r="L51" s="28"/>
      <c r="M51" s="17"/>
      <c r="N51" s="17"/>
      <c r="O51" s="12" t="s">
        <v>194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28"/>
      <c r="B52" s="54"/>
      <c r="C52" s="54"/>
      <c r="D52" s="28"/>
      <c r="E52" s="28"/>
      <c r="F52" s="42" t="s">
        <v>191</v>
      </c>
      <c r="G52" s="42"/>
      <c r="H52" s="43" t="s">
        <v>220</v>
      </c>
      <c r="I52" s="44">
        <v>2000000.0</v>
      </c>
      <c r="J52" s="62"/>
      <c r="K52" s="28"/>
      <c r="L52" s="28"/>
      <c r="M52" s="17"/>
      <c r="N52" s="17"/>
      <c r="O52" s="12" t="s">
        <v>194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28"/>
      <c r="B53" s="54"/>
      <c r="C53" s="54"/>
      <c r="D53" s="28"/>
      <c r="E53" s="28"/>
      <c r="F53" s="42" t="s">
        <v>191</v>
      </c>
      <c r="G53" s="42"/>
      <c r="H53" s="43" t="s">
        <v>221</v>
      </c>
      <c r="I53" s="44">
        <v>500000.0</v>
      </c>
      <c r="J53" s="62"/>
      <c r="K53" s="28"/>
      <c r="L53" s="28"/>
      <c r="M53" s="17"/>
      <c r="N53" s="17"/>
      <c r="O53" s="12" t="s">
        <v>194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28"/>
      <c r="B54" s="54"/>
      <c r="C54" s="54"/>
      <c r="D54" s="28"/>
      <c r="E54" s="28"/>
      <c r="F54" s="42" t="s">
        <v>191</v>
      </c>
      <c r="G54" s="42"/>
      <c r="H54" s="43" t="s">
        <v>222</v>
      </c>
      <c r="I54" s="44">
        <v>3500000.0</v>
      </c>
      <c r="J54" s="62"/>
      <c r="K54" s="28"/>
      <c r="L54" s="28"/>
      <c r="M54" s="17"/>
      <c r="N54" s="17"/>
      <c r="O54" s="12" t="s">
        <v>194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32"/>
      <c r="B55" s="54"/>
      <c r="C55" s="54"/>
      <c r="D55" s="32"/>
      <c r="E55" s="32"/>
      <c r="F55" s="42" t="s">
        <v>191</v>
      </c>
      <c r="G55" s="42"/>
      <c r="H55" s="43" t="s">
        <v>223</v>
      </c>
      <c r="I55" s="44">
        <v>8000000.0</v>
      </c>
      <c r="J55" s="62"/>
      <c r="K55" s="32"/>
      <c r="L55" s="32"/>
      <c r="M55" s="17"/>
      <c r="N55" s="17"/>
      <c r="O55" s="12" t="s">
        <v>194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5">
        <v>45.0</v>
      </c>
      <c r="B56" s="66"/>
      <c r="C56" s="66"/>
      <c r="D56" s="54" t="s">
        <v>224</v>
      </c>
      <c r="E56" s="41" t="s">
        <v>225</v>
      </c>
      <c r="F56" s="42" t="s">
        <v>191</v>
      </c>
      <c r="G56" s="42"/>
      <c r="H56" s="43" t="s">
        <v>226</v>
      </c>
      <c r="I56" s="44">
        <v>500000.0</v>
      </c>
      <c r="J56" s="44">
        <v>1000000.0</v>
      </c>
      <c r="K56" s="45">
        <v>1500000.0</v>
      </c>
      <c r="L56" s="64" t="s">
        <v>227</v>
      </c>
      <c r="M56" s="17"/>
      <c r="N56" s="17"/>
      <c r="O56" s="12" t="s">
        <v>194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12">
        <v>46.0</v>
      </c>
      <c r="B57" s="54"/>
      <c r="C57" s="54"/>
      <c r="D57" s="54" t="s">
        <v>228</v>
      </c>
      <c r="E57" s="41" t="s">
        <v>229</v>
      </c>
      <c r="F57" s="42" t="s">
        <v>191</v>
      </c>
      <c r="G57" s="55" t="s">
        <v>201</v>
      </c>
      <c r="H57" s="43">
        <v>8180.0</v>
      </c>
      <c r="I57" s="44">
        <v>0.0</v>
      </c>
      <c r="J57" s="67" t="s">
        <v>230</v>
      </c>
      <c r="K57" s="45">
        <v>1000000.0</v>
      </c>
      <c r="L57" s="64" t="s">
        <v>231</v>
      </c>
      <c r="M57" s="17"/>
      <c r="N57" s="17"/>
      <c r="O57" s="12" t="s">
        <v>194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24">
        <v>47.0</v>
      </c>
      <c r="B58" s="54"/>
      <c r="C58" s="54"/>
      <c r="D58" s="58" t="s">
        <v>232</v>
      </c>
      <c r="E58" s="68" t="s">
        <v>233</v>
      </c>
      <c r="F58" s="42" t="s">
        <v>191</v>
      </c>
      <c r="G58" s="42"/>
      <c r="H58" s="43" t="s">
        <v>234</v>
      </c>
      <c r="I58" s="44">
        <v>0.0</v>
      </c>
      <c r="J58" s="44">
        <v>1000000.0</v>
      </c>
      <c r="K58" s="60">
        <v>5000000.0</v>
      </c>
      <c r="L58" s="69" t="s">
        <v>235</v>
      </c>
      <c r="M58" s="17"/>
      <c r="N58" s="17"/>
      <c r="O58" s="12" t="s">
        <v>194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28"/>
      <c r="B59" s="54"/>
      <c r="C59" s="54"/>
      <c r="D59" s="28"/>
      <c r="E59" s="28"/>
      <c r="F59" s="42" t="s">
        <v>191</v>
      </c>
      <c r="G59" s="42"/>
      <c r="H59" s="43" t="s">
        <v>236</v>
      </c>
      <c r="I59" s="44">
        <v>1000000.0</v>
      </c>
      <c r="J59" s="62"/>
      <c r="K59" s="28"/>
      <c r="L59" s="28"/>
      <c r="M59" s="17"/>
      <c r="N59" s="17"/>
      <c r="O59" s="12" t="s">
        <v>194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28"/>
      <c r="B60" s="54"/>
      <c r="C60" s="54"/>
      <c r="D60" s="28"/>
      <c r="E60" s="28"/>
      <c r="F60" s="42" t="s">
        <v>191</v>
      </c>
      <c r="G60" s="42"/>
      <c r="H60" s="43" t="s">
        <v>237</v>
      </c>
      <c r="I60" s="44">
        <v>0.0</v>
      </c>
      <c r="J60" s="62"/>
      <c r="K60" s="28"/>
      <c r="L60" s="28"/>
      <c r="M60" s="17"/>
      <c r="N60" s="17"/>
      <c r="O60" s="12" t="s">
        <v>194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28"/>
      <c r="B61" s="54"/>
      <c r="C61" s="54"/>
      <c r="D61" s="28"/>
      <c r="E61" s="28"/>
      <c r="F61" s="42" t="s">
        <v>191</v>
      </c>
      <c r="G61" s="42"/>
      <c r="H61" s="43" t="s">
        <v>238</v>
      </c>
      <c r="I61" s="44">
        <v>1500000.0</v>
      </c>
      <c r="J61" s="62"/>
      <c r="K61" s="28"/>
      <c r="L61" s="28"/>
      <c r="M61" s="17"/>
      <c r="N61" s="17"/>
      <c r="O61" s="12" t="s">
        <v>194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28"/>
      <c r="B62" s="54"/>
      <c r="C62" s="54"/>
      <c r="D62" s="28"/>
      <c r="E62" s="28"/>
      <c r="F62" s="42" t="s">
        <v>191</v>
      </c>
      <c r="G62" s="42"/>
      <c r="H62" s="43" t="s">
        <v>239</v>
      </c>
      <c r="I62" s="44">
        <v>0.0</v>
      </c>
      <c r="J62" s="62"/>
      <c r="K62" s="28"/>
      <c r="L62" s="28"/>
      <c r="M62" s="17"/>
      <c r="N62" s="17"/>
      <c r="O62" s="12" t="s">
        <v>194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32"/>
      <c r="B63" s="54"/>
      <c r="C63" s="54"/>
      <c r="D63" s="32"/>
      <c r="E63" s="32"/>
      <c r="F63" s="42" t="s">
        <v>191</v>
      </c>
      <c r="G63" s="42"/>
      <c r="H63" s="43" t="s">
        <v>240</v>
      </c>
      <c r="I63" s="44">
        <v>1500000.0</v>
      </c>
      <c r="J63" s="62"/>
      <c r="K63" s="32"/>
      <c r="L63" s="32"/>
      <c r="M63" s="17"/>
      <c r="N63" s="17"/>
      <c r="O63" s="12" t="s">
        <v>194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24">
        <v>48.0</v>
      </c>
      <c r="B64" s="63"/>
      <c r="C64" s="63"/>
      <c r="D64" s="70" t="s">
        <v>241</v>
      </c>
      <c r="E64" s="59" t="s">
        <v>242</v>
      </c>
      <c r="F64" s="42" t="s">
        <v>191</v>
      </c>
      <c r="G64" s="42"/>
      <c r="H64" s="43" t="s">
        <v>243</v>
      </c>
      <c r="I64" s="44">
        <v>0.0</v>
      </c>
      <c r="J64" s="44">
        <v>500000.0</v>
      </c>
      <c r="K64" s="60">
        <v>500000.0</v>
      </c>
      <c r="L64" s="71" t="s">
        <v>244</v>
      </c>
      <c r="M64" s="17"/>
      <c r="N64" s="17"/>
      <c r="O64" s="12" t="s">
        <v>194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28"/>
      <c r="B65" s="63"/>
      <c r="C65" s="63"/>
      <c r="D65" s="28"/>
      <c r="E65" s="28"/>
      <c r="F65" s="42" t="s">
        <v>191</v>
      </c>
      <c r="G65" s="42"/>
      <c r="H65" s="43">
        <v>6675.0</v>
      </c>
      <c r="I65" s="44">
        <v>0.0</v>
      </c>
      <c r="J65" s="62"/>
      <c r="K65" s="28"/>
      <c r="L65" s="28"/>
      <c r="M65" s="17"/>
      <c r="N65" s="17"/>
      <c r="O65" s="12" t="s">
        <v>194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32"/>
      <c r="B66" s="63"/>
      <c r="C66" s="63"/>
      <c r="D66" s="32"/>
      <c r="E66" s="32"/>
      <c r="F66" s="42" t="s">
        <v>191</v>
      </c>
      <c r="G66" s="42"/>
      <c r="H66" s="43" t="s">
        <v>245</v>
      </c>
      <c r="I66" s="44">
        <v>0.0</v>
      </c>
      <c r="J66" s="62"/>
      <c r="K66" s="32"/>
      <c r="L66" s="32"/>
      <c r="M66" s="17"/>
      <c r="N66" s="17"/>
      <c r="O66" s="12" t="s">
        <v>194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12">
        <v>49.0</v>
      </c>
      <c r="B67" s="72"/>
      <c r="C67" s="72"/>
      <c r="D67" s="72" t="s">
        <v>246</v>
      </c>
      <c r="E67" s="41" t="s">
        <v>247</v>
      </c>
      <c r="F67" s="42" t="s">
        <v>191</v>
      </c>
      <c r="G67" s="42"/>
      <c r="H67" s="43" t="s">
        <v>248</v>
      </c>
      <c r="I67" s="44">
        <v>500000.0</v>
      </c>
      <c r="J67" s="44">
        <v>1000000.0</v>
      </c>
      <c r="K67" s="45">
        <v>1500000.0</v>
      </c>
      <c r="L67" s="73">
        <v>1.903503852401E13</v>
      </c>
      <c r="M67" s="17"/>
      <c r="N67" s="17"/>
      <c r="O67" s="12" t="s">
        <v>194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24">
        <v>50.0</v>
      </c>
      <c r="B68" s="54"/>
      <c r="C68" s="54"/>
      <c r="D68" s="58" t="s">
        <v>249</v>
      </c>
      <c r="E68" s="59" t="s">
        <v>250</v>
      </c>
      <c r="F68" s="42" t="s">
        <v>191</v>
      </c>
      <c r="G68" s="42"/>
      <c r="H68" s="43" t="s">
        <v>251</v>
      </c>
      <c r="I68" s="44">
        <v>3000000.0</v>
      </c>
      <c r="J68" s="44">
        <v>1000000.0</v>
      </c>
      <c r="K68" s="60">
        <v>5.1E7</v>
      </c>
      <c r="L68" s="61" t="s">
        <v>252</v>
      </c>
      <c r="M68" s="17"/>
      <c r="N68" s="17"/>
      <c r="O68" s="12" t="s">
        <v>194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28"/>
      <c r="B69" s="54"/>
      <c r="C69" s="54"/>
      <c r="D69" s="28"/>
      <c r="E69" s="28"/>
      <c r="F69" s="42" t="s">
        <v>191</v>
      </c>
      <c r="G69" s="42"/>
      <c r="H69" s="43" t="s">
        <v>216</v>
      </c>
      <c r="I69" s="44">
        <v>6000000.0</v>
      </c>
      <c r="J69" s="62"/>
      <c r="K69" s="28"/>
      <c r="L69" s="28"/>
      <c r="M69" s="17"/>
      <c r="N69" s="17"/>
      <c r="O69" s="12" t="s">
        <v>194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28"/>
      <c r="B70" s="54"/>
      <c r="C70" s="54"/>
      <c r="D70" s="28"/>
      <c r="E70" s="28"/>
      <c r="F70" s="42" t="s">
        <v>191</v>
      </c>
      <c r="G70" s="42"/>
      <c r="H70" s="43" t="s">
        <v>253</v>
      </c>
      <c r="I70" s="44">
        <v>1500000.0</v>
      </c>
      <c r="J70" s="62"/>
      <c r="K70" s="28"/>
      <c r="L70" s="28"/>
      <c r="M70" s="17"/>
      <c r="N70" s="17"/>
      <c r="O70" s="12" t="s">
        <v>194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28"/>
      <c r="B71" s="54"/>
      <c r="C71" s="54"/>
      <c r="D71" s="28"/>
      <c r="E71" s="28"/>
      <c r="F71" s="42" t="s">
        <v>191</v>
      </c>
      <c r="G71" s="42"/>
      <c r="H71" s="43" t="s">
        <v>254</v>
      </c>
      <c r="I71" s="44">
        <v>3.55E7</v>
      </c>
      <c r="J71" s="62"/>
      <c r="K71" s="28"/>
      <c r="L71" s="28"/>
      <c r="M71" s="17"/>
      <c r="N71" s="17"/>
      <c r="O71" s="12" t="s">
        <v>194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28"/>
      <c r="B72" s="54"/>
      <c r="C72" s="54"/>
      <c r="D72" s="28"/>
      <c r="E72" s="28"/>
      <c r="F72" s="42" t="s">
        <v>191</v>
      </c>
      <c r="G72" s="42"/>
      <c r="H72" s="43" t="s">
        <v>255</v>
      </c>
      <c r="I72" s="44">
        <v>1000000.0</v>
      </c>
      <c r="J72" s="62"/>
      <c r="K72" s="28"/>
      <c r="L72" s="28"/>
      <c r="M72" s="17"/>
      <c r="N72" s="17"/>
      <c r="O72" s="12" t="s">
        <v>194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32"/>
      <c r="B73" s="54"/>
      <c r="C73" s="54"/>
      <c r="D73" s="32"/>
      <c r="E73" s="32"/>
      <c r="F73" s="42" t="s">
        <v>191</v>
      </c>
      <c r="G73" s="42"/>
      <c r="H73" s="43" t="s">
        <v>256</v>
      </c>
      <c r="I73" s="44">
        <v>3000000.0</v>
      </c>
      <c r="J73" s="62"/>
      <c r="K73" s="32"/>
      <c r="L73" s="32"/>
      <c r="M73" s="17"/>
      <c r="N73" s="17"/>
      <c r="O73" s="12" t="s">
        <v>194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24">
        <v>51.0</v>
      </c>
      <c r="B74" s="54"/>
      <c r="C74" s="54"/>
      <c r="D74" s="58" t="s">
        <v>257</v>
      </c>
      <c r="E74" s="59" t="s">
        <v>258</v>
      </c>
      <c r="F74" s="42" t="s">
        <v>191</v>
      </c>
      <c r="G74" s="74" t="s">
        <v>197</v>
      </c>
      <c r="H74" s="43" t="s">
        <v>259</v>
      </c>
      <c r="I74" s="44">
        <v>9000000.0</v>
      </c>
      <c r="J74" s="56" t="s">
        <v>260</v>
      </c>
      <c r="K74" s="60">
        <v>5.25E7</v>
      </c>
      <c r="L74" s="61" t="s">
        <v>261</v>
      </c>
      <c r="M74" s="17"/>
      <c r="N74" s="17"/>
      <c r="O74" s="12" t="s">
        <v>194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28"/>
      <c r="B75" s="54"/>
      <c r="C75" s="54"/>
      <c r="D75" s="28"/>
      <c r="E75" s="28"/>
      <c r="F75" s="42" t="s">
        <v>191</v>
      </c>
      <c r="G75" s="42" t="s">
        <v>262</v>
      </c>
      <c r="H75" s="43" t="s">
        <v>263</v>
      </c>
      <c r="I75" s="44">
        <v>1.15E7</v>
      </c>
      <c r="J75" s="62"/>
      <c r="K75" s="28"/>
      <c r="L75" s="28"/>
      <c r="M75" s="17"/>
      <c r="N75" s="17"/>
      <c r="O75" s="12" t="s">
        <v>194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32"/>
      <c r="B76" s="54"/>
      <c r="C76" s="54"/>
      <c r="D76" s="32"/>
      <c r="E76" s="32"/>
      <c r="F76" s="42" t="s">
        <v>191</v>
      </c>
      <c r="G76" s="42"/>
      <c r="H76" s="43" t="s">
        <v>264</v>
      </c>
      <c r="I76" s="44">
        <v>2.9E7</v>
      </c>
      <c r="J76" s="62"/>
      <c r="K76" s="32"/>
      <c r="L76" s="32"/>
      <c r="M76" s="17"/>
      <c r="N76" s="17"/>
      <c r="O76" s="12" t="s">
        <v>194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12">
        <v>52.0</v>
      </c>
      <c r="B77" s="75"/>
      <c r="C77" s="75"/>
      <c r="D77" s="75" t="s">
        <v>265</v>
      </c>
      <c r="E77" s="76" t="s">
        <v>266</v>
      </c>
      <c r="F77" s="42" t="s">
        <v>191</v>
      </c>
      <c r="G77" s="42"/>
      <c r="H77" s="43" t="s">
        <v>267</v>
      </c>
      <c r="I77" s="44">
        <v>0.0</v>
      </c>
      <c r="J77" s="44">
        <v>500000.0</v>
      </c>
      <c r="K77" s="45">
        <v>500000.0</v>
      </c>
      <c r="L77" s="64" t="s">
        <v>268</v>
      </c>
      <c r="M77" s="17"/>
      <c r="N77" s="17"/>
      <c r="O77" s="12" t="s">
        <v>194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12">
        <v>53.0</v>
      </c>
      <c r="B78" s="75"/>
      <c r="C78" s="75"/>
      <c r="D78" s="75" t="s">
        <v>269</v>
      </c>
      <c r="E78" s="41" t="s">
        <v>270</v>
      </c>
      <c r="F78" s="55"/>
      <c r="G78" s="55" t="s">
        <v>201</v>
      </c>
      <c r="H78" s="62"/>
      <c r="I78" s="44">
        <v>0.0</v>
      </c>
      <c r="J78" s="56">
        <v>1000000.0</v>
      </c>
      <c r="K78" s="45">
        <v>1000000.0</v>
      </c>
      <c r="L78" s="64">
        <v>3.4110001129745E13</v>
      </c>
      <c r="M78" s="17"/>
      <c r="N78" s="17"/>
      <c r="O78" s="12" t="s">
        <v>194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12">
        <v>54.0</v>
      </c>
      <c r="B79" s="54"/>
      <c r="C79" s="54"/>
      <c r="D79" s="54" t="s">
        <v>271</v>
      </c>
      <c r="E79" s="41" t="s">
        <v>272</v>
      </c>
      <c r="F79" s="55" t="s">
        <v>201</v>
      </c>
      <c r="G79" s="55"/>
      <c r="H79" s="43" t="s">
        <v>273</v>
      </c>
      <c r="I79" s="77"/>
      <c r="J79" s="56">
        <v>1000000.0</v>
      </c>
      <c r="K79" s="45">
        <v>1000000.0</v>
      </c>
      <c r="L79" s="64" t="s">
        <v>274</v>
      </c>
      <c r="M79" s="17"/>
      <c r="N79" s="17"/>
      <c r="O79" s="12" t="s">
        <v>194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12">
        <v>55.0</v>
      </c>
      <c r="B80" s="54"/>
      <c r="C80" s="54"/>
      <c r="D80" s="54" t="s">
        <v>275</v>
      </c>
      <c r="E80" s="41" t="s">
        <v>276</v>
      </c>
      <c r="F80" s="78"/>
      <c r="G80" s="55" t="s">
        <v>277</v>
      </c>
      <c r="H80" s="62"/>
      <c r="I80" s="44">
        <v>0.0</v>
      </c>
      <c r="J80" s="56">
        <v>1000000.0</v>
      </c>
      <c r="K80" s="45">
        <v>1000000.0</v>
      </c>
      <c r="L80" s="64" t="s">
        <v>274</v>
      </c>
      <c r="M80" s="17"/>
      <c r="N80" s="17"/>
      <c r="O80" s="12" t="s">
        <v>194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12">
        <v>56.0</v>
      </c>
      <c r="B81" s="79"/>
      <c r="C81" s="79"/>
      <c r="D81" s="79" t="s">
        <v>278</v>
      </c>
      <c r="E81" s="80" t="s">
        <v>279</v>
      </c>
      <c r="F81" s="55" t="s">
        <v>277</v>
      </c>
      <c r="G81" s="42"/>
      <c r="H81" s="43" t="s">
        <v>280</v>
      </c>
      <c r="I81" s="44">
        <v>0.0</v>
      </c>
      <c r="J81" s="56">
        <v>1000000.0</v>
      </c>
      <c r="K81" s="45">
        <v>1000000.0</v>
      </c>
      <c r="L81" s="81" t="s">
        <v>281</v>
      </c>
      <c r="M81" s="17"/>
      <c r="N81" s="17"/>
      <c r="O81" s="12" t="s">
        <v>194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12">
        <v>57.0</v>
      </c>
      <c r="B82" s="82"/>
      <c r="C82" s="82"/>
      <c r="D82" s="82" t="s">
        <v>282</v>
      </c>
      <c r="E82" s="83" t="s">
        <v>283</v>
      </c>
      <c r="F82" s="55" t="s">
        <v>191</v>
      </c>
      <c r="G82" s="42"/>
      <c r="H82" s="43" t="s">
        <v>284</v>
      </c>
      <c r="I82" s="44">
        <v>0.0</v>
      </c>
      <c r="J82" s="56">
        <v>1000000.0</v>
      </c>
      <c r="K82" s="45">
        <v>1000000.0</v>
      </c>
      <c r="L82" s="81" t="s">
        <v>285</v>
      </c>
      <c r="M82" s="17"/>
      <c r="N82" s="17"/>
      <c r="O82" s="12" t="s">
        <v>194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12">
        <v>58.0</v>
      </c>
      <c r="B83" s="82"/>
      <c r="C83" s="82"/>
      <c r="D83" s="82" t="s">
        <v>286</v>
      </c>
      <c r="E83" s="83" t="s">
        <v>287</v>
      </c>
      <c r="F83" s="84" t="s">
        <v>201</v>
      </c>
      <c r="G83" s="84"/>
      <c r="H83" s="43" t="s">
        <v>288</v>
      </c>
      <c r="I83" s="44">
        <v>0.0</v>
      </c>
      <c r="J83" s="56">
        <v>1000000.0</v>
      </c>
      <c r="K83" s="45">
        <v>1000000.0</v>
      </c>
      <c r="L83" s="85" t="s">
        <v>289</v>
      </c>
      <c r="M83" s="17"/>
      <c r="N83" s="17"/>
      <c r="O83" s="12" t="s">
        <v>194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12">
        <v>59.0</v>
      </c>
      <c r="B84" s="86"/>
      <c r="C84" s="86"/>
      <c r="D84" s="86" t="s">
        <v>290</v>
      </c>
      <c r="E84" s="87" t="s">
        <v>291</v>
      </c>
      <c r="F84" s="88" t="s">
        <v>292</v>
      </c>
      <c r="G84" s="89"/>
      <c r="H84" s="43" t="s">
        <v>293</v>
      </c>
      <c r="I84" s="44">
        <v>500000.0</v>
      </c>
      <c r="J84" s="56" t="s">
        <v>294</v>
      </c>
      <c r="K84" s="45">
        <v>2000000.0</v>
      </c>
      <c r="L84" s="85" t="s">
        <v>295</v>
      </c>
      <c r="M84" s="17"/>
      <c r="N84" s="17"/>
      <c r="O84" s="12" t="s">
        <v>194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12">
        <v>60.0</v>
      </c>
      <c r="B85" s="54"/>
      <c r="C85" s="54"/>
      <c r="D85" s="54" t="s">
        <v>296</v>
      </c>
      <c r="E85" s="41" t="s">
        <v>297</v>
      </c>
      <c r="F85" s="55" t="s">
        <v>298</v>
      </c>
      <c r="G85" s="42"/>
      <c r="H85" s="43" t="s">
        <v>299</v>
      </c>
      <c r="I85" s="44">
        <v>3000000.0</v>
      </c>
      <c r="J85" s="44">
        <v>1000000.0</v>
      </c>
      <c r="K85" s="45">
        <v>4000000.0</v>
      </c>
      <c r="L85" s="81" t="s">
        <v>300</v>
      </c>
      <c r="M85" s="17"/>
      <c r="N85" s="17"/>
      <c r="O85" s="12" t="s">
        <v>194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12">
        <v>61.0</v>
      </c>
      <c r="B86" s="82"/>
      <c r="C86" s="82"/>
      <c r="D86" s="82" t="s">
        <v>301</v>
      </c>
      <c r="E86" s="83" t="s">
        <v>302</v>
      </c>
      <c r="F86" s="55" t="s">
        <v>277</v>
      </c>
      <c r="G86" s="89"/>
      <c r="H86" s="43" t="s">
        <v>303</v>
      </c>
      <c r="I86" s="44">
        <v>0.0</v>
      </c>
      <c r="J86" s="44">
        <v>1000000.0</v>
      </c>
      <c r="K86" s="45">
        <v>1000000.0</v>
      </c>
      <c r="L86" s="81" t="s">
        <v>304</v>
      </c>
      <c r="M86" s="17"/>
      <c r="N86" s="17"/>
      <c r="O86" s="12" t="s">
        <v>194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12">
        <v>62.0</v>
      </c>
      <c r="B87" s="82"/>
      <c r="C87" s="82"/>
      <c r="D87" s="82" t="s">
        <v>305</v>
      </c>
      <c r="E87" s="83" t="s">
        <v>306</v>
      </c>
      <c r="F87" s="55" t="s">
        <v>307</v>
      </c>
      <c r="G87" s="89"/>
      <c r="H87" s="43">
        <v>1225.0</v>
      </c>
      <c r="I87" s="44">
        <v>0.0</v>
      </c>
      <c r="J87" s="44">
        <v>500000.0</v>
      </c>
      <c r="K87" s="45">
        <v>500000.0</v>
      </c>
      <c r="L87" s="81" t="s">
        <v>308</v>
      </c>
      <c r="M87" s="17"/>
      <c r="N87" s="17"/>
      <c r="O87" s="12" t="s">
        <v>194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12">
        <v>63.0</v>
      </c>
      <c r="B88" s="54"/>
      <c r="C88" s="54"/>
      <c r="D88" s="54" t="s">
        <v>309</v>
      </c>
      <c r="E88" s="41" t="s">
        <v>310</v>
      </c>
      <c r="F88" s="55" t="s">
        <v>191</v>
      </c>
      <c r="G88" s="89"/>
      <c r="H88" s="43" t="s">
        <v>311</v>
      </c>
      <c r="I88" s="44">
        <v>0.0</v>
      </c>
      <c r="J88" s="56">
        <v>1000000.0</v>
      </c>
      <c r="K88" s="45">
        <v>1000000.0</v>
      </c>
      <c r="L88" s="90" t="s">
        <v>312</v>
      </c>
      <c r="M88" s="17"/>
      <c r="N88" s="17"/>
      <c r="O88" s="12" t="s">
        <v>194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12">
        <v>64.0</v>
      </c>
      <c r="B89" s="82"/>
      <c r="C89" s="82"/>
      <c r="D89" s="82" t="s">
        <v>313</v>
      </c>
      <c r="E89" s="83" t="s">
        <v>314</v>
      </c>
      <c r="F89" s="55" t="s">
        <v>201</v>
      </c>
      <c r="G89" s="89"/>
      <c r="H89" s="43" t="s">
        <v>315</v>
      </c>
      <c r="I89" s="44">
        <v>0.0</v>
      </c>
      <c r="J89" s="56">
        <v>1000000.0</v>
      </c>
      <c r="K89" s="45">
        <v>1000000.0</v>
      </c>
      <c r="L89" s="81" t="s">
        <v>316</v>
      </c>
      <c r="M89" s="17"/>
      <c r="N89" s="17"/>
      <c r="O89" s="12" t="s">
        <v>194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12">
        <v>65.0</v>
      </c>
      <c r="B90" s="82"/>
      <c r="C90" s="82"/>
      <c r="D90" s="82" t="s">
        <v>317</v>
      </c>
      <c r="E90" s="83" t="s">
        <v>318</v>
      </c>
      <c r="F90" s="91" t="s">
        <v>201</v>
      </c>
      <c r="G90" s="91"/>
      <c r="H90" s="43" t="s">
        <v>319</v>
      </c>
      <c r="I90" s="44">
        <v>0.0</v>
      </c>
      <c r="J90" s="56">
        <v>1000000.0</v>
      </c>
      <c r="K90" s="45">
        <v>1000000.0</v>
      </c>
      <c r="L90" s="92" t="s">
        <v>320</v>
      </c>
      <c r="M90" s="17"/>
      <c r="N90" s="17"/>
      <c r="O90" s="12" t="s">
        <v>194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12">
        <v>66.0</v>
      </c>
      <c r="B91" s="82"/>
      <c r="C91" s="82"/>
      <c r="D91" s="82" t="s">
        <v>321</v>
      </c>
      <c r="E91" s="83" t="s">
        <v>322</v>
      </c>
      <c r="F91" s="42" t="s">
        <v>191</v>
      </c>
      <c r="G91" s="42"/>
      <c r="H91" s="43" t="s">
        <v>323</v>
      </c>
      <c r="I91" s="44">
        <v>0.0</v>
      </c>
      <c r="J91" s="56">
        <v>1000000.0</v>
      </c>
      <c r="K91" s="45">
        <v>1000000.0</v>
      </c>
      <c r="L91" s="81" t="s">
        <v>324</v>
      </c>
      <c r="M91" s="17"/>
      <c r="N91" s="17"/>
      <c r="O91" s="12" t="s">
        <v>194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12">
        <v>67.0</v>
      </c>
      <c r="B92" s="82"/>
      <c r="C92" s="82"/>
      <c r="D92" s="82" t="s">
        <v>325</v>
      </c>
      <c r="E92" s="83" t="s">
        <v>326</v>
      </c>
      <c r="F92" s="84" t="s">
        <v>191</v>
      </c>
      <c r="G92" s="84"/>
      <c r="H92" s="43" t="s">
        <v>327</v>
      </c>
      <c r="I92" s="44">
        <v>0.0</v>
      </c>
      <c r="J92" s="44">
        <v>500000.0</v>
      </c>
      <c r="K92" s="45">
        <v>500000.0</v>
      </c>
      <c r="L92" s="81" t="s">
        <v>328</v>
      </c>
      <c r="M92" s="17"/>
      <c r="N92" s="17"/>
      <c r="O92" s="12" t="s">
        <v>194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12">
        <v>68.0</v>
      </c>
      <c r="B93" s="82"/>
      <c r="C93" s="82"/>
      <c r="D93" s="82" t="s">
        <v>329</v>
      </c>
      <c r="E93" s="83" t="s">
        <v>330</v>
      </c>
      <c r="F93" s="84" t="s">
        <v>201</v>
      </c>
      <c r="G93" s="84"/>
      <c r="H93" s="43" t="s">
        <v>331</v>
      </c>
      <c r="I93" s="44">
        <v>0.0</v>
      </c>
      <c r="J93" s="56">
        <v>1000000.0</v>
      </c>
      <c r="K93" s="45">
        <v>1000000.0</v>
      </c>
      <c r="L93" s="81" t="s">
        <v>332</v>
      </c>
      <c r="M93" s="17"/>
      <c r="N93" s="17"/>
      <c r="O93" s="12" t="s">
        <v>194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12">
        <v>69.0</v>
      </c>
      <c r="B94" s="54"/>
      <c r="C94" s="54"/>
      <c r="D94" s="54" t="s">
        <v>333</v>
      </c>
      <c r="E94" s="41" t="s">
        <v>334</v>
      </c>
      <c r="F94" s="84"/>
      <c r="G94" s="84" t="s">
        <v>201</v>
      </c>
      <c r="H94" s="62"/>
      <c r="I94" s="44">
        <v>0.0</v>
      </c>
      <c r="J94" s="56">
        <v>1000000.0</v>
      </c>
      <c r="K94" s="45">
        <v>1000000.0</v>
      </c>
      <c r="L94" s="64" t="s">
        <v>335</v>
      </c>
      <c r="M94" s="17"/>
      <c r="N94" s="17"/>
      <c r="O94" s="12" t="s">
        <v>194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12">
        <v>70.0</v>
      </c>
      <c r="B95" s="86"/>
      <c r="C95" s="86"/>
      <c r="D95" s="86" t="s">
        <v>336</v>
      </c>
      <c r="E95" s="93" t="s">
        <v>337</v>
      </c>
      <c r="F95" s="84" t="s">
        <v>201</v>
      </c>
      <c r="G95" s="84"/>
      <c r="H95" s="43" t="s">
        <v>338</v>
      </c>
      <c r="I95" s="44">
        <v>0.0</v>
      </c>
      <c r="J95" s="56">
        <v>1000000.0</v>
      </c>
      <c r="K95" s="45">
        <v>1000000.0</v>
      </c>
      <c r="L95" s="85" t="s">
        <v>339</v>
      </c>
      <c r="M95" s="17"/>
      <c r="N95" s="17"/>
      <c r="O95" s="12" t="s">
        <v>194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12">
        <v>71.0</v>
      </c>
      <c r="B96" s="94"/>
      <c r="C96" s="94"/>
      <c r="D96" s="94" t="s">
        <v>340</v>
      </c>
      <c r="E96" s="95" t="s">
        <v>341</v>
      </c>
      <c r="F96" s="78"/>
      <c r="G96" s="96" t="s">
        <v>201</v>
      </c>
      <c r="H96" s="97"/>
      <c r="I96" s="16">
        <v>0.0</v>
      </c>
      <c r="J96" s="56">
        <v>1000000.0</v>
      </c>
      <c r="K96" s="45">
        <v>1000000.0</v>
      </c>
      <c r="L96" s="98" t="s">
        <v>342</v>
      </c>
      <c r="M96" s="17"/>
      <c r="N96" s="17"/>
      <c r="O96" s="1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12">
        <v>72.0</v>
      </c>
      <c r="B97" s="99"/>
      <c r="C97" s="99"/>
      <c r="D97" s="99" t="s">
        <v>343</v>
      </c>
      <c r="E97" s="100" t="s">
        <v>344</v>
      </c>
      <c r="F97" s="13">
        <v>1.0</v>
      </c>
      <c r="G97" s="17"/>
      <c r="H97" s="12" t="s">
        <v>345</v>
      </c>
      <c r="I97" s="15">
        <v>0.0</v>
      </c>
      <c r="J97" s="12">
        <v>500000.0</v>
      </c>
      <c r="K97" s="15">
        <v>500000.0</v>
      </c>
      <c r="L97" s="101" t="s">
        <v>346</v>
      </c>
      <c r="M97" s="17"/>
      <c r="N97" s="17"/>
      <c r="O97" s="12" t="s">
        <v>92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12">
        <v>73.0</v>
      </c>
      <c r="B98" s="102"/>
      <c r="C98" s="102"/>
      <c r="D98" s="102" t="s">
        <v>347</v>
      </c>
      <c r="E98" s="100" t="s">
        <v>172</v>
      </c>
      <c r="F98" s="13" t="s">
        <v>348</v>
      </c>
      <c r="G98" s="17"/>
      <c r="H98" s="12" t="s">
        <v>349</v>
      </c>
      <c r="I98" s="15">
        <v>1500000.0</v>
      </c>
      <c r="J98" s="12">
        <v>1000000.0</v>
      </c>
      <c r="K98" s="15">
        <v>2500000.0</v>
      </c>
      <c r="L98" s="103">
        <v>1.903562228201E13</v>
      </c>
      <c r="M98" s="12" t="s">
        <v>48</v>
      </c>
      <c r="N98" s="12" t="s">
        <v>350</v>
      </c>
      <c r="O98" s="12" t="s">
        <v>92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12">
        <v>74.0</v>
      </c>
      <c r="B99" s="102"/>
      <c r="C99" s="102"/>
      <c r="D99" s="102" t="s">
        <v>351</v>
      </c>
      <c r="E99" s="100" t="s">
        <v>352</v>
      </c>
      <c r="F99" s="13" t="s">
        <v>262</v>
      </c>
      <c r="G99" s="17"/>
      <c r="H99" s="12" t="s">
        <v>353</v>
      </c>
      <c r="I99" s="15">
        <v>1000000.0</v>
      </c>
      <c r="J99" s="12">
        <v>500000.0</v>
      </c>
      <c r="K99" s="15">
        <v>1500000.0</v>
      </c>
      <c r="L99" s="104" t="s">
        <v>354</v>
      </c>
      <c r="M99" s="12" t="s">
        <v>355</v>
      </c>
      <c r="N99" s="12" t="s">
        <v>356</v>
      </c>
      <c r="O99" s="12" t="s">
        <v>92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12">
        <v>75.0</v>
      </c>
      <c r="B100" s="105"/>
      <c r="C100" s="105"/>
      <c r="D100" s="105" t="s">
        <v>357</v>
      </c>
      <c r="E100" s="106" t="s">
        <v>358</v>
      </c>
      <c r="F100" s="13" t="s">
        <v>262</v>
      </c>
      <c r="G100" s="17"/>
      <c r="H100" s="12" t="s">
        <v>359</v>
      </c>
      <c r="I100" s="15">
        <v>0.0</v>
      </c>
      <c r="J100" s="12">
        <v>1000000.0</v>
      </c>
      <c r="K100" s="15">
        <v>1000000.0</v>
      </c>
      <c r="L100" s="107">
        <v>1.9035282198011E13</v>
      </c>
      <c r="M100" s="108" t="s">
        <v>48</v>
      </c>
      <c r="N100" s="12" t="s">
        <v>360</v>
      </c>
      <c r="O100" s="12" t="s">
        <v>92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12">
        <v>76.0</v>
      </c>
      <c r="B101" s="102"/>
      <c r="C101" s="102"/>
      <c r="D101" s="102" t="s">
        <v>361</v>
      </c>
      <c r="E101" s="100" t="s">
        <v>283</v>
      </c>
      <c r="F101" s="13" t="s">
        <v>362</v>
      </c>
      <c r="G101" s="17"/>
      <c r="H101" s="12" t="s">
        <v>363</v>
      </c>
      <c r="I101" s="15">
        <v>2000000.0</v>
      </c>
      <c r="J101" s="12">
        <v>1000000.0</v>
      </c>
      <c r="K101" s="15">
        <v>3000000.0</v>
      </c>
      <c r="L101" s="109" t="s">
        <v>364</v>
      </c>
      <c r="M101" s="12" t="s">
        <v>365</v>
      </c>
      <c r="N101" s="12" t="s">
        <v>366</v>
      </c>
      <c r="O101" s="12" t="s">
        <v>92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12">
        <v>77.0</v>
      </c>
      <c r="B102" s="110"/>
      <c r="C102" s="110"/>
      <c r="D102" s="110" t="s">
        <v>367</v>
      </c>
      <c r="E102" s="100" t="s">
        <v>368</v>
      </c>
      <c r="F102" s="13" t="s">
        <v>262</v>
      </c>
      <c r="G102" s="17"/>
      <c r="H102" s="12" t="s">
        <v>353</v>
      </c>
      <c r="I102" s="15">
        <v>1000000.0</v>
      </c>
      <c r="J102" s="12">
        <v>1000000.0</v>
      </c>
      <c r="K102" s="15">
        <v>2000000.0</v>
      </c>
      <c r="L102" s="111" t="s">
        <v>369</v>
      </c>
      <c r="M102" s="12" t="s">
        <v>365</v>
      </c>
      <c r="N102" s="12" t="s">
        <v>370</v>
      </c>
      <c r="O102" s="12" t="s">
        <v>92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12">
        <v>78.0</v>
      </c>
      <c r="B103" s="110"/>
      <c r="C103" s="110"/>
      <c r="D103" s="110" t="s">
        <v>371</v>
      </c>
      <c r="E103" s="100" t="s">
        <v>372</v>
      </c>
      <c r="F103" s="13" t="s">
        <v>262</v>
      </c>
      <c r="G103" s="17"/>
      <c r="H103" s="12" t="s">
        <v>116</v>
      </c>
      <c r="I103" s="15">
        <v>0.0</v>
      </c>
      <c r="J103" s="12">
        <v>1000000.0</v>
      </c>
      <c r="K103" s="15">
        <v>1000000.0</v>
      </c>
      <c r="L103" s="103">
        <v>1.9035536354017E13</v>
      </c>
      <c r="M103" s="12" t="s">
        <v>48</v>
      </c>
      <c r="N103" s="12" t="s">
        <v>373</v>
      </c>
      <c r="O103" s="12" t="s">
        <v>92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12">
        <v>79.0</v>
      </c>
      <c r="B104" s="112"/>
      <c r="C104" s="112"/>
      <c r="D104" s="112" t="s">
        <v>374</v>
      </c>
      <c r="E104" s="106" t="s">
        <v>375</v>
      </c>
      <c r="F104" s="13" t="s">
        <v>262</v>
      </c>
      <c r="G104" s="17"/>
      <c r="H104" s="12" t="s">
        <v>368</v>
      </c>
      <c r="I104" s="15">
        <v>1000000.0</v>
      </c>
      <c r="J104" s="12">
        <v>1000000.0</v>
      </c>
      <c r="K104" s="15">
        <v>1000000.0</v>
      </c>
      <c r="L104" s="107">
        <v>1.231000094475E13</v>
      </c>
      <c r="M104" s="12" t="s">
        <v>90</v>
      </c>
      <c r="N104" s="12" t="s">
        <v>376</v>
      </c>
      <c r="O104" s="12" t="s">
        <v>92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12">
        <v>80.0</v>
      </c>
      <c r="B105" s="112"/>
      <c r="C105" s="112"/>
      <c r="D105" s="112" t="s">
        <v>377</v>
      </c>
      <c r="E105" s="106" t="s">
        <v>378</v>
      </c>
      <c r="F105" s="17"/>
      <c r="G105" s="13" t="s">
        <v>110</v>
      </c>
      <c r="H105" s="17"/>
      <c r="I105" s="15">
        <v>0.0</v>
      </c>
      <c r="J105" s="12">
        <v>500000.0</v>
      </c>
      <c r="K105" s="15">
        <v>500000.0</v>
      </c>
      <c r="L105" s="107">
        <v>6.3510000782907E13</v>
      </c>
      <c r="M105" s="12" t="s">
        <v>90</v>
      </c>
      <c r="N105" s="12" t="s">
        <v>379</v>
      </c>
      <c r="O105" s="12" t="s">
        <v>92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12">
        <v>81.0</v>
      </c>
      <c r="B106" s="105"/>
      <c r="C106" s="105"/>
      <c r="D106" s="105" t="s">
        <v>380</v>
      </c>
      <c r="E106" s="106" t="s">
        <v>381</v>
      </c>
      <c r="F106" s="13">
        <v>1.0</v>
      </c>
      <c r="G106" s="17"/>
      <c r="H106" s="12" t="s">
        <v>382</v>
      </c>
      <c r="I106" s="15">
        <v>0.0</v>
      </c>
      <c r="J106" s="12">
        <v>500000.0</v>
      </c>
      <c r="K106" s="15">
        <v>500000.0</v>
      </c>
      <c r="L106" s="113" t="s">
        <v>383</v>
      </c>
      <c r="M106" s="12" t="s">
        <v>19</v>
      </c>
      <c r="N106" s="12" t="s">
        <v>384</v>
      </c>
      <c r="O106" s="12" t="s">
        <v>92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12">
        <v>82.0</v>
      </c>
      <c r="B107" s="112"/>
      <c r="C107" s="112"/>
      <c r="D107" s="112" t="s">
        <v>385</v>
      </c>
      <c r="E107" s="106" t="s">
        <v>386</v>
      </c>
      <c r="F107" s="13" t="s">
        <v>387</v>
      </c>
      <c r="G107" s="13" t="s">
        <v>110</v>
      </c>
      <c r="H107" s="12" t="s">
        <v>388</v>
      </c>
      <c r="I107" s="15">
        <v>2500000.0</v>
      </c>
      <c r="J107" s="12">
        <v>500000.0</v>
      </c>
      <c r="K107" s="15">
        <v>3000000.0</v>
      </c>
      <c r="L107" s="103">
        <v>6.36704060047733E14</v>
      </c>
      <c r="M107" s="12" t="s">
        <v>389</v>
      </c>
      <c r="N107" s="12" t="s">
        <v>390</v>
      </c>
      <c r="O107" s="12" t="s">
        <v>92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12">
        <v>83.0</v>
      </c>
      <c r="B108" s="112"/>
      <c r="C108" s="112"/>
      <c r="D108" s="112" t="s">
        <v>391</v>
      </c>
      <c r="E108" s="106" t="s">
        <v>392</v>
      </c>
      <c r="F108" s="13" t="s">
        <v>393</v>
      </c>
      <c r="G108" s="17"/>
      <c r="H108" s="12" t="s">
        <v>394</v>
      </c>
      <c r="I108" s="15">
        <v>1.7E7</v>
      </c>
      <c r="J108" s="12">
        <v>1000000.0</v>
      </c>
      <c r="K108" s="15">
        <v>1.8E7</v>
      </c>
      <c r="L108" s="114" t="s">
        <v>395</v>
      </c>
      <c r="M108" s="12" t="s">
        <v>19</v>
      </c>
      <c r="N108" s="12" t="s">
        <v>396</v>
      </c>
      <c r="O108" s="12" t="s">
        <v>92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12">
        <v>84.0</v>
      </c>
      <c r="B109" s="115"/>
      <c r="C109" s="115"/>
      <c r="D109" s="115" t="s">
        <v>397</v>
      </c>
      <c r="E109" s="12" t="s">
        <v>398</v>
      </c>
      <c r="F109" s="13" t="s">
        <v>307</v>
      </c>
      <c r="G109" s="17"/>
      <c r="H109" s="12" t="s">
        <v>399</v>
      </c>
      <c r="I109" s="15">
        <v>0.0</v>
      </c>
      <c r="J109" s="12">
        <v>1000000.0</v>
      </c>
      <c r="K109" s="15">
        <v>1000000.0</v>
      </c>
      <c r="L109" s="12" t="s">
        <v>400</v>
      </c>
      <c r="M109" s="12" t="s">
        <v>187</v>
      </c>
      <c r="N109" s="12" t="s">
        <v>397</v>
      </c>
      <c r="O109" s="12" t="s">
        <v>92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12">
        <v>85.0</v>
      </c>
      <c r="B110" s="115"/>
      <c r="C110" s="115"/>
      <c r="D110" s="115" t="s">
        <v>401</v>
      </c>
      <c r="E110" s="115" t="s">
        <v>402</v>
      </c>
      <c r="F110" s="116" t="s">
        <v>307</v>
      </c>
      <c r="G110" s="117"/>
      <c r="H110" s="115" t="s">
        <v>403</v>
      </c>
      <c r="I110" s="118">
        <v>0.0</v>
      </c>
      <c r="J110" s="115">
        <v>500000.0</v>
      </c>
      <c r="K110" s="118">
        <v>500000.0</v>
      </c>
      <c r="L110" s="115">
        <v>1.9033610635012E13</v>
      </c>
      <c r="M110" s="115" t="s">
        <v>48</v>
      </c>
      <c r="N110" s="115" t="s">
        <v>404</v>
      </c>
      <c r="O110" s="115" t="s">
        <v>92</v>
      </c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</row>
    <row r="111">
      <c r="A111" s="12">
        <v>86.0</v>
      </c>
      <c r="B111" s="6"/>
      <c r="C111" s="6"/>
      <c r="D111" s="119" t="s">
        <v>405</v>
      </c>
      <c r="E111" s="6"/>
      <c r="F111" s="6"/>
      <c r="G111" s="6"/>
      <c r="H111" s="6"/>
      <c r="I111" s="120"/>
      <c r="J111" s="6"/>
      <c r="K111" s="120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12">
        <v>87.0</v>
      </c>
      <c r="B112" s="6"/>
      <c r="C112" s="6"/>
      <c r="D112" s="6"/>
      <c r="E112" s="6"/>
      <c r="F112" s="6"/>
      <c r="G112" s="6"/>
      <c r="H112" s="6"/>
      <c r="I112" s="120"/>
      <c r="J112" s="6"/>
      <c r="K112" s="120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12">
        <v>88.0</v>
      </c>
      <c r="B113" s="6"/>
      <c r="C113" s="6"/>
      <c r="D113" s="6"/>
      <c r="E113" s="6"/>
      <c r="F113" s="6"/>
      <c r="G113" s="6"/>
      <c r="H113" s="6"/>
      <c r="I113" s="120"/>
      <c r="J113" s="6"/>
      <c r="K113" s="120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12">
        <v>89.0</v>
      </c>
      <c r="B114" s="6"/>
      <c r="C114" s="6"/>
      <c r="D114" s="6"/>
      <c r="E114" s="6"/>
      <c r="F114" s="6"/>
      <c r="G114" s="6"/>
      <c r="H114" s="6"/>
      <c r="I114" s="120"/>
      <c r="J114" s="6"/>
      <c r="K114" s="120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12">
        <v>90.0</v>
      </c>
      <c r="B115" s="6"/>
      <c r="C115" s="6"/>
      <c r="D115" s="6"/>
      <c r="E115" s="6"/>
      <c r="F115" s="6"/>
      <c r="G115" s="6"/>
      <c r="H115" s="6"/>
      <c r="I115" s="120"/>
      <c r="J115" s="6"/>
      <c r="K115" s="120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12">
        <v>91.0</v>
      </c>
      <c r="B116" s="6"/>
      <c r="C116" s="6"/>
      <c r="D116" s="6"/>
      <c r="E116" s="6"/>
      <c r="F116" s="6"/>
      <c r="G116" s="6"/>
      <c r="H116" s="6"/>
      <c r="I116" s="120"/>
      <c r="J116" s="6"/>
      <c r="K116" s="120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12">
        <v>92.0</v>
      </c>
      <c r="B117" s="6"/>
      <c r="C117" s="6"/>
      <c r="D117" s="6"/>
      <c r="E117" s="6"/>
      <c r="F117" s="6"/>
      <c r="G117" s="6"/>
      <c r="H117" s="6"/>
      <c r="I117" s="120"/>
      <c r="J117" s="6"/>
      <c r="K117" s="120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12">
        <v>93.0</v>
      </c>
      <c r="B118" s="6"/>
      <c r="C118" s="6"/>
      <c r="D118" s="6"/>
      <c r="E118" s="6"/>
      <c r="F118" s="6"/>
      <c r="G118" s="6"/>
      <c r="H118" s="6"/>
      <c r="I118" s="120"/>
      <c r="J118" s="6"/>
      <c r="K118" s="120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12">
        <v>94.0</v>
      </c>
      <c r="B119" s="6"/>
      <c r="C119" s="6"/>
      <c r="D119" s="6"/>
      <c r="E119" s="6"/>
      <c r="F119" s="6"/>
      <c r="G119" s="6"/>
      <c r="H119" s="6"/>
      <c r="I119" s="120"/>
      <c r="J119" s="6"/>
      <c r="K119" s="120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12">
        <v>95.0</v>
      </c>
      <c r="B120" s="6"/>
      <c r="C120" s="6"/>
      <c r="D120" s="6"/>
      <c r="E120" s="6"/>
      <c r="F120" s="6"/>
      <c r="G120" s="6"/>
      <c r="H120" s="6"/>
      <c r="I120" s="120"/>
      <c r="J120" s="6"/>
      <c r="K120" s="120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12">
        <v>96.0</v>
      </c>
      <c r="B121" s="6"/>
      <c r="C121" s="6"/>
      <c r="D121" s="6"/>
      <c r="E121" s="6"/>
      <c r="F121" s="6"/>
      <c r="G121" s="6"/>
      <c r="H121" s="6"/>
      <c r="I121" s="120"/>
      <c r="J121" s="6"/>
      <c r="K121" s="120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12">
        <v>97.0</v>
      </c>
      <c r="B122" s="6"/>
      <c r="C122" s="6"/>
      <c r="D122" s="6"/>
      <c r="E122" s="6"/>
      <c r="F122" s="6"/>
      <c r="G122" s="6"/>
      <c r="H122" s="6"/>
      <c r="I122" s="120"/>
      <c r="J122" s="6"/>
      <c r="K122" s="120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12">
        <v>98.0</v>
      </c>
      <c r="B123" s="6"/>
      <c r="C123" s="6"/>
      <c r="D123" s="6"/>
      <c r="E123" s="6"/>
      <c r="F123" s="6"/>
      <c r="G123" s="6"/>
      <c r="H123" s="6"/>
      <c r="I123" s="120"/>
      <c r="J123" s="6"/>
      <c r="K123" s="120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12">
        <v>99.0</v>
      </c>
      <c r="B124" s="6"/>
      <c r="C124" s="6"/>
      <c r="D124" s="6"/>
      <c r="E124" s="6"/>
      <c r="F124" s="6"/>
      <c r="G124" s="6"/>
      <c r="H124" s="6"/>
      <c r="I124" s="120"/>
      <c r="J124" s="6"/>
      <c r="K124" s="120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12">
        <v>100.0</v>
      </c>
      <c r="B125" s="6"/>
      <c r="C125" s="6"/>
      <c r="D125" s="6"/>
      <c r="E125" s="6"/>
      <c r="F125" s="6"/>
      <c r="G125" s="6"/>
      <c r="H125" s="6"/>
      <c r="I125" s="120"/>
      <c r="J125" s="6"/>
      <c r="K125" s="120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12">
        <v>101.0</v>
      </c>
      <c r="B126" s="6"/>
      <c r="C126" s="6"/>
      <c r="D126" s="6"/>
      <c r="E126" s="6"/>
      <c r="F126" s="6"/>
      <c r="G126" s="6"/>
      <c r="H126" s="6"/>
      <c r="I126" s="120"/>
      <c r="J126" s="6"/>
      <c r="K126" s="120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12">
        <v>102.0</v>
      </c>
      <c r="B127" s="6"/>
      <c r="C127" s="6"/>
      <c r="D127" s="6"/>
      <c r="E127" s="6"/>
      <c r="F127" s="6"/>
      <c r="G127" s="6"/>
      <c r="H127" s="6"/>
      <c r="I127" s="120"/>
      <c r="J127" s="6"/>
      <c r="K127" s="120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120"/>
      <c r="J128" s="6"/>
      <c r="K128" s="120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120"/>
      <c r="J129" s="6"/>
      <c r="K129" s="120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120"/>
      <c r="J130" s="6"/>
      <c r="K130" s="120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120"/>
      <c r="J131" s="6"/>
      <c r="K131" s="120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120"/>
      <c r="J132" s="6"/>
      <c r="K132" s="120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120"/>
      <c r="J133" s="6"/>
      <c r="K133" s="120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120"/>
      <c r="J134" s="6"/>
      <c r="K134" s="120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120"/>
      <c r="J135" s="6"/>
      <c r="K135" s="120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120"/>
      <c r="J136" s="6"/>
      <c r="K136" s="120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120"/>
      <c r="J137" s="6"/>
      <c r="K137" s="120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120"/>
      <c r="J138" s="6"/>
      <c r="K138" s="120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120"/>
      <c r="J139" s="6"/>
      <c r="K139" s="120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120"/>
      <c r="J140" s="6"/>
      <c r="K140" s="120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120"/>
      <c r="J141" s="6"/>
      <c r="K141" s="120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120"/>
      <c r="J142" s="6"/>
      <c r="K142" s="120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120"/>
      <c r="J143" s="6"/>
      <c r="K143" s="120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120"/>
      <c r="J144" s="6"/>
      <c r="K144" s="120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120"/>
      <c r="J145" s="6"/>
      <c r="K145" s="120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120"/>
      <c r="J146" s="6"/>
      <c r="K146" s="120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120"/>
      <c r="J147" s="6"/>
      <c r="K147" s="120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120"/>
      <c r="J148" s="6"/>
      <c r="K148" s="120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120"/>
      <c r="J149" s="6"/>
      <c r="K149" s="120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120"/>
      <c r="J150" s="6"/>
      <c r="K150" s="120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120"/>
      <c r="J151" s="6"/>
      <c r="K151" s="120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120"/>
      <c r="J152" s="6"/>
      <c r="K152" s="120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120"/>
      <c r="J153" s="6"/>
      <c r="K153" s="120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120"/>
      <c r="J154" s="6"/>
      <c r="K154" s="120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120"/>
      <c r="J155" s="6"/>
      <c r="K155" s="120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120"/>
      <c r="J156" s="6"/>
      <c r="K156" s="120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120"/>
      <c r="J157" s="6"/>
      <c r="K157" s="120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120"/>
      <c r="J158" s="6"/>
      <c r="K158" s="120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120"/>
      <c r="J159" s="6"/>
      <c r="K159" s="120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120"/>
      <c r="J160" s="6"/>
      <c r="K160" s="120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120"/>
      <c r="J161" s="6"/>
      <c r="K161" s="120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120"/>
      <c r="J162" s="6"/>
      <c r="K162" s="120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120"/>
      <c r="J163" s="6"/>
      <c r="K163" s="120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120"/>
      <c r="J164" s="6"/>
      <c r="K164" s="120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120"/>
      <c r="J165" s="6"/>
      <c r="K165" s="120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120"/>
      <c r="J166" s="6"/>
      <c r="K166" s="120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120"/>
      <c r="J167" s="6"/>
      <c r="K167" s="120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120"/>
      <c r="J168" s="6"/>
      <c r="K168" s="120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120"/>
      <c r="J169" s="6"/>
      <c r="K169" s="120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120"/>
      <c r="J170" s="6"/>
      <c r="K170" s="120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120"/>
      <c r="J171" s="6"/>
      <c r="K171" s="120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120"/>
      <c r="J172" s="6"/>
      <c r="K172" s="120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120"/>
      <c r="J173" s="6"/>
      <c r="K173" s="120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120"/>
      <c r="J174" s="6"/>
      <c r="K174" s="120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120"/>
      <c r="J175" s="6"/>
      <c r="K175" s="120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120"/>
      <c r="J176" s="6"/>
      <c r="K176" s="120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120"/>
      <c r="J177" s="6"/>
      <c r="K177" s="120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120"/>
      <c r="J178" s="6"/>
      <c r="K178" s="120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120"/>
      <c r="J179" s="6"/>
      <c r="K179" s="120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120"/>
      <c r="J180" s="6"/>
      <c r="K180" s="120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120"/>
      <c r="J181" s="6"/>
      <c r="K181" s="120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120"/>
      <c r="J182" s="6"/>
      <c r="K182" s="120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120"/>
      <c r="J183" s="6"/>
      <c r="K183" s="120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120"/>
      <c r="J184" s="6"/>
      <c r="K184" s="120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120"/>
      <c r="J185" s="6"/>
      <c r="K185" s="120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120"/>
      <c r="J186" s="6"/>
      <c r="K186" s="120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120"/>
      <c r="J187" s="6"/>
      <c r="K187" s="120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120"/>
      <c r="J188" s="6"/>
      <c r="K188" s="120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120"/>
      <c r="J189" s="6"/>
      <c r="K189" s="120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120"/>
      <c r="J190" s="6"/>
      <c r="K190" s="120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120"/>
      <c r="J191" s="6"/>
      <c r="K191" s="120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120"/>
      <c r="J192" s="6"/>
      <c r="K192" s="120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120"/>
      <c r="J193" s="6"/>
      <c r="K193" s="120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120"/>
      <c r="J194" s="6"/>
      <c r="K194" s="120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120"/>
      <c r="J195" s="6"/>
      <c r="K195" s="120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120"/>
      <c r="J196" s="6"/>
      <c r="K196" s="120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120"/>
      <c r="J197" s="6"/>
      <c r="K197" s="120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120"/>
      <c r="J198" s="6"/>
      <c r="K198" s="120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120"/>
      <c r="J199" s="6"/>
      <c r="K199" s="120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120"/>
      <c r="J200" s="6"/>
      <c r="K200" s="120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120"/>
      <c r="J201" s="6"/>
      <c r="K201" s="120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120"/>
      <c r="J202" s="6"/>
      <c r="K202" s="120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120"/>
      <c r="J203" s="6"/>
      <c r="K203" s="120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120"/>
      <c r="J204" s="6"/>
      <c r="K204" s="120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120"/>
      <c r="J205" s="6"/>
      <c r="K205" s="120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120"/>
      <c r="J206" s="6"/>
      <c r="K206" s="120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120"/>
      <c r="J207" s="6"/>
      <c r="K207" s="120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120"/>
      <c r="J208" s="6"/>
      <c r="K208" s="120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120"/>
      <c r="J209" s="6"/>
      <c r="K209" s="120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120"/>
      <c r="J210" s="6"/>
      <c r="K210" s="120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120"/>
      <c r="J211" s="6"/>
      <c r="K211" s="120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120"/>
      <c r="J212" s="6"/>
      <c r="K212" s="120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120"/>
      <c r="J213" s="6"/>
      <c r="K213" s="120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120"/>
      <c r="J214" s="6"/>
      <c r="K214" s="120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120"/>
      <c r="J215" s="6"/>
      <c r="K215" s="120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120"/>
      <c r="J216" s="6"/>
      <c r="K216" s="120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120"/>
      <c r="J217" s="6"/>
      <c r="K217" s="120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120"/>
      <c r="J218" s="6"/>
      <c r="K218" s="120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120"/>
      <c r="J219" s="6"/>
      <c r="K219" s="120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120"/>
      <c r="J220" s="6"/>
      <c r="K220" s="120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120"/>
      <c r="J221" s="6"/>
      <c r="K221" s="120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120"/>
      <c r="J222" s="6"/>
      <c r="K222" s="120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120"/>
      <c r="J223" s="6"/>
      <c r="K223" s="120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120"/>
      <c r="J224" s="6"/>
      <c r="K224" s="120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120"/>
      <c r="J225" s="6"/>
      <c r="K225" s="120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120"/>
      <c r="J226" s="6"/>
      <c r="K226" s="120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120"/>
      <c r="J227" s="6"/>
      <c r="K227" s="120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120"/>
      <c r="J228" s="6"/>
      <c r="K228" s="120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120"/>
      <c r="J229" s="6"/>
      <c r="K229" s="120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120"/>
      <c r="J230" s="6"/>
      <c r="K230" s="120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120"/>
      <c r="J231" s="6"/>
      <c r="K231" s="120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120"/>
      <c r="J232" s="6"/>
      <c r="K232" s="120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120"/>
      <c r="J233" s="6"/>
      <c r="K233" s="120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120"/>
      <c r="J234" s="6"/>
      <c r="K234" s="120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120"/>
      <c r="J235" s="6"/>
      <c r="K235" s="120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120"/>
      <c r="J236" s="6"/>
      <c r="K236" s="120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120"/>
      <c r="J237" s="6"/>
      <c r="K237" s="120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120"/>
      <c r="J238" s="6"/>
      <c r="K238" s="120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120"/>
      <c r="J239" s="6"/>
      <c r="K239" s="120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120"/>
      <c r="J240" s="6"/>
      <c r="K240" s="120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120"/>
      <c r="J241" s="6"/>
      <c r="K241" s="120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120"/>
      <c r="J242" s="6"/>
      <c r="K242" s="120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120"/>
      <c r="J243" s="6"/>
      <c r="K243" s="120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120"/>
      <c r="J244" s="6"/>
      <c r="K244" s="120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120"/>
      <c r="J245" s="6"/>
      <c r="K245" s="120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120"/>
      <c r="J246" s="6"/>
      <c r="K246" s="120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120"/>
      <c r="J247" s="6"/>
      <c r="K247" s="120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120"/>
      <c r="J248" s="6"/>
      <c r="K248" s="120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120"/>
      <c r="J249" s="6"/>
      <c r="K249" s="120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120"/>
      <c r="J250" s="6"/>
      <c r="K250" s="120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120"/>
      <c r="J251" s="6"/>
      <c r="K251" s="120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120"/>
      <c r="J252" s="6"/>
      <c r="K252" s="120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120"/>
      <c r="J253" s="6"/>
      <c r="K253" s="120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120"/>
      <c r="J254" s="6"/>
      <c r="K254" s="120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120"/>
      <c r="J255" s="6"/>
      <c r="K255" s="120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120"/>
      <c r="J256" s="6"/>
      <c r="K256" s="120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120"/>
      <c r="J257" s="6"/>
      <c r="K257" s="120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120"/>
      <c r="J258" s="6"/>
      <c r="K258" s="120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120"/>
      <c r="J259" s="6"/>
      <c r="K259" s="120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120"/>
      <c r="J260" s="6"/>
      <c r="K260" s="120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120"/>
      <c r="J261" s="6"/>
      <c r="K261" s="120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120"/>
      <c r="J262" s="6"/>
      <c r="K262" s="120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120"/>
      <c r="J263" s="6"/>
      <c r="K263" s="120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120"/>
      <c r="J264" s="6"/>
      <c r="K264" s="120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120"/>
      <c r="J265" s="6"/>
      <c r="K265" s="120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120"/>
      <c r="J266" s="6"/>
      <c r="K266" s="120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120"/>
      <c r="J267" s="6"/>
      <c r="K267" s="120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120"/>
      <c r="J268" s="6"/>
      <c r="K268" s="120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120"/>
      <c r="J269" s="6"/>
      <c r="K269" s="120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120"/>
      <c r="J270" s="6"/>
      <c r="K270" s="120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120"/>
      <c r="J271" s="6"/>
      <c r="K271" s="120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120"/>
      <c r="J272" s="6"/>
      <c r="K272" s="120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120"/>
      <c r="J273" s="6"/>
      <c r="K273" s="120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120"/>
      <c r="J274" s="6"/>
      <c r="K274" s="120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120"/>
      <c r="J275" s="6"/>
      <c r="K275" s="120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120"/>
      <c r="J276" s="6"/>
      <c r="K276" s="120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120"/>
      <c r="J277" s="6"/>
      <c r="K277" s="120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120"/>
      <c r="J278" s="6"/>
      <c r="K278" s="120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120"/>
      <c r="J279" s="6"/>
      <c r="K279" s="120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120"/>
      <c r="J280" s="6"/>
      <c r="K280" s="120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120"/>
      <c r="J281" s="6"/>
      <c r="K281" s="120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120"/>
      <c r="J282" s="6"/>
      <c r="K282" s="120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120"/>
      <c r="J283" s="6"/>
      <c r="K283" s="120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120"/>
      <c r="J284" s="6"/>
      <c r="K284" s="120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120"/>
      <c r="J285" s="6"/>
      <c r="K285" s="120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120"/>
      <c r="J286" s="6"/>
      <c r="K286" s="120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120"/>
      <c r="J287" s="6"/>
      <c r="K287" s="120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120"/>
      <c r="J288" s="6"/>
      <c r="K288" s="120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120"/>
      <c r="J289" s="6"/>
      <c r="K289" s="120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120"/>
      <c r="J290" s="6"/>
      <c r="K290" s="120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120"/>
      <c r="J291" s="6"/>
      <c r="K291" s="120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120"/>
      <c r="J292" s="6"/>
      <c r="K292" s="120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120"/>
      <c r="J293" s="6"/>
      <c r="K293" s="120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120"/>
      <c r="J294" s="6"/>
      <c r="K294" s="120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120"/>
      <c r="J295" s="6"/>
      <c r="K295" s="120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120"/>
      <c r="J296" s="6"/>
      <c r="K296" s="120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120"/>
      <c r="J297" s="6"/>
      <c r="K297" s="120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120"/>
      <c r="J298" s="6"/>
      <c r="K298" s="120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120"/>
      <c r="J299" s="6"/>
      <c r="K299" s="120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120"/>
      <c r="J300" s="6"/>
      <c r="K300" s="120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120"/>
      <c r="J301" s="6"/>
      <c r="K301" s="120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120"/>
      <c r="J302" s="6"/>
      <c r="K302" s="120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120"/>
      <c r="J303" s="6"/>
      <c r="K303" s="120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120"/>
      <c r="J304" s="6"/>
      <c r="K304" s="120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120"/>
      <c r="J305" s="6"/>
      <c r="K305" s="120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120"/>
      <c r="J306" s="6"/>
      <c r="K306" s="120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120"/>
      <c r="J307" s="6"/>
      <c r="K307" s="120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120"/>
      <c r="J308" s="6"/>
      <c r="K308" s="120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120"/>
      <c r="J309" s="6"/>
      <c r="K309" s="120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120"/>
      <c r="J310" s="6"/>
      <c r="K310" s="120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120"/>
      <c r="J311" s="6"/>
      <c r="K311" s="120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120"/>
      <c r="J312" s="6"/>
      <c r="K312" s="120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120"/>
      <c r="J313" s="6"/>
      <c r="K313" s="120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120"/>
      <c r="J314" s="6"/>
      <c r="K314" s="120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120"/>
      <c r="J315" s="6"/>
      <c r="K315" s="120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120"/>
      <c r="J316" s="6"/>
      <c r="K316" s="120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120"/>
      <c r="J317" s="6"/>
      <c r="K317" s="120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120"/>
      <c r="J318" s="6"/>
      <c r="K318" s="120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120"/>
      <c r="J319" s="6"/>
      <c r="K319" s="120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120"/>
      <c r="J320" s="6"/>
      <c r="K320" s="120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120"/>
      <c r="J321" s="6"/>
      <c r="K321" s="120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120"/>
      <c r="J322" s="6"/>
      <c r="K322" s="120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120"/>
      <c r="J323" s="6"/>
      <c r="K323" s="120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120"/>
      <c r="J324" s="6"/>
      <c r="K324" s="120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120"/>
      <c r="J325" s="6"/>
      <c r="K325" s="120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120"/>
      <c r="J326" s="6"/>
      <c r="K326" s="120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120"/>
      <c r="J327" s="6"/>
      <c r="K327" s="120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120"/>
      <c r="J328" s="6"/>
      <c r="K328" s="120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120"/>
      <c r="J329" s="6"/>
      <c r="K329" s="120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120"/>
      <c r="J330" s="6"/>
      <c r="K330" s="120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120"/>
      <c r="J331" s="6"/>
      <c r="K331" s="120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120"/>
      <c r="J332" s="6"/>
      <c r="K332" s="120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120"/>
      <c r="J333" s="6"/>
      <c r="K333" s="120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120"/>
      <c r="J334" s="6"/>
      <c r="K334" s="120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120"/>
      <c r="J335" s="6"/>
      <c r="K335" s="120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120"/>
      <c r="J336" s="6"/>
      <c r="K336" s="120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120"/>
      <c r="J337" s="6"/>
      <c r="K337" s="120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120"/>
      <c r="J338" s="6"/>
      <c r="K338" s="120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120"/>
      <c r="J339" s="6"/>
      <c r="K339" s="120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120"/>
      <c r="J340" s="6"/>
      <c r="K340" s="120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120"/>
      <c r="J341" s="6"/>
      <c r="K341" s="120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120"/>
      <c r="J342" s="6"/>
      <c r="K342" s="120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120"/>
      <c r="J343" s="6"/>
      <c r="K343" s="120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120"/>
      <c r="J344" s="6"/>
      <c r="K344" s="120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120"/>
      <c r="J345" s="6"/>
      <c r="K345" s="120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120"/>
      <c r="J346" s="6"/>
      <c r="K346" s="120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120"/>
      <c r="J347" s="6"/>
      <c r="K347" s="120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120"/>
      <c r="J348" s="6"/>
      <c r="K348" s="120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120"/>
      <c r="J349" s="6"/>
      <c r="K349" s="120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120"/>
      <c r="J350" s="6"/>
      <c r="K350" s="120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120"/>
      <c r="J351" s="6"/>
      <c r="K351" s="120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120"/>
      <c r="J352" s="6"/>
      <c r="K352" s="120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120"/>
      <c r="J353" s="6"/>
      <c r="K353" s="120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120"/>
      <c r="J354" s="6"/>
      <c r="K354" s="120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120"/>
      <c r="J355" s="6"/>
      <c r="K355" s="120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120"/>
      <c r="J356" s="6"/>
      <c r="K356" s="120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120"/>
      <c r="J357" s="6"/>
      <c r="K357" s="120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120"/>
      <c r="J358" s="6"/>
      <c r="K358" s="120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120"/>
      <c r="J359" s="6"/>
      <c r="K359" s="120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120"/>
      <c r="J360" s="6"/>
      <c r="K360" s="120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120"/>
      <c r="J361" s="6"/>
      <c r="K361" s="120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120"/>
      <c r="J362" s="6"/>
      <c r="K362" s="120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120"/>
      <c r="J363" s="6"/>
      <c r="K363" s="120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120"/>
      <c r="J364" s="6"/>
      <c r="K364" s="120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120"/>
      <c r="J365" s="6"/>
      <c r="K365" s="120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120"/>
      <c r="J366" s="6"/>
      <c r="K366" s="120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120"/>
      <c r="J367" s="6"/>
      <c r="K367" s="120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120"/>
      <c r="J368" s="6"/>
      <c r="K368" s="120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120"/>
      <c r="J369" s="6"/>
      <c r="K369" s="120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120"/>
      <c r="J370" s="6"/>
      <c r="K370" s="120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120"/>
      <c r="J371" s="6"/>
      <c r="K371" s="120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120"/>
      <c r="J372" s="6"/>
      <c r="K372" s="120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120"/>
      <c r="J373" s="6"/>
      <c r="K373" s="120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120"/>
      <c r="J374" s="6"/>
      <c r="K374" s="120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120"/>
      <c r="J375" s="6"/>
      <c r="K375" s="120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120"/>
      <c r="J376" s="6"/>
      <c r="K376" s="120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120"/>
      <c r="J377" s="6"/>
      <c r="K377" s="120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120"/>
      <c r="J378" s="6"/>
      <c r="K378" s="120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120"/>
      <c r="J379" s="6"/>
      <c r="K379" s="120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120"/>
      <c r="J380" s="6"/>
      <c r="K380" s="120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120"/>
      <c r="J381" s="6"/>
      <c r="K381" s="120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120"/>
      <c r="J382" s="6"/>
      <c r="K382" s="120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120"/>
      <c r="J383" s="6"/>
      <c r="K383" s="120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120"/>
      <c r="J384" s="6"/>
      <c r="K384" s="120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120"/>
      <c r="J385" s="6"/>
      <c r="K385" s="120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120"/>
      <c r="J386" s="6"/>
      <c r="K386" s="120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120"/>
      <c r="J387" s="6"/>
      <c r="K387" s="120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120"/>
      <c r="J388" s="6"/>
      <c r="K388" s="120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120"/>
      <c r="J389" s="6"/>
      <c r="K389" s="120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120"/>
      <c r="J390" s="6"/>
      <c r="K390" s="120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120"/>
      <c r="J391" s="6"/>
      <c r="K391" s="120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120"/>
      <c r="J392" s="6"/>
      <c r="K392" s="120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120"/>
      <c r="J393" s="6"/>
      <c r="K393" s="120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120"/>
      <c r="J394" s="6"/>
      <c r="K394" s="120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120"/>
      <c r="J395" s="6"/>
      <c r="K395" s="120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120"/>
      <c r="J396" s="6"/>
      <c r="K396" s="120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120"/>
      <c r="J397" s="6"/>
      <c r="K397" s="120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120"/>
      <c r="J398" s="6"/>
      <c r="K398" s="120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120"/>
      <c r="J399" s="6"/>
      <c r="K399" s="120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120"/>
      <c r="J400" s="6"/>
      <c r="K400" s="120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120"/>
      <c r="J401" s="6"/>
      <c r="K401" s="120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120"/>
      <c r="J402" s="6"/>
      <c r="K402" s="120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120"/>
      <c r="J403" s="6"/>
      <c r="K403" s="120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120"/>
      <c r="J404" s="6"/>
      <c r="K404" s="120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120"/>
      <c r="J405" s="6"/>
      <c r="K405" s="120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120"/>
      <c r="J406" s="6"/>
      <c r="K406" s="120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120"/>
      <c r="J407" s="6"/>
      <c r="K407" s="120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120"/>
      <c r="J408" s="6"/>
      <c r="K408" s="120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120"/>
      <c r="J409" s="6"/>
      <c r="K409" s="120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120"/>
      <c r="J410" s="6"/>
      <c r="K410" s="120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120"/>
      <c r="J411" s="6"/>
      <c r="K411" s="120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120"/>
      <c r="J412" s="6"/>
      <c r="K412" s="120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120"/>
      <c r="J413" s="6"/>
      <c r="K413" s="120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120"/>
      <c r="J414" s="6"/>
      <c r="K414" s="120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120"/>
      <c r="J415" s="6"/>
      <c r="K415" s="120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120"/>
      <c r="J416" s="6"/>
      <c r="K416" s="120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120"/>
      <c r="J417" s="6"/>
      <c r="K417" s="120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120"/>
      <c r="J418" s="6"/>
      <c r="K418" s="120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120"/>
      <c r="J419" s="6"/>
      <c r="K419" s="120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120"/>
      <c r="J420" s="6"/>
      <c r="K420" s="120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120"/>
      <c r="J421" s="6"/>
      <c r="K421" s="120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120"/>
      <c r="J422" s="6"/>
      <c r="K422" s="120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120"/>
      <c r="J423" s="6"/>
      <c r="K423" s="120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120"/>
      <c r="J424" s="6"/>
      <c r="K424" s="120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120"/>
      <c r="J425" s="6"/>
      <c r="K425" s="120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120"/>
      <c r="J426" s="6"/>
      <c r="K426" s="120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120"/>
      <c r="J427" s="6"/>
      <c r="K427" s="120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120"/>
      <c r="J428" s="6"/>
      <c r="K428" s="120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120"/>
      <c r="J429" s="6"/>
      <c r="K429" s="120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120"/>
      <c r="J430" s="6"/>
      <c r="K430" s="120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120"/>
      <c r="J431" s="6"/>
      <c r="K431" s="120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120"/>
      <c r="J432" s="6"/>
      <c r="K432" s="120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120"/>
      <c r="J433" s="6"/>
      <c r="K433" s="120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120"/>
      <c r="J434" s="6"/>
      <c r="K434" s="120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120"/>
      <c r="J435" s="6"/>
      <c r="K435" s="120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120"/>
      <c r="J436" s="6"/>
      <c r="K436" s="120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120"/>
      <c r="J437" s="6"/>
      <c r="K437" s="120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120"/>
      <c r="J438" s="6"/>
      <c r="K438" s="120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120"/>
      <c r="J439" s="6"/>
      <c r="K439" s="120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120"/>
      <c r="J440" s="6"/>
      <c r="K440" s="120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120"/>
      <c r="J441" s="6"/>
      <c r="K441" s="120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120"/>
      <c r="J442" s="6"/>
      <c r="K442" s="120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120"/>
      <c r="J443" s="6"/>
      <c r="K443" s="120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120"/>
      <c r="J444" s="6"/>
      <c r="K444" s="120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120"/>
      <c r="J445" s="6"/>
      <c r="K445" s="120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120"/>
      <c r="J446" s="6"/>
      <c r="K446" s="120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120"/>
      <c r="J447" s="6"/>
      <c r="K447" s="120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120"/>
      <c r="J448" s="6"/>
      <c r="K448" s="120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120"/>
      <c r="J449" s="6"/>
      <c r="K449" s="120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120"/>
      <c r="J450" s="6"/>
      <c r="K450" s="120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120"/>
      <c r="J451" s="6"/>
      <c r="K451" s="120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120"/>
      <c r="J452" s="6"/>
      <c r="K452" s="120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120"/>
      <c r="J453" s="6"/>
      <c r="K453" s="120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120"/>
      <c r="J454" s="6"/>
      <c r="K454" s="120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120"/>
      <c r="J455" s="6"/>
      <c r="K455" s="120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120"/>
      <c r="J456" s="6"/>
      <c r="K456" s="120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120"/>
      <c r="J457" s="6"/>
      <c r="K457" s="120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120"/>
      <c r="J458" s="6"/>
      <c r="K458" s="120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120"/>
      <c r="J459" s="6"/>
      <c r="K459" s="120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120"/>
      <c r="J460" s="6"/>
      <c r="K460" s="120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120"/>
      <c r="J461" s="6"/>
      <c r="K461" s="120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120"/>
      <c r="J462" s="6"/>
      <c r="K462" s="120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120"/>
      <c r="J463" s="6"/>
      <c r="K463" s="120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120"/>
      <c r="J464" s="6"/>
      <c r="K464" s="120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120"/>
      <c r="J465" s="6"/>
      <c r="K465" s="120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120"/>
      <c r="J466" s="6"/>
      <c r="K466" s="120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120"/>
      <c r="J467" s="6"/>
      <c r="K467" s="120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120"/>
      <c r="J468" s="6"/>
      <c r="K468" s="120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120"/>
      <c r="J469" s="6"/>
      <c r="K469" s="120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120"/>
      <c r="J470" s="6"/>
      <c r="K470" s="120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120"/>
      <c r="J471" s="6"/>
      <c r="K471" s="120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120"/>
      <c r="J472" s="6"/>
      <c r="K472" s="120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120"/>
      <c r="J473" s="6"/>
      <c r="K473" s="120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120"/>
      <c r="J474" s="6"/>
      <c r="K474" s="120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120"/>
      <c r="J475" s="6"/>
      <c r="K475" s="120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120"/>
      <c r="J476" s="6"/>
      <c r="K476" s="120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120"/>
      <c r="J477" s="6"/>
      <c r="K477" s="120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120"/>
      <c r="J478" s="6"/>
      <c r="K478" s="120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120"/>
      <c r="J479" s="6"/>
      <c r="K479" s="120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120"/>
      <c r="J480" s="6"/>
      <c r="K480" s="120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120"/>
      <c r="J481" s="6"/>
      <c r="K481" s="120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120"/>
      <c r="J482" s="6"/>
      <c r="K482" s="120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120"/>
      <c r="J483" s="6"/>
      <c r="K483" s="120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120"/>
      <c r="J484" s="6"/>
      <c r="K484" s="120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120"/>
      <c r="J485" s="6"/>
      <c r="K485" s="120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120"/>
      <c r="J486" s="6"/>
      <c r="K486" s="120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120"/>
      <c r="J487" s="6"/>
      <c r="K487" s="120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120"/>
      <c r="J488" s="6"/>
      <c r="K488" s="120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120"/>
      <c r="J489" s="6"/>
      <c r="K489" s="120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120"/>
      <c r="J490" s="6"/>
      <c r="K490" s="120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120"/>
      <c r="J491" s="6"/>
      <c r="K491" s="120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120"/>
      <c r="J492" s="6"/>
      <c r="K492" s="120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120"/>
      <c r="J493" s="6"/>
      <c r="K493" s="120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120"/>
      <c r="J494" s="6"/>
      <c r="K494" s="120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120"/>
      <c r="J495" s="6"/>
      <c r="K495" s="120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120"/>
      <c r="J496" s="6"/>
      <c r="K496" s="120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120"/>
      <c r="J497" s="6"/>
      <c r="K497" s="120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120"/>
      <c r="J498" s="6"/>
      <c r="K498" s="120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120"/>
      <c r="J499" s="6"/>
      <c r="K499" s="120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120"/>
      <c r="J500" s="6"/>
      <c r="K500" s="120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120"/>
      <c r="J501" s="6"/>
      <c r="K501" s="120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120"/>
      <c r="J502" s="6"/>
      <c r="K502" s="120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120"/>
      <c r="J503" s="6"/>
      <c r="K503" s="120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120"/>
      <c r="J504" s="6"/>
      <c r="K504" s="120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120"/>
      <c r="J505" s="6"/>
      <c r="K505" s="120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120"/>
      <c r="J506" s="6"/>
      <c r="K506" s="120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120"/>
      <c r="J507" s="6"/>
      <c r="K507" s="120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120"/>
      <c r="J508" s="6"/>
      <c r="K508" s="120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120"/>
      <c r="J509" s="6"/>
      <c r="K509" s="120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120"/>
      <c r="J510" s="6"/>
      <c r="K510" s="120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120"/>
      <c r="J511" s="6"/>
      <c r="K511" s="120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120"/>
      <c r="J512" s="6"/>
      <c r="K512" s="120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120"/>
      <c r="J513" s="6"/>
      <c r="K513" s="120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120"/>
      <c r="J514" s="6"/>
      <c r="K514" s="120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120"/>
      <c r="J515" s="6"/>
      <c r="K515" s="120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120"/>
      <c r="J516" s="6"/>
      <c r="K516" s="120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120"/>
      <c r="J517" s="6"/>
      <c r="K517" s="120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120"/>
      <c r="J518" s="6"/>
      <c r="K518" s="120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120"/>
      <c r="J519" s="6"/>
      <c r="K519" s="120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120"/>
      <c r="J520" s="6"/>
      <c r="K520" s="120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120"/>
      <c r="J521" s="6"/>
      <c r="K521" s="120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120"/>
      <c r="J522" s="6"/>
      <c r="K522" s="120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120"/>
      <c r="J523" s="6"/>
      <c r="K523" s="120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120"/>
      <c r="J524" s="6"/>
      <c r="K524" s="120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120"/>
      <c r="J525" s="6"/>
      <c r="K525" s="120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120"/>
      <c r="J526" s="6"/>
      <c r="K526" s="120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120"/>
      <c r="J527" s="6"/>
      <c r="K527" s="120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120"/>
      <c r="J528" s="6"/>
      <c r="K528" s="120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120"/>
      <c r="J529" s="6"/>
      <c r="K529" s="120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120"/>
      <c r="J530" s="6"/>
      <c r="K530" s="120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120"/>
      <c r="J531" s="6"/>
      <c r="K531" s="120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120"/>
      <c r="J532" s="6"/>
      <c r="K532" s="120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120"/>
      <c r="J533" s="6"/>
      <c r="K533" s="120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120"/>
      <c r="J534" s="6"/>
      <c r="K534" s="120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120"/>
      <c r="J535" s="6"/>
      <c r="K535" s="120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120"/>
      <c r="J536" s="6"/>
      <c r="K536" s="120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120"/>
      <c r="J537" s="6"/>
      <c r="K537" s="120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120"/>
      <c r="J538" s="6"/>
      <c r="K538" s="120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120"/>
      <c r="J539" s="6"/>
      <c r="K539" s="120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120"/>
      <c r="J540" s="6"/>
      <c r="K540" s="120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120"/>
      <c r="J541" s="6"/>
      <c r="K541" s="120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120"/>
      <c r="J542" s="6"/>
      <c r="K542" s="120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120"/>
      <c r="J543" s="6"/>
      <c r="K543" s="120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120"/>
      <c r="J544" s="6"/>
      <c r="K544" s="120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120"/>
      <c r="J545" s="6"/>
      <c r="K545" s="120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120"/>
      <c r="J546" s="6"/>
      <c r="K546" s="120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120"/>
      <c r="J547" s="6"/>
      <c r="K547" s="120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120"/>
      <c r="J548" s="6"/>
      <c r="K548" s="120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120"/>
      <c r="J549" s="6"/>
      <c r="K549" s="120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120"/>
      <c r="J550" s="6"/>
      <c r="K550" s="120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120"/>
      <c r="J551" s="6"/>
      <c r="K551" s="120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120"/>
      <c r="J552" s="6"/>
      <c r="K552" s="120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120"/>
      <c r="J553" s="6"/>
      <c r="K553" s="120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120"/>
      <c r="J554" s="6"/>
      <c r="K554" s="120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120"/>
      <c r="J555" s="6"/>
      <c r="K555" s="120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120"/>
      <c r="J556" s="6"/>
      <c r="K556" s="120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120"/>
      <c r="J557" s="6"/>
      <c r="K557" s="120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120"/>
      <c r="J558" s="6"/>
      <c r="K558" s="120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120"/>
      <c r="J559" s="6"/>
      <c r="K559" s="120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120"/>
      <c r="J560" s="6"/>
      <c r="K560" s="120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120"/>
      <c r="J561" s="6"/>
      <c r="K561" s="120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120"/>
      <c r="J562" s="6"/>
      <c r="K562" s="120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120"/>
      <c r="J563" s="6"/>
      <c r="K563" s="120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120"/>
      <c r="J564" s="6"/>
      <c r="K564" s="120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120"/>
      <c r="J565" s="6"/>
      <c r="K565" s="120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120"/>
      <c r="J566" s="6"/>
      <c r="K566" s="120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120"/>
      <c r="J567" s="6"/>
      <c r="K567" s="120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120"/>
      <c r="J568" s="6"/>
      <c r="K568" s="120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120"/>
      <c r="J569" s="6"/>
      <c r="K569" s="120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120"/>
      <c r="J570" s="6"/>
      <c r="K570" s="120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120"/>
      <c r="J571" s="6"/>
      <c r="K571" s="120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120"/>
      <c r="J572" s="6"/>
      <c r="K572" s="120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120"/>
      <c r="J573" s="6"/>
      <c r="K573" s="120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120"/>
      <c r="J574" s="6"/>
      <c r="K574" s="120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120"/>
      <c r="J575" s="6"/>
      <c r="K575" s="120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120"/>
      <c r="J576" s="6"/>
      <c r="K576" s="120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120"/>
      <c r="J577" s="6"/>
      <c r="K577" s="120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120"/>
      <c r="J578" s="6"/>
      <c r="K578" s="120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120"/>
      <c r="J579" s="6"/>
      <c r="K579" s="120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120"/>
      <c r="J580" s="6"/>
      <c r="K580" s="120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120"/>
      <c r="J581" s="6"/>
      <c r="K581" s="120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120"/>
      <c r="J582" s="6"/>
      <c r="K582" s="120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120"/>
      <c r="J583" s="6"/>
      <c r="K583" s="120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120"/>
      <c r="J584" s="6"/>
      <c r="K584" s="120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120"/>
      <c r="J585" s="6"/>
      <c r="K585" s="120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120"/>
      <c r="J586" s="6"/>
      <c r="K586" s="120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120"/>
      <c r="J587" s="6"/>
      <c r="K587" s="120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120"/>
      <c r="J588" s="6"/>
      <c r="K588" s="120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120"/>
      <c r="J589" s="6"/>
      <c r="K589" s="120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120"/>
      <c r="J590" s="6"/>
      <c r="K590" s="120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120"/>
      <c r="J591" s="6"/>
      <c r="K591" s="120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120"/>
      <c r="J592" s="6"/>
      <c r="K592" s="120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120"/>
      <c r="J593" s="6"/>
      <c r="K593" s="120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120"/>
      <c r="J594" s="6"/>
      <c r="K594" s="120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120"/>
      <c r="J595" s="6"/>
      <c r="K595" s="120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120"/>
      <c r="J596" s="6"/>
      <c r="K596" s="120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120"/>
      <c r="J597" s="6"/>
      <c r="K597" s="120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120"/>
      <c r="J598" s="6"/>
      <c r="K598" s="120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120"/>
      <c r="J599" s="6"/>
      <c r="K599" s="120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120"/>
      <c r="J600" s="6"/>
      <c r="K600" s="120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120"/>
      <c r="J601" s="6"/>
      <c r="K601" s="120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120"/>
      <c r="J602" s="6"/>
      <c r="K602" s="120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120"/>
      <c r="J603" s="6"/>
      <c r="K603" s="120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120"/>
      <c r="J604" s="6"/>
      <c r="K604" s="120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120"/>
      <c r="J605" s="6"/>
      <c r="K605" s="120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120"/>
      <c r="J606" s="6"/>
      <c r="K606" s="120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120"/>
      <c r="J607" s="6"/>
      <c r="K607" s="120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120"/>
      <c r="J608" s="6"/>
      <c r="K608" s="120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120"/>
      <c r="J609" s="6"/>
      <c r="K609" s="120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120"/>
      <c r="J610" s="6"/>
      <c r="K610" s="120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120"/>
      <c r="J611" s="6"/>
      <c r="K611" s="120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120"/>
      <c r="J612" s="6"/>
      <c r="K612" s="120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120"/>
      <c r="J613" s="6"/>
      <c r="K613" s="120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120"/>
      <c r="J614" s="6"/>
      <c r="K614" s="120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120"/>
      <c r="J615" s="6"/>
      <c r="K615" s="120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120"/>
      <c r="J616" s="6"/>
      <c r="K616" s="120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120"/>
      <c r="J617" s="6"/>
      <c r="K617" s="120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120"/>
      <c r="J618" s="6"/>
      <c r="K618" s="120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120"/>
      <c r="J619" s="6"/>
      <c r="K619" s="120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120"/>
      <c r="J620" s="6"/>
      <c r="K620" s="120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120"/>
      <c r="J621" s="6"/>
      <c r="K621" s="120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120"/>
      <c r="J622" s="6"/>
      <c r="K622" s="120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120"/>
      <c r="J623" s="6"/>
      <c r="K623" s="120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120"/>
      <c r="J624" s="6"/>
      <c r="K624" s="120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120"/>
      <c r="J625" s="6"/>
      <c r="K625" s="120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120"/>
      <c r="J626" s="6"/>
      <c r="K626" s="120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120"/>
      <c r="J627" s="6"/>
      <c r="K627" s="120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120"/>
      <c r="J628" s="6"/>
      <c r="K628" s="120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120"/>
      <c r="J629" s="6"/>
      <c r="K629" s="120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120"/>
      <c r="J630" s="6"/>
      <c r="K630" s="120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120"/>
      <c r="J631" s="6"/>
      <c r="K631" s="120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120"/>
      <c r="J632" s="6"/>
      <c r="K632" s="120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120"/>
      <c r="J633" s="6"/>
      <c r="K633" s="120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120"/>
      <c r="J634" s="6"/>
      <c r="K634" s="120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120"/>
      <c r="J635" s="6"/>
      <c r="K635" s="120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120"/>
      <c r="J636" s="6"/>
      <c r="K636" s="120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120"/>
      <c r="J637" s="6"/>
      <c r="K637" s="120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120"/>
      <c r="J638" s="6"/>
      <c r="K638" s="120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120"/>
      <c r="J639" s="6"/>
      <c r="K639" s="120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120"/>
      <c r="J640" s="6"/>
      <c r="K640" s="120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120"/>
      <c r="J641" s="6"/>
      <c r="K641" s="120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120"/>
      <c r="J642" s="6"/>
      <c r="K642" s="120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120"/>
      <c r="J643" s="6"/>
      <c r="K643" s="120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120"/>
      <c r="J644" s="6"/>
      <c r="K644" s="120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120"/>
      <c r="J645" s="6"/>
      <c r="K645" s="120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120"/>
      <c r="J646" s="6"/>
      <c r="K646" s="120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120"/>
      <c r="J647" s="6"/>
      <c r="K647" s="120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120"/>
      <c r="J648" s="6"/>
      <c r="K648" s="120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120"/>
      <c r="J649" s="6"/>
      <c r="K649" s="120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120"/>
      <c r="J650" s="6"/>
      <c r="K650" s="120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120"/>
      <c r="J651" s="6"/>
      <c r="K651" s="120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120"/>
      <c r="J652" s="6"/>
      <c r="K652" s="120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120"/>
      <c r="J653" s="6"/>
      <c r="K653" s="120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120"/>
      <c r="J654" s="6"/>
      <c r="K654" s="120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120"/>
      <c r="J655" s="6"/>
      <c r="K655" s="120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120"/>
      <c r="J656" s="6"/>
      <c r="K656" s="120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120"/>
      <c r="J657" s="6"/>
      <c r="K657" s="120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120"/>
      <c r="J658" s="6"/>
      <c r="K658" s="120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120"/>
      <c r="J659" s="6"/>
      <c r="K659" s="120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120"/>
      <c r="J660" s="6"/>
      <c r="K660" s="120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120"/>
      <c r="J661" s="6"/>
      <c r="K661" s="120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120"/>
      <c r="J662" s="6"/>
      <c r="K662" s="120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120"/>
      <c r="J663" s="6"/>
      <c r="K663" s="120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120"/>
      <c r="J664" s="6"/>
      <c r="K664" s="120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120"/>
      <c r="J665" s="6"/>
      <c r="K665" s="120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120"/>
      <c r="J666" s="6"/>
      <c r="K666" s="120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120"/>
      <c r="J667" s="6"/>
      <c r="K667" s="120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120"/>
      <c r="J668" s="6"/>
      <c r="K668" s="120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120"/>
      <c r="J669" s="6"/>
      <c r="K669" s="120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120"/>
      <c r="J670" s="6"/>
      <c r="K670" s="120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120"/>
      <c r="J671" s="6"/>
      <c r="K671" s="120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120"/>
      <c r="J672" s="6"/>
      <c r="K672" s="120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120"/>
      <c r="J673" s="6"/>
      <c r="K673" s="120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120"/>
      <c r="J674" s="6"/>
      <c r="K674" s="120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120"/>
      <c r="J675" s="6"/>
      <c r="K675" s="120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120"/>
      <c r="J676" s="6"/>
      <c r="K676" s="120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120"/>
      <c r="J677" s="6"/>
      <c r="K677" s="120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120"/>
      <c r="J678" s="6"/>
      <c r="K678" s="120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120"/>
      <c r="J679" s="6"/>
      <c r="K679" s="120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120"/>
      <c r="J680" s="6"/>
      <c r="K680" s="120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120"/>
      <c r="J681" s="6"/>
      <c r="K681" s="120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120"/>
      <c r="J682" s="6"/>
      <c r="K682" s="120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120"/>
      <c r="J683" s="6"/>
      <c r="K683" s="120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120"/>
      <c r="J684" s="6"/>
      <c r="K684" s="120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120"/>
      <c r="J685" s="6"/>
      <c r="K685" s="120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120"/>
      <c r="J686" s="6"/>
      <c r="K686" s="120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120"/>
      <c r="J687" s="6"/>
      <c r="K687" s="120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120"/>
      <c r="J688" s="6"/>
      <c r="K688" s="120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120"/>
      <c r="J689" s="6"/>
      <c r="K689" s="120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120"/>
      <c r="J690" s="6"/>
      <c r="K690" s="120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120"/>
      <c r="J691" s="6"/>
      <c r="K691" s="120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120"/>
      <c r="J692" s="6"/>
      <c r="K692" s="120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120"/>
      <c r="J693" s="6"/>
      <c r="K693" s="120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120"/>
      <c r="J694" s="6"/>
      <c r="K694" s="120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120"/>
      <c r="J695" s="6"/>
      <c r="K695" s="120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120"/>
      <c r="J696" s="6"/>
      <c r="K696" s="120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120"/>
      <c r="J697" s="6"/>
      <c r="K697" s="120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120"/>
      <c r="J698" s="6"/>
      <c r="K698" s="120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120"/>
      <c r="J699" s="6"/>
      <c r="K699" s="120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120"/>
      <c r="J700" s="6"/>
      <c r="K700" s="120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120"/>
      <c r="J701" s="6"/>
      <c r="K701" s="120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120"/>
      <c r="J702" s="6"/>
      <c r="K702" s="120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120"/>
      <c r="J703" s="6"/>
      <c r="K703" s="120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120"/>
      <c r="J704" s="6"/>
      <c r="K704" s="120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120"/>
      <c r="J705" s="6"/>
      <c r="K705" s="120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120"/>
      <c r="J706" s="6"/>
      <c r="K706" s="120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120"/>
      <c r="J707" s="6"/>
      <c r="K707" s="120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120"/>
      <c r="J708" s="6"/>
      <c r="K708" s="120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120"/>
      <c r="J709" s="6"/>
      <c r="K709" s="120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120"/>
      <c r="J710" s="6"/>
      <c r="K710" s="120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120"/>
      <c r="J711" s="6"/>
      <c r="K711" s="120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120"/>
      <c r="J712" s="6"/>
      <c r="K712" s="120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120"/>
      <c r="J713" s="6"/>
      <c r="K713" s="120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120"/>
      <c r="J714" s="6"/>
      <c r="K714" s="120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120"/>
      <c r="J715" s="6"/>
      <c r="K715" s="120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120"/>
      <c r="J716" s="6"/>
      <c r="K716" s="120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120"/>
      <c r="J717" s="6"/>
      <c r="K717" s="120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120"/>
      <c r="J718" s="6"/>
      <c r="K718" s="120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120"/>
      <c r="J719" s="6"/>
      <c r="K719" s="120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120"/>
      <c r="J720" s="6"/>
      <c r="K720" s="120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120"/>
      <c r="J721" s="6"/>
      <c r="K721" s="120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120"/>
      <c r="J722" s="6"/>
      <c r="K722" s="120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120"/>
      <c r="J723" s="6"/>
      <c r="K723" s="120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120"/>
      <c r="J724" s="6"/>
      <c r="K724" s="120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120"/>
      <c r="J725" s="6"/>
      <c r="K725" s="120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120"/>
      <c r="J726" s="6"/>
      <c r="K726" s="120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120"/>
      <c r="J727" s="6"/>
      <c r="K727" s="120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120"/>
      <c r="J728" s="6"/>
      <c r="K728" s="120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120"/>
      <c r="J729" s="6"/>
      <c r="K729" s="120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120"/>
      <c r="J730" s="6"/>
      <c r="K730" s="120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120"/>
      <c r="J731" s="6"/>
      <c r="K731" s="120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120"/>
      <c r="J732" s="6"/>
      <c r="K732" s="120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120"/>
      <c r="J733" s="6"/>
      <c r="K733" s="120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120"/>
      <c r="J734" s="6"/>
      <c r="K734" s="120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120"/>
      <c r="J735" s="6"/>
      <c r="K735" s="120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120"/>
      <c r="J736" s="6"/>
      <c r="K736" s="120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120"/>
      <c r="J737" s="6"/>
      <c r="K737" s="120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120"/>
      <c r="J738" s="6"/>
      <c r="K738" s="120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120"/>
      <c r="J739" s="6"/>
      <c r="K739" s="120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120"/>
      <c r="J740" s="6"/>
      <c r="K740" s="120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120"/>
      <c r="J741" s="6"/>
      <c r="K741" s="120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120"/>
      <c r="J742" s="6"/>
      <c r="K742" s="120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120"/>
      <c r="J743" s="6"/>
      <c r="K743" s="120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120"/>
      <c r="J744" s="6"/>
      <c r="K744" s="120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120"/>
      <c r="J745" s="6"/>
      <c r="K745" s="120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120"/>
      <c r="J746" s="6"/>
      <c r="K746" s="120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120"/>
      <c r="J747" s="6"/>
      <c r="K747" s="120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120"/>
      <c r="J748" s="6"/>
      <c r="K748" s="120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120"/>
      <c r="J749" s="6"/>
      <c r="K749" s="120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120"/>
      <c r="J750" s="6"/>
      <c r="K750" s="120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120"/>
      <c r="J751" s="6"/>
      <c r="K751" s="120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120"/>
      <c r="J752" s="6"/>
      <c r="K752" s="120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120"/>
      <c r="J753" s="6"/>
      <c r="K753" s="120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120"/>
      <c r="J754" s="6"/>
      <c r="K754" s="120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120"/>
      <c r="J755" s="6"/>
      <c r="K755" s="120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120"/>
      <c r="J756" s="6"/>
      <c r="K756" s="120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120"/>
      <c r="J757" s="6"/>
      <c r="K757" s="120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120"/>
      <c r="J758" s="6"/>
      <c r="K758" s="120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120"/>
      <c r="J759" s="6"/>
      <c r="K759" s="120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120"/>
      <c r="J760" s="6"/>
      <c r="K760" s="120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120"/>
      <c r="J761" s="6"/>
      <c r="K761" s="120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120"/>
      <c r="J762" s="6"/>
      <c r="K762" s="120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120"/>
      <c r="J763" s="6"/>
      <c r="K763" s="120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120"/>
      <c r="J764" s="6"/>
      <c r="K764" s="120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120"/>
      <c r="J765" s="6"/>
      <c r="K765" s="120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120"/>
      <c r="J766" s="6"/>
      <c r="K766" s="120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120"/>
      <c r="J767" s="6"/>
      <c r="K767" s="120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120"/>
      <c r="J768" s="6"/>
      <c r="K768" s="120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120"/>
      <c r="J769" s="6"/>
      <c r="K769" s="120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120"/>
      <c r="J770" s="6"/>
      <c r="K770" s="120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120"/>
      <c r="J771" s="6"/>
      <c r="K771" s="120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120"/>
      <c r="J772" s="6"/>
      <c r="K772" s="120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120"/>
      <c r="J773" s="6"/>
      <c r="K773" s="120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120"/>
      <c r="J774" s="6"/>
      <c r="K774" s="120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120"/>
      <c r="J775" s="6"/>
      <c r="K775" s="120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120"/>
      <c r="J776" s="6"/>
      <c r="K776" s="120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120"/>
      <c r="J777" s="6"/>
      <c r="K777" s="120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120"/>
      <c r="J778" s="6"/>
      <c r="K778" s="120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120"/>
      <c r="J779" s="6"/>
      <c r="K779" s="120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120"/>
      <c r="J780" s="6"/>
      <c r="K780" s="120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120"/>
      <c r="J781" s="6"/>
      <c r="K781" s="120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120"/>
      <c r="J782" s="6"/>
      <c r="K782" s="120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120"/>
      <c r="J783" s="6"/>
      <c r="K783" s="120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120"/>
      <c r="J784" s="6"/>
      <c r="K784" s="120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120"/>
      <c r="J785" s="6"/>
      <c r="K785" s="120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120"/>
      <c r="J786" s="6"/>
      <c r="K786" s="120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120"/>
      <c r="J787" s="6"/>
      <c r="K787" s="120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120"/>
      <c r="J788" s="6"/>
      <c r="K788" s="120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120"/>
      <c r="J789" s="6"/>
      <c r="K789" s="120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120"/>
      <c r="J790" s="6"/>
      <c r="K790" s="120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120"/>
      <c r="J791" s="6"/>
      <c r="K791" s="120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120"/>
      <c r="J792" s="6"/>
      <c r="K792" s="120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120"/>
      <c r="J793" s="6"/>
      <c r="K793" s="120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120"/>
      <c r="J794" s="6"/>
      <c r="K794" s="120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120"/>
      <c r="J795" s="6"/>
      <c r="K795" s="120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120"/>
      <c r="J796" s="6"/>
      <c r="K796" s="120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120"/>
      <c r="J797" s="6"/>
      <c r="K797" s="120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120"/>
      <c r="J798" s="6"/>
      <c r="K798" s="120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120"/>
      <c r="J799" s="6"/>
      <c r="K799" s="120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120"/>
      <c r="J800" s="6"/>
      <c r="K800" s="120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120"/>
      <c r="J801" s="6"/>
      <c r="K801" s="120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120"/>
      <c r="J802" s="6"/>
      <c r="K802" s="120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120"/>
      <c r="J803" s="6"/>
      <c r="K803" s="120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120"/>
      <c r="J804" s="6"/>
      <c r="K804" s="120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120"/>
      <c r="J805" s="6"/>
      <c r="K805" s="120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120"/>
      <c r="J806" s="6"/>
      <c r="K806" s="120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120"/>
      <c r="J807" s="6"/>
      <c r="K807" s="120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120"/>
      <c r="J808" s="6"/>
      <c r="K808" s="120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120"/>
      <c r="J809" s="6"/>
      <c r="K809" s="120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120"/>
      <c r="J810" s="6"/>
      <c r="K810" s="120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120"/>
      <c r="J811" s="6"/>
      <c r="K811" s="120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120"/>
      <c r="J812" s="6"/>
      <c r="K812" s="120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120"/>
      <c r="J813" s="6"/>
      <c r="K813" s="120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120"/>
      <c r="J814" s="6"/>
      <c r="K814" s="120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120"/>
      <c r="J815" s="6"/>
      <c r="K815" s="120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120"/>
      <c r="J816" s="6"/>
      <c r="K816" s="120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120"/>
      <c r="J817" s="6"/>
      <c r="K817" s="120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120"/>
      <c r="J818" s="6"/>
      <c r="K818" s="120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120"/>
      <c r="J819" s="6"/>
      <c r="K819" s="120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120"/>
      <c r="J820" s="6"/>
      <c r="K820" s="120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120"/>
      <c r="J821" s="6"/>
      <c r="K821" s="120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120"/>
      <c r="J822" s="6"/>
      <c r="K822" s="120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120"/>
      <c r="J823" s="6"/>
      <c r="K823" s="120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120"/>
      <c r="J824" s="6"/>
      <c r="K824" s="120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120"/>
      <c r="J825" s="6"/>
      <c r="K825" s="120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120"/>
      <c r="J826" s="6"/>
      <c r="K826" s="120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120"/>
      <c r="J827" s="6"/>
      <c r="K827" s="120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120"/>
      <c r="J828" s="6"/>
      <c r="K828" s="120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120"/>
      <c r="J829" s="6"/>
      <c r="K829" s="120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120"/>
      <c r="J830" s="6"/>
      <c r="K830" s="120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120"/>
      <c r="J831" s="6"/>
      <c r="K831" s="120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120"/>
      <c r="J832" s="6"/>
      <c r="K832" s="120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120"/>
      <c r="J833" s="6"/>
      <c r="K833" s="120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120"/>
      <c r="J834" s="6"/>
      <c r="K834" s="120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120"/>
      <c r="J835" s="6"/>
      <c r="K835" s="120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120"/>
      <c r="J836" s="6"/>
      <c r="K836" s="120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120"/>
      <c r="J837" s="6"/>
      <c r="K837" s="120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120"/>
      <c r="J838" s="6"/>
      <c r="K838" s="120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120"/>
      <c r="J839" s="6"/>
      <c r="K839" s="120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120"/>
      <c r="J840" s="6"/>
      <c r="K840" s="120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120"/>
      <c r="J841" s="6"/>
      <c r="K841" s="120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120"/>
      <c r="J842" s="6"/>
      <c r="K842" s="120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120"/>
      <c r="J843" s="6"/>
      <c r="K843" s="120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120"/>
      <c r="J844" s="6"/>
      <c r="K844" s="120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120"/>
      <c r="J845" s="6"/>
      <c r="K845" s="120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120"/>
      <c r="J846" s="6"/>
      <c r="K846" s="120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120"/>
      <c r="J847" s="6"/>
      <c r="K847" s="120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120"/>
      <c r="J848" s="6"/>
      <c r="K848" s="120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120"/>
      <c r="J849" s="6"/>
      <c r="K849" s="120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120"/>
      <c r="J850" s="6"/>
      <c r="K850" s="120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120"/>
      <c r="J851" s="6"/>
      <c r="K851" s="120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120"/>
      <c r="J852" s="6"/>
      <c r="K852" s="120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120"/>
      <c r="J853" s="6"/>
      <c r="K853" s="120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120"/>
      <c r="J854" s="6"/>
      <c r="K854" s="120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120"/>
      <c r="J855" s="6"/>
      <c r="K855" s="120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120"/>
      <c r="J856" s="6"/>
      <c r="K856" s="120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120"/>
      <c r="J857" s="6"/>
      <c r="K857" s="120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120"/>
      <c r="J858" s="6"/>
      <c r="K858" s="120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120"/>
      <c r="J859" s="6"/>
      <c r="K859" s="120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120"/>
      <c r="J860" s="6"/>
      <c r="K860" s="120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120"/>
      <c r="J861" s="6"/>
      <c r="K861" s="120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120"/>
      <c r="J862" s="6"/>
      <c r="K862" s="120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120"/>
      <c r="J863" s="6"/>
      <c r="K863" s="120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120"/>
      <c r="J864" s="6"/>
      <c r="K864" s="120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120"/>
      <c r="J865" s="6"/>
      <c r="K865" s="120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120"/>
      <c r="J866" s="6"/>
      <c r="K866" s="120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120"/>
      <c r="J867" s="6"/>
      <c r="K867" s="120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120"/>
      <c r="J868" s="6"/>
      <c r="K868" s="120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120"/>
      <c r="J869" s="6"/>
      <c r="K869" s="120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120"/>
      <c r="J870" s="6"/>
      <c r="K870" s="120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120"/>
      <c r="J871" s="6"/>
      <c r="K871" s="120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120"/>
      <c r="J872" s="6"/>
      <c r="K872" s="120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120"/>
      <c r="J873" s="6"/>
      <c r="K873" s="120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120"/>
      <c r="J874" s="6"/>
      <c r="K874" s="120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120"/>
      <c r="J875" s="6"/>
      <c r="K875" s="120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120"/>
      <c r="J876" s="6"/>
      <c r="K876" s="120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120"/>
      <c r="J877" s="6"/>
      <c r="K877" s="120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120"/>
      <c r="J878" s="6"/>
      <c r="K878" s="120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120"/>
      <c r="J879" s="6"/>
      <c r="K879" s="120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120"/>
      <c r="J880" s="6"/>
      <c r="K880" s="120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120"/>
      <c r="J881" s="6"/>
      <c r="K881" s="120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120"/>
      <c r="J882" s="6"/>
      <c r="K882" s="120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120"/>
      <c r="J883" s="6"/>
      <c r="K883" s="120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120"/>
      <c r="J884" s="6"/>
      <c r="K884" s="120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120"/>
      <c r="J885" s="6"/>
      <c r="K885" s="120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120"/>
      <c r="J886" s="6"/>
      <c r="K886" s="120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120"/>
      <c r="J887" s="6"/>
      <c r="K887" s="120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120"/>
      <c r="J888" s="6"/>
      <c r="K888" s="120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120"/>
      <c r="J889" s="6"/>
      <c r="K889" s="120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120"/>
      <c r="J890" s="6"/>
      <c r="K890" s="120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120"/>
      <c r="J891" s="6"/>
      <c r="K891" s="120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120"/>
      <c r="J892" s="6"/>
      <c r="K892" s="120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120"/>
      <c r="J893" s="6"/>
      <c r="K893" s="120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120"/>
      <c r="J894" s="6"/>
      <c r="K894" s="120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120"/>
      <c r="J895" s="6"/>
      <c r="K895" s="120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120"/>
      <c r="J896" s="6"/>
      <c r="K896" s="120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120"/>
      <c r="J897" s="6"/>
      <c r="K897" s="120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120"/>
      <c r="J898" s="6"/>
      <c r="K898" s="120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120"/>
      <c r="J899" s="6"/>
      <c r="K899" s="120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120"/>
      <c r="J900" s="6"/>
      <c r="K900" s="120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120"/>
      <c r="J901" s="6"/>
      <c r="K901" s="120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120"/>
      <c r="J902" s="6"/>
      <c r="K902" s="120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120"/>
      <c r="J903" s="6"/>
      <c r="K903" s="120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120"/>
      <c r="J904" s="6"/>
      <c r="K904" s="120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120"/>
      <c r="J905" s="6"/>
      <c r="K905" s="120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120"/>
      <c r="J906" s="6"/>
      <c r="K906" s="120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120"/>
      <c r="J907" s="6"/>
      <c r="K907" s="120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120"/>
      <c r="J908" s="6"/>
      <c r="K908" s="120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120"/>
      <c r="J909" s="6"/>
      <c r="K909" s="120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120"/>
      <c r="J910" s="6"/>
      <c r="K910" s="120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120"/>
      <c r="J911" s="6"/>
      <c r="K911" s="120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120"/>
      <c r="J912" s="6"/>
      <c r="K912" s="120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120"/>
      <c r="J913" s="6"/>
      <c r="K913" s="120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120"/>
      <c r="J914" s="6"/>
      <c r="K914" s="120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120"/>
      <c r="J915" s="6"/>
      <c r="K915" s="120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120"/>
      <c r="J916" s="6"/>
      <c r="K916" s="120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120"/>
      <c r="J917" s="6"/>
      <c r="K917" s="120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120"/>
      <c r="J918" s="6"/>
      <c r="K918" s="120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120"/>
      <c r="J919" s="6"/>
      <c r="K919" s="120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120"/>
      <c r="J920" s="6"/>
      <c r="K920" s="120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120"/>
      <c r="J921" s="6"/>
      <c r="K921" s="120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120"/>
      <c r="J922" s="6"/>
      <c r="K922" s="120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120"/>
      <c r="J923" s="6"/>
      <c r="K923" s="120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120"/>
      <c r="J924" s="6"/>
      <c r="K924" s="120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120"/>
      <c r="J925" s="6"/>
      <c r="K925" s="120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120"/>
      <c r="J926" s="6"/>
      <c r="K926" s="120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120"/>
      <c r="J927" s="6"/>
      <c r="K927" s="120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120"/>
      <c r="J928" s="6"/>
      <c r="K928" s="120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120"/>
      <c r="J929" s="6"/>
      <c r="K929" s="120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120"/>
      <c r="J930" s="6"/>
      <c r="K930" s="120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120"/>
      <c r="J931" s="6"/>
      <c r="K931" s="120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120"/>
      <c r="J932" s="6"/>
      <c r="K932" s="120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120"/>
      <c r="J933" s="6"/>
      <c r="K933" s="120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120"/>
      <c r="J934" s="6"/>
      <c r="K934" s="120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120"/>
      <c r="J935" s="6"/>
      <c r="K935" s="120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120"/>
      <c r="J936" s="6"/>
      <c r="K936" s="120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120"/>
      <c r="J937" s="6"/>
      <c r="K937" s="120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120"/>
      <c r="J938" s="6"/>
      <c r="K938" s="120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120"/>
      <c r="J939" s="6"/>
      <c r="K939" s="120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120"/>
      <c r="J940" s="6"/>
      <c r="K940" s="120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120"/>
      <c r="J941" s="6"/>
      <c r="K941" s="120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120"/>
      <c r="J942" s="6"/>
      <c r="K942" s="120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120"/>
      <c r="J943" s="6"/>
      <c r="K943" s="120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120"/>
      <c r="J944" s="6"/>
      <c r="K944" s="120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120"/>
      <c r="J945" s="6"/>
      <c r="K945" s="120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120"/>
      <c r="J946" s="6"/>
      <c r="K946" s="120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120"/>
      <c r="J947" s="6"/>
      <c r="K947" s="120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120"/>
      <c r="J948" s="6"/>
      <c r="K948" s="120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120"/>
      <c r="J949" s="6"/>
      <c r="K949" s="120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120"/>
      <c r="J950" s="6"/>
      <c r="K950" s="120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120"/>
      <c r="J951" s="6"/>
      <c r="K951" s="120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120"/>
      <c r="J952" s="6"/>
      <c r="K952" s="120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120"/>
      <c r="J953" s="6"/>
      <c r="K953" s="120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120"/>
      <c r="J954" s="6"/>
      <c r="K954" s="120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120"/>
      <c r="J955" s="6"/>
      <c r="K955" s="120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120"/>
      <c r="J956" s="6"/>
      <c r="K956" s="120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120"/>
      <c r="J957" s="6"/>
      <c r="K957" s="120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120"/>
      <c r="J958" s="6"/>
      <c r="K958" s="120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120"/>
      <c r="J959" s="6"/>
      <c r="K959" s="120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120"/>
      <c r="J960" s="6"/>
      <c r="K960" s="120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120"/>
      <c r="J961" s="6"/>
      <c r="K961" s="120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120"/>
      <c r="J962" s="6"/>
      <c r="K962" s="120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120"/>
      <c r="J963" s="6"/>
      <c r="K963" s="120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120"/>
      <c r="J964" s="6"/>
      <c r="K964" s="120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120"/>
      <c r="J965" s="6"/>
      <c r="K965" s="120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120"/>
      <c r="J966" s="6"/>
      <c r="K966" s="120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120"/>
      <c r="J967" s="6"/>
      <c r="K967" s="120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120"/>
      <c r="J968" s="6"/>
      <c r="K968" s="120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120"/>
      <c r="J969" s="6"/>
      <c r="K969" s="120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120"/>
      <c r="J970" s="6"/>
      <c r="K970" s="120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120"/>
      <c r="J971" s="6"/>
      <c r="K971" s="120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120"/>
      <c r="J972" s="6"/>
      <c r="K972" s="120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120"/>
      <c r="J973" s="6"/>
      <c r="K973" s="120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120"/>
      <c r="J974" s="6"/>
      <c r="K974" s="120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120"/>
      <c r="J975" s="6"/>
      <c r="K975" s="120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120"/>
      <c r="J976" s="6"/>
      <c r="K976" s="120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120"/>
      <c r="J977" s="6"/>
      <c r="K977" s="120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120"/>
      <c r="J978" s="6"/>
      <c r="K978" s="120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120"/>
      <c r="J979" s="6"/>
      <c r="K979" s="120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120"/>
      <c r="J980" s="6"/>
      <c r="K980" s="120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120"/>
      <c r="J981" s="6"/>
      <c r="K981" s="120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120"/>
      <c r="J982" s="6"/>
      <c r="K982" s="120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120"/>
      <c r="J983" s="6"/>
      <c r="K983" s="120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120"/>
      <c r="J984" s="6"/>
      <c r="K984" s="120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120"/>
      <c r="J985" s="6"/>
      <c r="K985" s="120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120"/>
      <c r="J986" s="6"/>
      <c r="K986" s="120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120"/>
      <c r="J987" s="6"/>
      <c r="K987" s="120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120"/>
      <c r="J988" s="6"/>
      <c r="K988" s="120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120"/>
      <c r="J989" s="6"/>
      <c r="K989" s="120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120"/>
      <c r="J990" s="6"/>
      <c r="K990" s="120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120"/>
      <c r="J991" s="6"/>
      <c r="K991" s="120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120"/>
      <c r="J992" s="6"/>
      <c r="K992" s="120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120"/>
      <c r="J993" s="6"/>
      <c r="K993" s="120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120"/>
      <c r="J994" s="6"/>
      <c r="K994" s="120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120"/>
      <c r="J995" s="6"/>
      <c r="K995" s="120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</sheetData>
  <mergeCells count="33">
    <mergeCell ref="L11:L16"/>
    <mergeCell ref="M11:M16"/>
    <mergeCell ref="N11:N16"/>
    <mergeCell ref="D44:D48"/>
    <mergeCell ref="E44:E48"/>
    <mergeCell ref="K44:K48"/>
    <mergeCell ref="L44:L48"/>
    <mergeCell ref="K58:K63"/>
    <mergeCell ref="L58:L63"/>
    <mergeCell ref="K64:K66"/>
    <mergeCell ref="L64:L66"/>
    <mergeCell ref="K68:K73"/>
    <mergeCell ref="L68:L73"/>
    <mergeCell ref="K74:K76"/>
    <mergeCell ref="L74:L76"/>
    <mergeCell ref="A44:A48"/>
    <mergeCell ref="A50:A55"/>
    <mergeCell ref="D50:D55"/>
    <mergeCell ref="E50:E55"/>
    <mergeCell ref="K50:K55"/>
    <mergeCell ref="L50:L55"/>
    <mergeCell ref="A58:A63"/>
    <mergeCell ref="A68:A73"/>
    <mergeCell ref="A74:A76"/>
    <mergeCell ref="D74:D76"/>
    <mergeCell ref="E74:E76"/>
    <mergeCell ref="D58:D63"/>
    <mergeCell ref="E58:E63"/>
    <mergeCell ref="A64:A66"/>
    <mergeCell ref="D64:D66"/>
    <mergeCell ref="E64:E66"/>
    <mergeCell ref="D68:D73"/>
    <mergeCell ref="E68:E73"/>
  </mergeCells>
  <dataValidations>
    <dataValidation type="list" allowBlank="1" sqref="B1:B995">
      <formula1>data!$P:$P</formula1>
    </dataValidation>
  </dataValidations>
  <hyperlinks>
    <hyperlink r:id="rId1" ref="F3"/>
    <hyperlink r:id="rId2" ref="F4"/>
    <hyperlink r:id="rId3" ref="F5"/>
    <hyperlink r:id="rId4" ref="G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G17"/>
    <hyperlink r:id="rId16" ref="F18"/>
    <hyperlink r:id="rId17" ref="F19"/>
    <hyperlink r:id="rId18" ref="F20"/>
    <hyperlink r:id="rId19" ref="F21"/>
    <hyperlink r:id="rId20" ref="F22"/>
    <hyperlink r:id="rId21" ref="F24"/>
    <hyperlink r:id="rId22" ref="F25"/>
    <hyperlink r:id="rId23" ref="G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1"/>
    <hyperlink r:id="rId39" ref="G42"/>
    <hyperlink r:id="rId40" ref="F43"/>
    <hyperlink r:id="rId41" ref="G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G57"/>
    <hyperlink r:id="rId57" ref="E58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G74"/>
    <hyperlink r:id="rId76" ref="F75"/>
    <hyperlink r:id="rId77" ref="G75"/>
    <hyperlink r:id="rId78" ref="F76"/>
    <hyperlink r:id="rId79" ref="F77"/>
    <hyperlink r:id="rId80" ref="G78"/>
    <hyperlink r:id="rId81" ref="F79"/>
    <hyperlink r:id="rId82" ref="G80"/>
    <hyperlink r:id="rId83" ref="F81"/>
    <hyperlink r:id="rId84" ref="F82"/>
    <hyperlink r:id="rId85" ref="F83"/>
    <hyperlink r:id="rId86" ref="F84"/>
    <hyperlink r:id="rId87" ref="F85"/>
    <hyperlink r:id="rId88" ref="F86"/>
    <hyperlink r:id="rId89" ref="F87"/>
    <hyperlink r:id="rId90" ref="F88"/>
    <hyperlink r:id="rId91" ref="F89"/>
    <hyperlink r:id="rId92" ref="F90"/>
    <hyperlink r:id="rId93" ref="F91"/>
    <hyperlink r:id="rId94" ref="F92"/>
    <hyperlink r:id="rId95" ref="F93"/>
    <hyperlink r:id="rId96" ref="G94"/>
    <hyperlink r:id="rId97" ref="F95"/>
    <hyperlink r:id="rId98" ref="G96"/>
    <hyperlink r:id="rId99" ref="F97"/>
    <hyperlink r:id="rId100" ref="F98"/>
    <hyperlink r:id="rId101" ref="F99"/>
    <hyperlink r:id="rId102" ref="F100"/>
    <hyperlink r:id="rId103" ref="F101"/>
    <hyperlink r:id="rId104" ref="F102"/>
    <hyperlink r:id="rId105" ref="F103"/>
    <hyperlink r:id="rId106" ref="F104"/>
    <hyperlink r:id="rId107" ref="G105"/>
    <hyperlink r:id="rId108" ref="F106"/>
    <hyperlink r:id="rId109" ref="F107"/>
    <hyperlink r:id="rId110" ref="G107"/>
    <hyperlink r:id="rId111" ref="F108"/>
    <hyperlink r:id="rId112" ref="F109"/>
    <hyperlink r:id="rId113" ref="F110"/>
  </hyperlinks>
  <drawing r:id="rId1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0.43"/>
    <col customWidth="1" min="11" max="11" width="29.29"/>
  </cols>
  <sheetData>
    <row r="1">
      <c r="A1" s="1" t="str">
        <f>IFERROR(__xludf.DUMMYFUNCTION("IMPORTRANGE(""https://docs.google.com/spreadsheets/d/1ZUVab5yoNM_r8YIYN7GlUU_jeuL82oUHllhtCScT4lE/edit#gid=1553382957"",""DS INFLUENCER ĐÃ CHỐT!a:s"")")," ")</f>
        <v> </v>
      </c>
      <c r="B1" s="1" t="str">
        <f>IFERROR(__xludf.DUMMYFUNCTION("""COMPUTED_VALUE"""),"DANH SÁCH INFLUENCER ĐƯỢC CHỐT")</f>
        <v>DANH SÁCH INFLUENCER ĐƯỢC CHỐT</v>
      </c>
      <c r="C1" s="1"/>
      <c r="D1" s="1"/>
      <c r="E1" s="1"/>
      <c r="F1" s="1"/>
      <c r="G1" s="1"/>
      <c r="H1" s="5"/>
      <c r="I1" s="6"/>
      <c r="J1" s="6"/>
      <c r="K1" s="6"/>
      <c r="L1" s="6"/>
      <c r="M1" s="6"/>
      <c r="N1" s="6"/>
      <c r="O1" s="6"/>
      <c r="P1" s="121"/>
      <c r="Q1" s="6"/>
      <c r="R1" s="6"/>
      <c r="S1" s="6"/>
      <c r="T1" s="6"/>
      <c r="U1" s="6"/>
      <c r="V1" s="6"/>
      <c r="W1" s="6"/>
    </row>
    <row r="2">
      <c r="A2" s="122" t="str">
        <f>IFERROR(__xludf.DUMMYFUNCTION("""COMPUTED_VALUE"""),"NGƯỜI LIÊN HỆ ĐIỀN ĐẦY ĐỦ THÔNG TIN NÀY")</f>
        <v>NGƯỜI LIÊN HỆ ĐIỀN ĐẦY ĐỦ THÔNG TIN NÀY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3" t="str">
        <f>IFERROR(__xludf.DUMMYFUNCTION("""COMPUTED_VALUE"""),"CONTENT")</f>
        <v>CONTENT</v>
      </c>
      <c r="Q2" s="122" t="str">
        <f>IFERROR(__xludf.DUMMYFUNCTION("""COMPUTED_VALUE"""),"IT")</f>
        <v>IT</v>
      </c>
      <c r="R2" s="122"/>
      <c r="S2" s="122"/>
    </row>
    <row r="3">
      <c r="A3" s="122" t="str">
        <f>IFERROR(__xludf.DUMMYFUNCTION("""COMPUTED_VALUE"""),"Mã INF")</f>
        <v>Mã INF</v>
      </c>
      <c r="B3" s="122" t="str">
        <f>IFERROR(__xludf.DUMMYFUNCTION("""COMPUTED_VALUE"""),"Tên TK MXH")</f>
        <v>Tên TK MXH</v>
      </c>
      <c r="C3" s="122" t="str">
        <f>IFERROR(__xludf.DUMMYFUNCTION("""COMPUTED_VALUE"""),"Kênh chính")</f>
        <v>Kênh chính</v>
      </c>
      <c r="D3" s="122" t="str">
        <f>IFERROR(__xludf.DUMMYFUNCTION("""COMPUTED_VALUE"""),"Kênh chéo")</f>
        <v>Kênh chéo</v>
      </c>
      <c r="E3" s="122" t="str">
        <f>IFERROR(__xludf.DUMMYFUNCTION("""COMPUTED_VALUE"""),"Số lượng Follow")</f>
        <v>Số lượng Follow</v>
      </c>
      <c r="F3" s="122" t="str">
        <f>IFERROR(__xludf.DUMMYFUNCTION("""COMPUTED_VALUE"""),"Họ và tên")</f>
        <v>Họ và tên</v>
      </c>
      <c r="G3" s="122" t="str">
        <f>IFERROR(__xludf.DUMMYFUNCTION("""COMPUTED_VALUE"""),"Ngày sinh")</f>
        <v>Ngày sinh</v>
      </c>
      <c r="H3" s="122" t="str">
        <f>IFERROR(__xludf.DUMMYFUNCTION("""COMPUTED_VALUE"""),"Số CMT/CCCD")</f>
        <v>Số CMT/CCCD</v>
      </c>
      <c r="I3" s="122" t="str">
        <f>IFERROR(__xludf.DUMMYFUNCTION("""COMPUTED_VALUE"""),"Số điện thoại")</f>
        <v>Số điện thoại</v>
      </c>
      <c r="J3" s="122" t="str">
        <f>IFERROR(__xludf.DUMMYFUNCTION("""COMPUTED_VALUE"""),"Email")</f>
        <v>Email</v>
      </c>
      <c r="K3" s="122" t="str">
        <f>IFERROR(__xludf.DUMMYFUNCTION("""COMPUTED_VALUE"""),"STK ngân hàng")</f>
        <v>STK ngân hàng</v>
      </c>
      <c r="L3" s="122" t="str">
        <f>IFERROR(__xludf.DUMMYFUNCTION("""COMPUTED_VALUE"""),"Tên chủ khoản")</f>
        <v>Tên chủ khoản</v>
      </c>
      <c r="M3" s="122" t="str">
        <f>IFERROR(__xludf.DUMMYFUNCTION("""COMPUTED_VALUE"""),"Tên ngân hàng")</f>
        <v>Tên ngân hàng</v>
      </c>
      <c r="N3" s="122" t="str">
        <f>IFERROR(__xludf.DUMMYFUNCTION("""COMPUTED_VALUE"""),"Địa chỉ")</f>
        <v>Địa chỉ</v>
      </c>
      <c r="O3" s="122" t="str">
        <f>IFERROR(__xludf.DUMMYFUNCTION("""COMPUTED_VALUE"""),"Người liên hệ")</f>
        <v>Người liên hệ</v>
      </c>
      <c r="P3" s="123" t="str">
        <f>IFERROR(__xludf.DUMMYFUNCTION("""COMPUTED_VALUE"""),"Người phụ trách")</f>
        <v>Người phụ trách</v>
      </c>
      <c r="Q3" s="122" t="str">
        <f>IFERROR(__xludf.DUMMYFUNCTION("""COMPUTED_VALUE"""),"Thông tin tài khoản")</f>
        <v>Thông tin tài khoản</v>
      </c>
      <c r="R3" s="122"/>
      <c r="S3" s="122"/>
    </row>
    <row r="4">
      <c r="A4" s="122">
        <f>IFERROR(__xludf.DUMMYFUNCTION("""COMPUTED_VALUE"""),385.0)</f>
        <v>385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3"/>
      <c r="Q4" s="122" t="str">
        <f>IFERROR(__xludf.DUMMYFUNCTION("""COMPUTED_VALUE"""),"Tên tài khoản")</f>
        <v>Tên tài khoản</v>
      </c>
      <c r="R4" s="122" t="str">
        <f>IFERROR(__xludf.DUMMYFUNCTION("""COMPUTED_VALUE"""),"Mã AFFILIATE")</f>
        <v>Mã AFFILIATE</v>
      </c>
      <c r="S4" s="122" t="str">
        <f>IFERROR(__xludf.DUMMYFUNCTION("""COMPUTED_VALUE"""),"Link affiliate")</f>
        <v>Link affiliate</v>
      </c>
    </row>
    <row r="5">
      <c r="A5" s="122" t="str">
        <f>IFERROR(__xludf.DUMMYFUNCTION("""COMPUTED_VALUE"""),"INFHOA777")</f>
        <v>INFHOA777</v>
      </c>
      <c r="B5" s="122" t="str">
        <f>IFERROR(__xludf.DUMMYFUNCTION("""COMPUTED_VALUE"""),"Phương Hoa (MC)")</f>
        <v>Phương Hoa (MC)</v>
      </c>
      <c r="C5" s="124" t="str">
        <f>IFERROR(__xludf.DUMMYFUNCTION("""COMPUTED_VALUE"""),"Fb")</f>
        <v>Fb</v>
      </c>
      <c r="D5" s="122"/>
      <c r="E5" s="122" t="str">
        <f>IFERROR(__xludf.DUMMYFUNCTION("""COMPUTED_VALUE"""),"55k ")</f>
        <v>55k </v>
      </c>
      <c r="F5" s="122" t="str">
        <f>IFERROR(__xludf.DUMMYFUNCTION("""COMPUTED_VALUE"""),"Hoàng Thị Hoa")</f>
        <v>Hoàng Thị Hoa</v>
      </c>
      <c r="G5" s="125">
        <f>IFERROR(__xludf.DUMMYFUNCTION("""COMPUTED_VALUE"""),35803.0)</f>
        <v>35803</v>
      </c>
      <c r="H5" s="122">
        <f>IFERROR(__xludf.DUMMYFUNCTION("""COMPUTED_VALUE"""),2.85674231E8)</f>
        <v>285674231</v>
      </c>
      <c r="I5" s="122">
        <f>IFERROR(__xludf.DUMMYFUNCTION("""COMPUTED_VALUE"""),3.46979777E8)</f>
        <v>346979777</v>
      </c>
      <c r="J5" s="122" t="str">
        <f>IFERROR(__xludf.DUMMYFUNCTION("""COMPUTED_VALUE"""),"mcphuonghoa@gmail.com")</f>
        <v>mcphuonghoa@gmail.com</v>
      </c>
      <c r="K5" s="122">
        <f>IFERROR(__xludf.DUMMYFUNCTION("""COMPUTED_VALUE"""),6.5510000280081E13)</f>
        <v>65510000280081</v>
      </c>
      <c r="L5" s="122" t="str">
        <f>IFERROR(__xludf.DUMMYFUNCTION("""COMPUTED_VALUE"""),"Hoàng Thị Hoa")</f>
        <v>Hoàng Thị Hoa</v>
      </c>
      <c r="M5" s="122" t="str">
        <f>IFERROR(__xludf.DUMMYFUNCTION("""COMPUTED_VALUE"""),"Bidv đồng xoài")</f>
        <v>Bidv đồng xoài</v>
      </c>
      <c r="N5" s="122" t="str">
        <f>IFERROR(__xludf.DUMMYFUNCTION("""COMPUTED_VALUE"""),"196 Đặng Văn Ngữ quận Phú Nhuận HCM ")</f>
        <v>196 Đặng Văn Ngữ quận Phú Nhuận HCM </v>
      </c>
      <c r="O5" s="122" t="str">
        <f>IFERROR(__xludf.DUMMYFUNCTION("""COMPUTED_VALUE"""),"Trâm")</f>
        <v>Trâm</v>
      </c>
      <c r="P5" s="123" t="str">
        <f>IFERROR(__xludf.DUMMYFUNCTION("""COMPUTED_VALUE"""),"Trâm")</f>
        <v>Trâm</v>
      </c>
      <c r="Q5" s="122"/>
      <c r="R5" s="122" t="str">
        <f>IFERROR(__xludf.DUMMYFUNCTION("""COMPUTED_VALUE"""),"INFHOA777")</f>
        <v>INFHOA777</v>
      </c>
      <c r="S5" s="124" t="str">
        <f>IFERROR(__xludf.DUMMYFUNCTION("""COMPUTED_VALUE"""),"http://yody.vn?affcode=INFHOA777")</f>
        <v>http://yody.vn?affcode=INFHOA777</v>
      </c>
    </row>
    <row r="6">
      <c r="A6" s="122" t="str">
        <f>IFERROR(__xludf.DUMMYFUNCTION("""COMPUTED_VALUE"""),"INFHUYEN641")</f>
        <v>INFHUYEN641</v>
      </c>
      <c r="B6" s="122" t="str">
        <f>IFERROR(__xludf.DUMMYFUNCTION("""COMPUTED_VALUE"""),"Nguyễn Thu Huyền")</f>
        <v>Nguyễn Thu Huyền</v>
      </c>
      <c r="C6" s="124" t="str">
        <f>IFERROR(__xludf.DUMMYFUNCTION("""COMPUTED_VALUE"""),"Fb")</f>
        <v>Fb</v>
      </c>
      <c r="D6" s="122"/>
      <c r="E6" s="122" t="str">
        <f>IFERROR(__xludf.DUMMYFUNCTION("""COMPUTED_VALUE"""),"98k ")</f>
        <v>98k </v>
      </c>
      <c r="F6" s="122" t="str">
        <f>IFERROR(__xludf.DUMMYFUNCTION("""COMPUTED_VALUE"""),"Nguyễn Thu Huyền")</f>
        <v>Nguyễn Thu Huyền</v>
      </c>
      <c r="G6" s="126">
        <f>IFERROR(__xludf.DUMMYFUNCTION("""COMPUTED_VALUE"""),36317.0)</f>
        <v>36317</v>
      </c>
      <c r="H6" s="122">
        <f>IFERROR(__xludf.DUMMYFUNCTION("""COMPUTED_VALUE"""),3.8199006147E10)</f>
        <v>38199006147</v>
      </c>
      <c r="I6" s="122">
        <f>IFERROR(__xludf.DUMMYFUNCTION("""COMPUTED_VALUE"""),8.68636641E8)</f>
        <v>868636641</v>
      </c>
      <c r="J6" s="122" t="str">
        <f>IFERROR(__xludf.DUMMYFUNCTION("""COMPUTED_VALUE"""),"Nthuhuyen05@gmail.com")</f>
        <v>Nthuhuyen05@gmail.com</v>
      </c>
      <c r="K6" s="122">
        <f>IFERROR(__xludf.DUMMYFUNCTION("""COMPUTED_VALUE"""),2.1210000627175E13)</f>
        <v>21210000627175</v>
      </c>
      <c r="L6" s="122" t="str">
        <f>IFERROR(__xludf.DUMMYFUNCTION("""COMPUTED_VALUE"""),"NGUYEN THU HUYEN")</f>
        <v>NGUYEN THU HUYEN</v>
      </c>
      <c r="M6" s="122" t="str">
        <f>IFERROR(__xludf.DUMMYFUNCTION("""COMPUTED_VALUE"""),"Bidv ")</f>
        <v>Bidv </v>
      </c>
      <c r="N6" s="122" t="str">
        <f>IFERROR(__xludf.DUMMYFUNCTION("""COMPUTED_VALUE"""),"Số nhà 28, ngõ 646, đường Lam Sơn, Thị Trấn Nông Cống, huyện Nông Cống, Thanh Hóa")</f>
        <v>Số nhà 28, ngõ 646, đường Lam Sơn, Thị Trấn Nông Cống, huyện Nông Cống, Thanh Hóa</v>
      </c>
      <c r="O6" s="122" t="str">
        <f>IFERROR(__xludf.DUMMYFUNCTION("""COMPUTED_VALUE"""),"Trâm")</f>
        <v>Trâm</v>
      </c>
      <c r="P6" s="123" t="str">
        <f>IFERROR(__xludf.DUMMYFUNCTION("""COMPUTED_VALUE"""),"Trâm")</f>
        <v>Trâm</v>
      </c>
      <c r="Q6" s="122"/>
      <c r="R6" s="122" t="str">
        <f>IFERROR(__xludf.DUMMYFUNCTION("""COMPUTED_VALUE"""),"INFHUYEN641")</f>
        <v>INFHUYEN641</v>
      </c>
      <c r="S6" s="124" t="str">
        <f>IFERROR(__xludf.DUMMYFUNCTION("""COMPUTED_VALUE"""),"http://yody.vn?affcode=INFHUYEN641")</f>
        <v>http://yody.vn?affcode=INFHUYEN641</v>
      </c>
    </row>
    <row r="7">
      <c r="A7" s="122" t="str">
        <f>IFERROR(__xludf.DUMMYFUNCTION("""COMPUTED_VALUE"""),"INFNHI376")</f>
        <v>INFNHI376</v>
      </c>
      <c r="B7" s="122" t="str">
        <f>IFERROR(__xludf.DUMMYFUNCTION("""COMPUTED_VALUE"""),"Lý Nguyễn Nhi")</f>
        <v>Lý Nguyễn Nhi</v>
      </c>
      <c r="C7" s="124" t="str">
        <f>IFERROR(__xludf.DUMMYFUNCTION("""COMPUTED_VALUE"""),"Tiktok")</f>
        <v>Tiktok</v>
      </c>
      <c r="D7" s="122"/>
      <c r="E7" s="122" t="str">
        <f>IFERROR(__xludf.DUMMYFUNCTION("""COMPUTED_VALUE"""),"508k ")</f>
        <v>508k </v>
      </c>
      <c r="F7" s="122" t="str">
        <f>IFERROR(__xludf.DUMMYFUNCTION("""COMPUTED_VALUE"""),"Lý Nguyễn Nhi")</f>
        <v>Lý Nguyễn Nhi</v>
      </c>
      <c r="G7" s="126">
        <f>IFERROR(__xludf.DUMMYFUNCTION("""COMPUTED_VALUE"""),36801.0)</f>
        <v>36801</v>
      </c>
      <c r="H7" s="122">
        <f>IFERROR(__xludf.DUMMYFUNCTION("""COMPUTED_VALUE"""),7.9300014802E10)</f>
        <v>79300014802</v>
      </c>
      <c r="I7" s="122">
        <f>IFERROR(__xludf.DUMMYFUNCTION("""COMPUTED_VALUE"""),8.32363376E8)</f>
        <v>832363376</v>
      </c>
      <c r="J7" s="122" t="str">
        <f>IFERROR(__xludf.DUMMYFUNCTION("""COMPUTED_VALUE"""),"lynguyennhikh2014@gmail.com")</f>
        <v>lynguyennhikh2014@gmail.com</v>
      </c>
      <c r="K7" s="122">
        <f>IFERROR(__xludf.DUMMYFUNCTION("""COMPUTED_VALUE"""),1.05000820531E11)</f>
        <v>105000820531</v>
      </c>
      <c r="L7" s="122" t="str">
        <f>IFERROR(__xludf.DUMMYFUNCTION("""COMPUTED_VALUE"""),"Lý Nguyễn Nhi")</f>
        <v>Lý Nguyễn Nhi</v>
      </c>
      <c r="M7" s="122" t="str">
        <f>IFERROR(__xludf.DUMMYFUNCTION("""COMPUTED_VALUE"""),"pvcombank")</f>
        <v>pvcombank</v>
      </c>
      <c r="N7" s="122" t="str">
        <f>IFERROR(__xludf.DUMMYFUNCTION("""COMPUTED_VALUE"""),"591/8 trần xuân soạn q7")</f>
        <v>591/8 trần xuân soạn q7</v>
      </c>
      <c r="O7" s="122" t="str">
        <f>IFERROR(__xludf.DUMMYFUNCTION("""COMPUTED_VALUE"""),"Trâm")</f>
        <v>Trâm</v>
      </c>
      <c r="P7" s="123" t="str">
        <f>IFERROR(__xludf.DUMMYFUNCTION("""COMPUTED_VALUE"""),"Trâm")</f>
        <v>Trâm</v>
      </c>
      <c r="Q7" s="122"/>
      <c r="R7" s="122" t="str">
        <f>IFERROR(__xludf.DUMMYFUNCTION("""COMPUTED_VALUE"""),"INFNHI376")</f>
        <v>INFNHI376</v>
      </c>
      <c r="S7" s="124" t="str">
        <f>IFERROR(__xludf.DUMMYFUNCTION("""COMPUTED_VALUE"""),"http://yody.vn?affcode=INFNHI376")</f>
        <v>http://yody.vn?affcode=INFNHI376</v>
      </c>
    </row>
    <row r="8">
      <c r="A8" s="122" t="str">
        <f>IFERROR(__xludf.DUMMYFUNCTION("""COMPUTED_VALUE"""),"INFDAI376")</f>
        <v>INFDAI376</v>
      </c>
      <c r="B8" s="122" t="str">
        <f>IFERROR(__xludf.DUMMYFUNCTION("""COMPUTED_VALUE"""),"Đặng Đức Đại (MC)")</f>
        <v>Đặng Đức Đại (MC)</v>
      </c>
      <c r="C8" s="124" t="str">
        <f>IFERROR(__xludf.DUMMYFUNCTION("""COMPUTED_VALUE"""),"FB")</f>
        <v>FB</v>
      </c>
      <c r="D8" s="122"/>
      <c r="E8" s="122" t="str">
        <f>IFERROR(__xludf.DUMMYFUNCTION("""COMPUTED_VALUE"""),"107k")</f>
        <v>107k</v>
      </c>
      <c r="F8" s="122" t="str">
        <f>IFERROR(__xludf.DUMMYFUNCTION("""COMPUTED_VALUE"""),"Đặng Đức Đại")</f>
        <v>Đặng Đức Đại</v>
      </c>
      <c r="G8" s="122">
        <f>IFERROR(__xludf.DUMMYFUNCTION("""COMPUTED_VALUE"""),1999.0)</f>
        <v>1999</v>
      </c>
      <c r="H8" s="122">
        <f>IFERROR(__xludf.DUMMYFUNCTION("""COMPUTED_VALUE"""),1.099005088E9)</f>
        <v>1099005088</v>
      </c>
      <c r="I8" s="122">
        <f>IFERROR(__xludf.DUMMYFUNCTION("""COMPUTED_VALUE"""),3.72154376E8)</f>
        <v>372154376</v>
      </c>
      <c r="J8" s="124" t="str">
        <f>IFERROR(__xludf.DUMMYFUNCTION("""COMPUTED_VALUE"""),"dangducanh55556666@gmail.com")</f>
        <v>dangducanh55556666@gmail.com</v>
      </c>
      <c r="K8" s="122" t="str">
        <f>IFERROR(__xludf.DUMMYFUNCTION("""COMPUTED_VALUE"""),"0021000412417
")</f>
        <v>0021000412417
</v>
      </c>
      <c r="L8" s="122" t="str">
        <f>IFERROR(__xludf.DUMMYFUNCTION("""COMPUTED_VALUE"""),"DANG DUC DAI")</f>
        <v>DANG DUC DAI</v>
      </c>
      <c r="M8" s="122" t="str">
        <f>IFERROR(__xludf.DUMMYFUNCTION("""COMPUTED_VALUE"""),"VIETCOMBANK")</f>
        <v>VIETCOMBANK</v>
      </c>
      <c r="N8" s="122" t="str">
        <f>IFERROR(__xludf.DUMMYFUNCTION("""COMPUTED_VALUE"""),"Số 30 (cuối ngõ) ngõ 651/26/9 Minh Khai , quận Hai Bà Trưng , Hà Nội")</f>
        <v>Số 30 (cuối ngõ) ngõ 651/26/9 Minh Khai , quận Hai Bà Trưng , Hà Nội</v>
      </c>
      <c r="O8" s="122" t="str">
        <f>IFERROR(__xludf.DUMMYFUNCTION("""COMPUTED_VALUE"""),"Hiên")</f>
        <v>Hiên</v>
      </c>
      <c r="P8" s="123" t="str">
        <f>IFERROR(__xludf.DUMMYFUNCTION("""COMPUTED_VALUE"""),"Trâm")</f>
        <v>Trâm</v>
      </c>
      <c r="Q8" s="122"/>
      <c r="R8" s="122" t="str">
        <f>IFERROR(__xludf.DUMMYFUNCTION("""COMPUTED_VALUE"""),"INFDAI376")</f>
        <v>INFDAI376</v>
      </c>
      <c r="S8" s="124" t="str">
        <f>IFERROR(__xludf.DUMMYFUNCTION("""COMPUTED_VALUE"""),"http://yody.vn?affcode=INFDAI376")</f>
        <v>http://yody.vn?affcode=INFDAI376</v>
      </c>
    </row>
    <row r="9">
      <c r="A9" s="122" t="str">
        <f>IFERROR(__xludf.DUMMYFUNCTION("""COMPUTED_VALUE"""),"INFNHU209")</f>
        <v>INFNHU209</v>
      </c>
      <c r="B9" s="122" t="str">
        <f>IFERROR(__xludf.DUMMYFUNCTION("""COMPUTED_VALUE"""),"Huỳnh Thị Huỳnh Như")</f>
        <v>Huỳnh Thị Huỳnh Như</v>
      </c>
      <c r="C9" s="124" t="str">
        <f>IFERROR(__xludf.DUMMYFUNCTION("""COMPUTED_VALUE"""),"FB")</f>
        <v>FB</v>
      </c>
      <c r="D9" s="122"/>
      <c r="E9" s="122" t="str">
        <f>IFERROR(__xludf.DUMMYFUNCTION("""COMPUTED_VALUE"""),"55k")</f>
        <v>55k</v>
      </c>
      <c r="F9" s="122" t="str">
        <f>IFERROR(__xludf.DUMMYFUNCTION("""COMPUTED_VALUE"""),"Huỳnh Thị Huỳnh Như")</f>
        <v>Huỳnh Thị Huỳnh Như</v>
      </c>
      <c r="G9" s="122">
        <f>IFERROR(__xludf.DUMMYFUNCTION("""COMPUTED_VALUE"""),1997.0)</f>
        <v>1997</v>
      </c>
      <c r="H9" s="122">
        <f>IFERROR(__xludf.DUMMYFUNCTION("""COMPUTED_VALUE"""),2.81137437E8)</f>
        <v>281137437</v>
      </c>
      <c r="I9" s="122">
        <f>IFERROR(__xludf.DUMMYFUNCTION("""COMPUTED_VALUE"""),9.67467209E8)</f>
        <v>967467209</v>
      </c>
      <c r="J9" s="122" t="str">
        <f>IFERROR(__xludf.DUMMYFUNCTION("""COMPUTED_VALUE"""),"Huynhnhudvt@gmail.com")</f>
        <v>Huynhnhudvt@gmail.com</v>
      </c>
      <c r="K9" s="122" t="str">
        <f>IFERROR(__xludf.DUMMYFUNCTION("""COMPUTED_VALUE"""),"0281000656733
")</f>
        <v>0281000656733
</v>
      </c>
      <c r="L9" s="122" t="str">
        <f>IFERROR(__xludf.DUMMYFUNCTION("""COMPUTED_VALUE"""),"Huynh Thi Huynh Nhu")</f>
        <v>Huynh Thi Huynh Nhu</v>
      </c>
      <c r="M9" s="122" t="str">
        <f>IFERROR(__xludf.DUMMYFUNCTION("""COMPUTED_VALUE"""),"Vietcombank")</f>
        <v>Vietcombank</v>
      </c>
      <c r="N9" s="122" t="str">
        <f>IFERROR(__xludf.DUMMYFUNCTION("""COMPUTED_VALUE"""),"22-24 Hùng Vương, Phú Cường, Thủ Dầu Một, Bình Dương")</f>
        <v>22-24 Hùng Vương, Phú Cường, Thủ Dầu Một, Bình Dương</v>
      </c>
      <c r="O9" s="122" t="str">
        <f>IFERROR(__xludf.DUMMYFUNCTION("""COMPUTED_VALUE"""),"Hiên")</f>
        <v>Hiên</v>
      </c>
      <c r="P9" s="123" t="str">
        <f>IFERROR(__xludf.DUMMYFUNCTION("""COMPUTED_VALUE"""),"Trâm")</f>
        <v>Trâm</v>
      </c>
      <c r="Q9" s="122"/>
      <c r="R9" s="122" t="str">
        <f>IFERROR(__xludf.DUMMYFUNCTION("""COMPUTED_VALUE"""),"INFNHU209")</f>
        <v>INFNHU209</v>
      </c>
      <c r="S9" s="124" t="str">
        <f>IFERROR(__xludf.DUMMYFUNCTION("""COMPUTED_VALUE"""),"http://yody.vn?affcode=INFNHU209")</f>
        <v>http://yody.vn?affcode=INFNHU209</v>
      </c>
    </row>
    <row r="10">
      <c r="A10" s="122" t="str">
        <f>IFERROR(__xludf.DUMMYFUNCTION("""COMPUTED_VALUE"""),"INFANH277")</f>
        <v>INFANH277</v>
      </c>
      <c r="B10" s="122" t="str">
        <f>IFERROR(__xludf.DUMMYFUNCTION("""COMPUTED_VALUE"""),"Vũ Tiến Anh")</f>
        <v>Vũ Tiến Anh</v>
      </c>
      <c r="C10" s="124" t="str">
        <f>IFERROR(__xludf.DUMMYFUNCTION("""COMPUTED_VALUE"""),"FB")</f>
        <v>FB</v>
      </c>
      <c r="D10" s="122"/>
      <c r="E10" s="122" t="str">
        <f>IFERROR(__xludf.DUMMYFUNCTION("""COMPUTED_VALUE"""),"50k")</f>
        <v>50k</v>
      </c>
      <c r="F10" s="122" t="str">
        <f>IFERROR(__xludf.DUMMYFUNCTION("""COMPUTED_VALUE"""),"Vũ Tiến Anh")</f>
        <v>Vũ Tiến Anh</v>
      </c>
      <c r="G10" s="122">
        <f>IFERROR(__xludf.DUMMYFUNCTION("""COMPUTED_VALUE"""),1999.0)</f>
        <v>1999</v>
      </c>
      <c r="H10" s="122">
        <f>IFERROR(__xludf.DUMMYFUNCTION("""COMPUTED_VALUE"""),1.099000313E9)</f>
        <v>1099000313</v>
      </c>
      <c r="I10" s="122">
        <f>IFERROR(__xludf.DUMMYFUNCTION("""COMPUTED_VALUE"""),3.69670277E8)</f>
        <v>369670277</v>
      </c>
      <c r="J10" s="124" t="str">
        <f>IFERROR(__xludf.DUMMYFUNCTION("""COMPUTED_VALUE"""),"Vutienanh151299@gmail.com")</f>
        <v>Vutienanh151299@gmail.com</v>
      </c>
      <c r="K10" s="122">
        <f>IFERROR(__xludf.DUMMYFUNCTION("""COMPUTED_VALUE"""),1.9035536354017E13)</f>
        <v>19035536354017</v>
      </c>
      <c r="L10" s="122" t="str">
        <f>IFERROR(__xludf.DUMMYFUNCTION("""COMPUTED_VALUE"""),"Vu Tien Anh")</f>
        <v>Vu Tien Anh</v>
      </c>
      <c r="M10" s="122" t="str">
        <f>IFERROR(__xludf.DUMMYFUNCTION("""COMPUTED_VALUE"""),"Techcombank")</f>
        <v>Techcombank</v>
      </c>
      <c r="N10" s="122" t="str">
        <f>IFERROR(__xludf.DUMMYFUNCTION("""COMPUTED_VALUE"""),"Số nhà 40 Ngõ 200 Vĩnh Hung Hoàng Mai Hà Nội")</f>
        <v>Số nhà 40 Ngõ 200 Vĩnh Hung Hoàng Mai Hà Nội</v>
      </c>
      <c r="O10" s="122" t="str">
        <f>IFERROR(__xludf.DUMMYFUNCTION("""COMPUTED_VALUE"""),"Hiên")</f>
        <v>Hiên</v>
      </c>
      <c r="P10" s="123" t="str">
        <f>IFERROR(__xludf.DUMMYFUNCTION("""COMPUTED_VALUE"""),"Trâm")</f>
        <v>Trâm</v>
      </c>
      <c r="Q10" s="122"/>
      <c r="R10" s="122" t="str">
        <f>IFERROR(__xludf.DUMMYFUNCTION("""COMPUTED_VALUE"""),"INFANH277")</f>
        <v>INFANH277</v>
      </c>
      <c r="S10" s="124" t="str">
        <f>IFERROR(__xludf.DUMMYFUNCTION("""COMPUTED_VALUE"""),"http://yody.vn?affcode=INFANH277")</f>
        <v>http://yody.vn?affcode=INFANH277</v>
      </c>
    </row>
    <row r="11">
      <c r="A11" s="122" t="str">
        <f>IFERROR(__xludf.DUMMYFUNCTION("""COMPUTED_VALUE"""),"INFGIANG354")</f>
        <v>INFGIANG354</v>
      </c>
      <c r="B11" s="122" t="str">
        <f>IFERROR(__xludf.DUMMYFUNCTION("""COMPUTED_VALUE"""),"Dương Văn Giang")</f>
        <v>Dương Văn Giang</v>
      </c>
      <c r="C11" s="124" t="str">
        <f>IFERROR(__xludf.DUMMYFUNCTION("""COMPUTED_VALUE"""),"Tiktok")</f>
        <v>Tiktok</v>
      </c>
      <c r="D11" s="122"/>
      <c r="E11" s="122" t="str">
        <f>IFERROR(__xludf.DUMMYFUNCTION("""COMPUTED_VALUE"""),"67k ")</f>
        <v>67k </v>
      </c>
      <c r="F11" s="122" t="str">
        <f>IFERROR(__xludf.DUMMYFUNCTION("""COMPUTED_VALUE"""),"Dương Văn Giang")</f>
        <v>Dương Văn Giang</v>
      </c>
      <c r="G11" s="125">
        <f>IFERROR(__xludf.DUMMYFUNCTION("""COMPUTED_VALUE"""),38574.0)</f>
        <v>38574</v>
      </c>
      <c r="H11" s="122">
        <f>IFERROR(__xludf.DUMMYFUNCTION("""COMPUTED_VALUE"""),1.9205001674E10)</f>
        <v>19205001674</v>
      </c>
      <c r="I11" s="122">
        <f>IFERROR(__xludf.DUMMYFUNCTION("""COMPUTED_VALUE"""),9.43053354E8)</f>
        <v>943053354</v>
      </c>
      <c r="J11" s="122" t="str">
        <f>IFERROR(__xludf.DUMMYFUNCTION("""COMPUTED_VALUE"""),"linh810205@gmail.com")</f>
        <v>linh810205@gmail.com</v>
      </c>
      <c r="K11" s="122">
        <f>IFERROR(__xludf.DUMMYFUNCTION("""COMPUTED_VALUE"""),1.00870644053E11)</f>
        <v>100870644053</v>
      </c>
      <c r="L11" s="122" t="str">
        <f>IFERROR(__xludf.DUMMYFUNCTION("""COMPUTED_VALUE"""),"DUONG THI HA ")</f>
        <v>DUONG THI HA </v>
      </c>
      <c r="M11" s="122" t="str">
        <f>IFERROR(__xludf.DUMMYFUNCTION("""COMPUTED_VALUE"""),"Vietinbank")</f>
        <v>Vietinbank</v>
      </c>
      <c r="N11" s="122" t="str">
        <f>IFERROR(__xludf.DUMMYFUNCTION("""COMPUTED_VALUE"""),"Xóm Lương Tạ 2, Xã Lương Phú, Huyện Phú Bình , Tỉnh Thái Nguyên ")</f>
        <v>Xóm Lương Tạ 2, Xã Lương Phú, Huyện Phú Bình , Tỉnh Thái Nguyên </v>
      </c>
      <c r="O11" s="122" t="str">
        <f>IFERROR(__xludf.DUMMYFUNCTION("""COMPUTED_VALUE"""),"Trâm")</f>
        <v>Trâm</v>
      </c>
      <c r="P11" s="123" t="str">
        <f>IFERROR(__xludf.DUMMYFUNCTION("""COMPUTED_VALUE"""),"Trâm")</f>
        <v>Trâm</v>
      </c>
      <c r="Q11" s="122"/>
      <c r="R11" s="122" t="str">
        <f>IFERROR(__xludf.DUMMYFUNCTION("""COMPUTED_VALUE"""),"INFGIANG354")</f>
        <v>INFGIANG354</v>
      </c>
      <c r="S11" s="124" t="str">
        <f>IFERROR(__xludf.DUMMYFUNCTION("""COMPUTED_VALUE"""),"http://yody.vn?affcode=INFGIANG354")</f>
        <v>http://yody.vn?affcode=INFGIANG354</v>
      </c>
    </row>
    <row r="12">
      <c r="A12" s="122" t="str">
        <f>IFERROR(__xludf.DUMMYFUNCTION("""COMPUTED_VALUE"""),"INFTHUY282")</f>
        <v>INFTHUY282</v>
      </c>
      <c r="B12" s="122" t="str">
        <f>IFERROR(__xludf.DUMMYFUNCTION("""COMPUTED_VALUE"""),"Bích Thùy Nguyễn")</f>
        <v>Bích Thùy Nguyễn</v>
      </c>
      <c r="C12" s="124" t="str">
        <f>IFERROR(__xludf.DUMMYFUNCTION("""COMPUTED_VALUE"""),"tiktok")</f>
        <v>tiktok</v>
      </c>
      <c r="D12" s="122"/>
      <c r="E12" s="122" t="str">
        <f>IFERROR(__xludf.DUMMYFUNCTION("""COMPUTED_VALUE"""),"154K")</f>
        <v>154K</v>
      </c>
      <c r="F12" s="122" t="str">
        <f>IFERROR(__xludf.DUMMYFUNCTION("""COMPUTED_VALUE""")," Nguyễn Bích Thuỳ")</f>
        <v> Nguyễn Bích Thuỳ</v>
      </c>
      <c r="G12" s="126">
        <f>IFERROR(__xludf.DUMMYFUNCTION("""COMPUTED_VALUE"""),35927.0)</f>
        <v>35927</v>
      </c>
      <c r="H12" s="122">
        <f>IFERROR(__xludf.DUMMYFUNCTION("""COMPUTED_VALUE"""),1.42809827E8)</f>
        <v>142809827</v>
      </c>
      <c r="I12" s="122">
        <f>IFERROR(__xludf.DUMMYFUNCTION("""COMPUTED_VALUE"""),3.64568282E8)</f>
        <v>364568282</v>
      </c>
      <c r="J12" s="122" t="str">
        <f>IFERROR(__xludf.DUMMYFUNCTION("""COMPUTED_VALUE"""),"Thuyxinh327@gmail.com")</f>
        <v>Thuyxinh327@gmail.com</v>
      </c>
      <c r="K12" s="122" t="str">
        <f>IFERROR(__xludf.DUMMYFUNCTION("""COMPUTED_VALUE"""),"0341007065389
")</f>
        <v>0341007065389
</v>
      </c>
      <c r="L12" s="122" t="str">
        <f>IFERROR(__xludf.DUMMYFUNCTION("""COMPUTED_VALUE"""),"NGUYEN THI BICH THUY")</f>
        <v>NGUYEN THI BICH THUY</v>
      </c>
      <c r="M12" s="122" t="str">
        <f>IFERROR(__xludf.DUMMYFUNCTION("""COMPUTED_VALUE"""),"Vietcombank
")</f>
        <v>Vietcombank
</v>
      </c>
      <c r="N12" s="122" t="str">
        <f>IFERROR(__xludf.DUMMYFUNCTION("""COMPUTED_VALUE"""),"Địa chỉ : số 20, ngõ 105 Nguyễn Thị Duệ, phường Thanh Bình, tp Hải Dương")</f>
        <v>Địa chỉ : số 20, ngõ 105 Nguyễn Thị Duệ, phường Thanh Bình, tp Hải Dương</v>
      </c>
      <c r="O12" s="122"/>
      <c r="P12" s="123" t="str">
        <f>IFERROR(__xludf.DUMMYFUNCTION("""COMPUTED_VALUE"""),"Mến")</f>
        <v>Mến</v>
      </c>
      <c r="Q12" s="122"/>
      <c r="R12" s="122" t="str">
        <f>IFERROR(__xludf.DUMMYFUNCTION("""COMPUTED_VALUE"""),"INFTHUY282")</f>
        <v>INFTHUY282</v>
      </c>
      <c r="S12" s="124" t="str">
        <f>IFERROR(__xludf.DUMMYFUNCTION("""COMPUTED_VALUE"""),"https://yody.vn/?affcode=INFTHUY282")</f>
        <v>https://yody.vn/?affcode=INFTHUY282</v>
      </c>
    </row>
    <row r="13">
      <c r="A13" s="122" t="str">
        <f>IFERROR(__xludf.DUMMYFUNCTION("""COMPUTED_VALUE"""),"INFPHUC284")</f>
        <v>INFPHUC284</v>
      </c>
      <c r="B13" s="122" t="str">
        <f>IFERROR(__xludf.DUMMYFUNCTION("""COMPUTED_VALUE"""),"Trần Hồng Phúc")</f>
        <v>Trần Hồng Phúc</v>
      </c>
      <c r="C13" s="124" t="str">
        <f>IFERROR(__xludf.DUMMYFUNCTION("""COMPUTED_VALUE"""),"fb")</f>
        <v>fb</v>
      </c>
      <c r="D13" s="122"/>
      <c r="E13" s="122" t="str">
        <f>IFERROR(__xludf.DUMMYFUNCTION("""COMPUTED_VALUE"""),"104k")</f>
        <v>104k</v>
      </c>
      <c r="F13" s="122" t="str">
        <f>IFERROR(__xludf.DUMMYFUNCTION("""COMPUTED_VALUE"""),"Trần Hồng Phúc")</f>
        <v>Trần Hồng Phúc</v>
      </c>
      <c r="G13" s="126">
        <f>IFERROR(__xludf.DUMMYFUNCTION("""COMPUTED_VALUE"""),36075.0)</f>
        <v>36075</v>
      </c>
      <c r="H13" s="122"/>
      <c r="I13" s="122">
        <f>IFERROR(__xludf.DUMMYFUNCTION("""COMPUTED_VALUE"""),7.87616284E8)</f>
        <v>787616284</v>
      </c>
      <c r="J13" s="122" t="str">
        <f>IFERROR(__xludf.DUMMYFUNCTION("""COMPUTED_VALUE"""),"hongphuc10798@gmail.com")</f>
        <v>hongphuc10798@gmail.com</v>
      </c>
      <c r="K13" s="122">
        <f>IFERROR(__xludf.DUMMYFUNCTION("""COMPUTED_VALUE"""),1.903672467301E13)</f>
        <v>19036724673010</v>
      </c>
      <c r="L13" s="122" t="str">
        <f>IFERROR(__xludf.DUMMYFUNCTION("""COMPUTED_VALUE""")," TRAN HONG PHUC")</f>
        <v> TRAN HONG PHUC</v>
      </c>
      <c r="M13" s="122" t="str">
        <f>IFERROR(__xludf.DUMMYFUNCTION("""COMPUTED_VALUE""")," TECHCOMBANK")</f>
        <v> TECHCOMBANK</v>
      </c>
      <c r="N13" s="122" t="str">
        <f>IFERROR(__xludf.DUMMYFUNCTION("""COMPUTED_VALUE""")," 36/2/7 Khu Phố 5 / Phường Tân Thới Nhất / Quận 12 Đường Phan Văn Hớn ")</f>
        <v> 36/2/7 Khu Phố 5 / Phường Tân Thới Nhất / Quận 12 Đường Phan Văn Hớn </v>
      </c>
      <c r="O13" s="122"/>
      <c r="P13" s="123" t="str">
        <f>IFERROR(__xludf.DUMMYFUNCTION("""COMPUTED_VALUE"""),"Mến")</f>
        <v>Mến</v>
      </c>
      <c r="Q13" s="122"/>
      <c r="R13" s="122" t="str">
        <f>IFERROR(__xludf.DUMMYFUNCTION("""COMPUTED_VALUE"""),"INFPHUC284")</f>
        <v>INFPHUC284</v>
      </c>
      <c r="S13" s="124" t="str">
        <f>IFERROR(__xludf.DUMMYFUNCTION("""COMPUTED_VALUE"""),"https://yody.vn/?affcode=INFPHUC284")</f>
        <v>https://yody.vn/?affcode=INFPHUC284</v>
      </c>
    </row>
    <row r="14">
      <c r="A14" s="122" t="str">
        <f>IFERROR(__xludf.DUMMYFUNCTION("""COMPUTED_VALUE"""),"INFTHUY744")</f>
        <v>INFTHUY744</v>
      </c>
      <c r="B14" s="122" t="str">
        <f>IFERROR(__xludf.DUMMYFUNCTION("""COMPUTED_VALUE"""),"Phan Thị Thúy")</f>
        <v>Phan Thị Thúy</v>
      </c>
      <c r="C14" s="124" t="str">
        <f>IFERROR(__xludf.DUMMYFUNCTION("""COMPUTED_VALUE"""),"Tiktok")</f>
        <v>Tiktok</v>
      </c>
      <c r="D14" s="122"/>
      <c r="E14" s="122" t="str">
        <f>IFERROR(__xludf.DUMMYFUNCTION("""COMPUTED_VALUE"""),"108k ")</f>
        <v>108k </v>
      </c>
      <c r="F14" s="122" t="str">
        <f>IFERROR(__xludf.DUMMYFUNCTION("""COMPUTED_VALUE"""),"Phan Thị Thúy")</f>
        <v>Phan Thị Thúy</v>
      </c>
      <c r="G14" s="126">
        <f>IFERROR(__xludf.DUMMYFUNCTION("""COMPUTED_VALUE"""),37358.0)</f>
        <v>37358</v>
      </c>
      <c r="H14" s="122">
        <f>IFERROR(__xludf.DUMMYFUNCTION("""COMPUTED_VALUE"""),1.87880394E8)</f>
        <v>187880394</v>
      </c>
      <c r="I14" s="122">
        <f>IFERROR(__xludf.DUMMYFUNCTION("""COMPUTED_VALUE"""),3.65441744E8)</f>
        <v>365441744</v>
      </c>
      <c r="J14" s="122" t="str">
        <f>IFERROR(__xludf.DUMMYFUNCTION("""COMPUTED_VALUE"""),"thuynganbeobeo@gmail.com")</f>
        <v>thuynganbeobeo@gmail.com</v>
      </c>
      <c r="K14" s="122">
        <f>IFERROR(__xludf.DUMMYFUNCTION("""COMPUTED_VALUE"""),3.610205344421E12)</f>
        <v>3610205344421</v>
      </c>
      <c r="L14" s="122" t="str">
        <f>IFERROR(__xludf.DUMMYFUNCTION("""COMPUTED_VALUE"""),"PHAN THI THUY")</f>
        <v>PHAN THI THUY</v>
      </c>
      <c r="M14" s="122" t="str">
        <f>IFERROR(__xludf.DUMMYFUNCTION("""COMPUTED_VALUE"""),"agribank")</f>
        <v>agribank</v>
      </c>
      <c r="N14" s="122" t="str">
        <f>IFERROR(__xludf.DUMMYFUNCTION("""COMPUTED_VALUE"""),"Thanh Bình- Tân An- Tân Kỳ- Nghệ An")</f>
        <v>Thanh Bình- Tân An- Tân Kỳ- Nghệ An</v>
      </c>
      <c r="O14" s="122" t="str">
        <f>IFERROR(__xludf.DUMMYFUNCTION("""COMPUTED_VALUE"""),"Trâm")</f>
        <v>Trâm</v>
      </c>
      <c r="P14" s="123" t="str">
        <f>IFERROR(__xludf.DUMMYFUNCTION("""COMPUTED_VALUE"""),"Trâm")</f>
        <v>Trâm</v>
      </c>
      <c r="Q14" s="122"/>
      <c r="R14" s="122" t="str">
        <f>IFERROR(__xludf.DUMMYFUNCTION("""COMPUTED_VALUE"""),"INFTHUY744")</f>
        <v>INFTHUY744</v>
      </c>
      <c r="S14" s="124" t="str">
        <f>IFERROR(__xludf.DUMMYFUNCTION("""COMPUTED_VALUE"""),"http://yody.vn?affcode=INFTHUY744")</f>
        <v>http://yody.vn?affcode=INFTHUY744</v>
      </c>
    </row>
    <row r="15">
      <c r="A15" s="122" t="str">
        <f>IFERROR(__xludf.DUMMYFUNCTION("""COMPUTED_VALUE"""),"INFNHAN283")</f>
        <v>INFNHAN283</v>
      </c>
      <c r="B15" s="122" t="str">
        <f>IFERROR(__xludf.DUMMYFUNCTION("""COMPUTED_VALUE"""),"Thiện Nhân")</f>
        <v>Thiện Nhân</v>
      </c>
      <c r="C15" s="122" t="str">
        <f>IFERROR(__xludf.DUMMYFUNCTION("""COMPUTED_VALUE"""),"fb / tiktok")</f>
        <v>fb / tiktok</v>
      </c>
      <c r="D15" s="122"/>
      <c r="E15" s="122" t="str">
        <f>IFERROR(__xludf.DUMMYFUNCTION("""COMPUTED_VALUE"""),"63k / 77k ")</f>
        <v>63k / 77k </v>
      </c>
      <c r="F15" s="122" t="str">
        <f>IFERROR(__xludf.DUMMYFUNCTION("""COMPUTED_VALUE"""),"Dương Thái Thiện Nhân")</f>
        <v>Dương Thái Thiện Nhân</v>
      </c>
      <c r="G15" s="122">
        <f>IFERROR(__xludf.DUMMYFUNCTION("""COMPUTED_VALUE"""),2002.0)</f>
        <v>2002</v>
      </c>
      <c r="H15" s="122">
        <f>IFERROR(__xludf.DUMMYFUNCTION("""COMPUTED_VALUE"""),2.72985209E8)</f>
        <v>272985209</v>
      </c>
      <c r="I15" s="122">
        <f>IFERROR(__xludf.DUMMYFUNCTION("""COMPUTED_VALUE"""),7.63983283E8)</f>
        <v>763983283</v>
      </c>
      <c r="J15" s="122" t="str">
        <f>IFERROR(__xludf.DUMMYFUNCTION("""COMPUTED_VALUE"""),"Thiennhanrtyfgh123@gmail.com")</f>
        <v>Thiennhanrtyfgh123@gmail.com</v>
      </c>
      <c r="K15" s="122">
        <f>IFERROR(__xludf.DUMMYFUNCTION("""COMPUTED_VALUE"""),1.3100837E7)</f>
        <v>13100837</v>
      </c>
      <c r="L15" s="122" t="str">
        <f>IFERROR(__xludf.DUMMYFUNCTION("""COMPUTED_VALUE"""),"LUU HUYNH PHUONG LINH")</f>
        <v>LUU HUYNH PHUONG LINH</v>
      </c>
      <c r="M15" s="122" t="str">
        <f>IFERROR(__xludf.DUMMYFUNCTION("""COMPUTED_VALUE"""),"ACB")</f>
        <v>ACB</v>
      </c>
      <c r="N15" s="122" t="str">
        <f>IFERROR(__xludf.DUMMYFUNCTION("""COMPUTED_VALUE"""),"381/1c tân hoà đông/bình trị đông/bình tân/tphcm")</f>
        <v>381/1c tân hoà đông/bình trị đông/bình tân/tphcm</v>
      </c>
      <c r="O15" s="122" t="str">
        <f>IFERROR(__xludf.DUMMYFUNCTION("""COMPUTED_VALUE"""),"Trâm")</f>
        <v>Trâm</v>
      </c>
      <c r="P15" s="123" t="str">
        <f>IFERROR(__xludf.DUMMYFUNCTION("""COMPUTED_VALUE"""),"Trâm")</f>
        <v>Trâm</v>
      </c>
      <c r="Q15" s="122"/>
      <c r="R15" s="122" t="str">
        <f>IFERROR(__xludf.DUMMYFUNCTION("""COMPUTED_VALUE"""),"INFNHAN283")</f>
        <v>INFNHAN283</v>
      </c>
      <c r="S15" s="124" t="str">
        <f>IFERROR(__xludf.DUMMYFUNCTION("""COMPUTED_VALUE"""),"http://yody.vn?affcode=INFNHAN283")</f>
        <v>http://yody.vn?affcode=INFNHAN283</v>
      </c>
    </row>
    <row r="16">
      <c r="A16" s="122" t="str">
        <f>IFERROR(__xludf.DUMMYFUNCTION("""COMPUTED_VALUE"""),"INFTHIA247")</f>
        <v>INFTHIA247</v>
      </c>
      <c r="B16" s="122" t="str">
        <f>IFERROR(__xludf.DUMMYFUNCTION("""COMPUTED_VALUE"""),"Thía Nguyễn")</f>
        <v>Thía Nguyễn</v>
      </c>
      <c r="C16" s="124" t="str">
        <f>IFERROR(__xludf.DUMMYFUNCTION("""COMPUTED_VALUE"""),"Tiktok")</f>
        <v>Tiktok</v>
      </c>
      <c r="D16" s="122"/>
      <c r="E16" s="122" t="str">
        <f>IFERROR(__xludf.DUMMYFUNCTION("""COMPUTED_VALUE"""),"76k ")</f>
        <v>76k </v>
      </c>
      <c r="F16" s="122" t="str">
        <f>IFERROR(__xludf.DUMMYFUNCTION("""COMPUTED_VALUE"""),"Nguyễn Thị Thía")</f>
        <v>Nguyễn Thị Thía</v>
      </c>
      <c r="G16" s="127">
        <f>IFERROR(__xludf.DUMMYFUNCTION("""COMPUTED_VALUE"""),37171.0)</f>
        <v>37171</v>
      </c>
      <c r="H16" s="122">
        <f>IFERROR(__xludf.DUMMYFUNCTION("""COMPUTED_VALUE"""),3.030100653E10)</f>
        <v>30301006530</v>
      </c>
      <c r="I16" s="122">
        <f>IFERROR(__xludf.DUMMYFUNCTION("""COMPUTED_VALUE"""),3.48653247E8)</f>
        <v>348653247</v>
      </c>
      <c r="J16" s="122" t="str">
        <f>IFERROR(__xludf.DUMMYFUNCTION("""COMPUTED_VALUE"""),"yoonanguyensnsd@gmail.com")</f>
        <v>yoonanguyensnsd@gmail.com</v>
      </c>
      <c r="K16" s="122">
        <f>IFERROR(__xludf.DUMMYFUNCTION("""COMPUTED_VALUE"""),1.018031824E9)</f>
        <v>1018031824</v>
      </c>
      <c r="L16" s="122" t="str">
        <f>IFERROR(__xludf.DUMMYFUNCTION("""COMPUTED_VALUE"""),"Nguyễn Thị Thía")</f>
        <v>Nguyễn Thị Thía</v>
      </c>
      <c r="M16" s="122" t="str">
        <f>IFERROR(__xludf.DUMMYFUNCTION("""COMPUTED_VALUE"""),"Viecom Bank ")</f>
        <v>Viecom Bank </v>
      </c>
      <c r="N16" s="122" t="str">
        <f>IFERROR(__xludf.DUMMYFUNCTION("""COMPUTED_VALUE"""),"Thôn Lâm Xá-xã Phú Điền- huyện Nam Sách- tỉnh Hải Dương")</f>
        <v>Thôn Lâm Xá-xã Phú Điền- huyện Nam Sách- tỉnh Hải Dương</v>
      </c>
      <c r="O16" s="122" t="str">
        <f>IFERROR(__xludf.DUMMYFUNCTION("""COMPUTED_VALUE"""),"Trâm")</f>
        <v>Trâm</v>
      </c>
      <c r="P16" s="123" t="str">
        <f>IFERROR(__xludf.DUMMYFUNCTION("""COMPUTED_VALUE"""),"Trâm")</f>
        <v>Trâm</v>
      </c>
      <c r="Q16" s="122"/>
      <c r="R16" s="122" t="str">
        <f>IFERROR(__xludf.DUMMYFUNCTION("""COMPUTED_VALUE"""),"INFTHIA247")</f>
        <v>INFTHIA247</v>
      </c>
      <c r="S16" s="124" t="str">
        <f>IFERROR(__xludf.DUMMYFUNCTION("""COMPUTED_VALUE"""),"http://yody.vn?affcode=INFTHIA247")</f>
        <v>http://yody.vn?affcode=INFTHIA247</v>
      </c>
    </row>
    <row r="17">
      <c r="A17" s="122" t="str">
        <f>IFERROR(__xludf.DUMMYFUNCTION("""COMPUTED_VALUE"""),"INFHUONG035")</f>
        <v>INFHUONG035</v>
      </c>
      <c r="B17" s="122" t="str">
        <f>IFERROR(__xludf.DUMMYFUNCTION("""COMPUTED_VALUE"""),"Quỳnh Hương")</f>
        <v>Quỳnh Hương</v>
      </c>
      <c r="C17" s="124" t="str">
        <f>IFERROR(__xludf.DUMMYFUNCTION("""COMPUTED_VALUE"""),"Tiktiok")</f>
        <v>Tiktiok</v>
      </c>
      <c r="D17" s="122"/>
      <c r="E17" s="122" t="str">
        <f>IFERROR(__xludf.DUMMYFUNCTION("""COMPUTED_VALUE"""),"100k ")</f>
        <v>100k </v>
      </c>
      <c r="F17" s="122" t="str">
        <f>IFERROR(__xludf.DUMMYFUNCTION("""COMPUTED_VALUE"""),"Trịnh Thị Quỳnh Hương")</f>
        <v>Trịnh Thị Quỳnh Hương</v>
      </c>
      <c r="G17" s="122" t="str">
        <f>IFERROR(__xludf.DUMMYFUNCTION("""COMPUTED_VALUE"""),"23/12/1998")</f>
        <v>23/12/1998</v>
      </c>
      <c r="H17" s="122">
        <f>IFERROR(__xludf.DUMMYFUNCTION("""COMPUTED_VALUE"""),2.589588E7)</f>
        <v>25895880</v>
      </c>
      <c r="I17" s="122">
        <f>IFERROR(__xludf.DUMMYFUNCTION("""COMPUTED_VALUE"""),5.82210035E8)</f>
        <v>582210035</v>
      </c>
      <c r="J17" s="122" t="str">
        <f>IFERROR(__xludf.DUMMYFUNCTION("""COMPUTED_VALUE"""),"quynhhuongtrinhthi@gmail.com")</f>
        <v>quynhhuongtrinhthi@gmail.com</v>
      </c>
      <c r="K17" s="122">
        <f>IFERROR(__xludf.DUMMYFUNCTION("""COMPUTED_VALUE"""),1.9028393201013E13)</f>
        <v>19028393201013</v>
      </c>
      <c r="L17" s="122" t="str">
        <f>IFERROR(__xludf.DUMMYFUNCTION("""COMPUTED_VALUE"""),"Trịnh Thị Quỳnh Hương")</f>
        <v>Trịnh Thị Quỳnh Hương</v>
      </c>
      <c r="M17" s="122" t="str">
        <f>IFERROR(__xludf.DUMMYFUNCTION("""COMPUTED_VALUE"""),"Techcombank chi nhánh Bình Tân")</f>
        <v>Techcombank chi nhánh Bình Tân</v>
      </c>
      <c r="N17" s="122" t="str">
        <f>IFERROR(__xludf.DUMMYFUNCTION("""COMPUTED_VALUE"""),"70/21 đình nghi xuân, p bình trị đông, q bình tân")</f>
        <v>70/21 đình nghi xuân, p bình trị đông, q bình tân</v>
      </c>
      <c r="O17" s="122" t="str">
        <f>IFERROR(__xludf.DUMMYFUNCTION("""COMPUTED_VALUE"""),"Trâm")</f>
        <v>Trâm</v>
      </c>
      <c r="P17" s="123" t="str">
        <f>IFERROR(__xludf.DUMMYFUNCTION("""COMPUTED_VALUE"""),"Trâm")</f>
        <v>Trâm</v>
      </c>
      <c r="Q17" s="122"/>
      <c r="R17" s="122" t="str">
        <f>IFERROR(__xludf.DUMMYFUNCTION("""COMPUTED_VALUE"""),"INFHUONG035")</f>
        <v>INFHUONG035</v>
      </c>
      <c r="S17" s="124" t="str">
        <f>IFERROR(__xludf.DUMMYFUNCTION("""COMPUTED_VALUE"""),"http://yody.vn?affcode=INFHUONG035")</f>
        <v>http://yody.vn?affcode=INFHUONG035</v>
      </c>
    </row>
    <row r="18">
      <c r="A18" s="122" t="str">
        <f>IFERROR(__xludf.DUMMYFUNCTION("""COMPUTED_VALUE"""),"INFSON699")</f>
        <v>INFSON699</v>
      </c>
      <c r="B18" s="122" t="str">
        <f>IFERROR(__xludf.DUMMYFUNCTION("""COMPUTED_VALUE"""),"mai Xuân Sơn ")</f>
        <v>mai Xuân Sơn </v>
      </c>
      <c r="C18" s="124" t="str">
        <f>IFERROR(__xludf.DUMMYFUNCTION("""COMPUTED_VALUE"""),"Tiktiok")</f>
        <v>Tiktiok</v>
      </c>
      <c r="D18" s="122"/>
      <c r="E18" s="122" t="str">
        <f>IFERROR(__xludf.DUMMYFUNCTION("""COMPUTED_VALUE"""),"110k ")</f>
        <v>110k </v>
      </c>
      <c r="F18" s="122" t="str">
        <f>IFERROR(__xludf.DUMMYFUNCTION("""COMPUTED_VALUE"""),"Mai Xuân Sơn")</f>
        <v>Mai Xuân Sơn</v>
      </c>
      <c r="G18" s="126">
        <f>IFERROR(__xludf.DUMMYFUNCTION("""COMPUTED_VALUE"""),36595.0)</f>
        <v>36595</v>
      </c>
      <c r="H18" s="122">
        <f>IFERROR(__xludf.DUMMYFUNCTION("""COMPUTED_VALUE"""),3.6200015348E10)</f>
        <v>36200015348</v>
      </c>
      <c r="I18" s="122">
        <f>IFERROR(__xludf.DUMMYFUNCTION("""COMPUTED_VALUE"""),3.76757699E8)</f>
        <v>376757699</v>
      </c>
      <c r="J18" s="122" t="str">
        <f>IFERROR(__xludf.DUMMYFUNCTION("""COMPUTED_VALUE"""),"nguyenkhanhlinh03092000@gmail.com")</f>
        <v>nguyenkhanhlinh03092000@gmail.com</v>
      </c>
      <c r="K18" s="122" t="str">
        <f>IFERROR(__xludf.DUMMYFUNCTION("""COMPUTED_VALUE"""),"0231000688377 
")</f>
        <v>0231000688377 
</v>
      </c>
      <c r="L18" s="122" t="str">
        <f>IFERROR(__xludf.DUMMYFUNCTION("""COMPUTED_VALUE"""),"MAI XUAN SON")</f>
        <v>MAI XUAN SON</v>
      </c>
      <c r="M18" s="122" t="str">
        <f>IFERROR(__xludf.DUMMYFUNCTION("""COMPUTED_VALUE"""),"vietcombank")</f>
        <v>vietcombank</v>
      </c>
      <c r="N18" s="122" t="str">
        <f>IFERROR(__xludf.DUMMYFUNCTION("""COMPUTED_VALUE"""),"487/28 Nguyễn Văn Cừ, Phường Tân Lập, TP. Buôn Ma Thuột, Đăk Lăk")</f>
        <v>487/28 Nguyễn Văn Cừ, Phường Tân Lập, TP. Buôn Ma Thuột, Đăk Lăk</v>
      </c>
      <c r="O18" s="122" t="str">
        <f>IFERROR(__xludf.DUMMYFUNCTION("""COMPUTED_VALUE"""),"Trâm")</f>
        <v>Trâm</v>
      </c>
      <c r="P18" s="123" t="str">
        <f>IFERROR(__xludf.DUMMYFUNCTION("""COMPUTED_VALUE"""),"Trâm")</f>
        <v>Trâm</v>
      </c>
      <c r="Q18" s="122"/>
      <c r="R18" s="122" t="str">
        <f>IFERROR(__xludf.DUMMYFUNCTION("""COMPUTED_VALUE"""),"INFSON699")</f>
        <v>INFSON699</v>
      </c>
      <c r="S18" s="124" t="str">
        <f>IFERROR(__xludf.DUMMYFUNCTION("""COMPUTED_VALUE"""),"http://yody.vn?affcode=INFSON699")</f>
        <v>http://yody.vn?affcode=INFSON699</v>
      </c>
    </row>
    <row r="19">
      <c r="A19" s="122" t="str">
        <f>IFERROR(__xludf.DUMMYFUNCTION("""COMPUTED_VALUE"""),"INFLINH722")</f>
        <v>INFLINH722</v>
      </c>
      <c r="B19" s="122" t="str">
        <f>IFERROR(__xludf.DUMMYFUNCTION("""COMPUTED_VALUE"""),"Linhpu1412")</f>
        <v>Linhpu1412</v>
      </c>
      <c r="C19" s="124" t="str">
        <f>IFERROR(__xludf.DUMMYFUNCTION("""COMPUTED_VALUE"""),"tiktok")</f>
        <v>tiktok</v>
      </c>
      <c r="D19" s="122"/>
      <c r="E19" s="122" t="str">
        <f>IFERROR(__xludf.DUMMYFUNCTION("""COMPUTED_VALUE"""),"236,6k")</f>
        <v>236,6k</v>
      </c>
      <c r="F19" s="122" t="str">
        <f>IFERROR(__xludf.DUMMYFUNCTION("""COMPUTED_VALUE""")," Nhâm Thuỳ Linh")</f>
        <v> Nhâm Thuỳ Linh</v>
      </c>
      <c r="G19" s="122" t="str">
        <f>IFERROR(__xludf.DUMMYFUNCTION("""COMPUTED_VALUE"""),"14/12/1993")</f>
        <v>14/12/1993</v>
      </c>
      <c r="H19" s="122">
        <f>IFERROR(__xludf.DUMMYFUNCTION("""COMPUTED_VALUE"""),1.2986262E7)</f>
        <v>12986262</v>
      </c>
      <c r="I19" s="122">
        <f>IFERROR(__xludf.DUMMYFUNCTION("""COMPUTED_VALUE"""),9.43489722E8)</f>
        <v>943489722</v>
      </c>
      <c r="J19" s="122" t="str">
        <f>IFERROR(__xludf.DUMMYFUNCTION("""COMPUTED_VALUE"""),"linhnham1412@gmail.com")</f>
        <v>linhnham1412@gmail.com</v>
      </c>
      <c r="K19" s="122">
        <f>IFERROR(__xludf.DUMMYFUNCTION("""COMPUTED_VALUE"""),1.9130408068012E13)</f>
        <v>19130408068012</v>
      </c>
      <c r="L19" s="122" t="str">
        <f>IFERROR(__xludf.DUMMYFUNCTION("""COMPUTED_VALUE"""),"NHAM THUY LINH")</f>
        <v>NHAM THUY LINH</v>
      </c>
      <c r="M19" s="122" t="str">
        <f>IFERROR(__xludf.DUMMYFUNCTION("""COMPUTED_VALUE"""),"techcombank")</f>
        <v>techcombank</v>
      </c>
      <c r="N19" s="122" t="str">
        <f>IFERROR(__xludf.DUMMYFUNCTION("""COMPUTED_VALUE""")," địa chỉ 96 Định Công, Phương Liệt, Thanh Xuân, Hà Nội")</f>
        <v> địa chỉ 96 Định Công, Phương Liệt, Thanh Xuân, Hà Nội</v>
      </c>
      <c r="O19" s="122"/>
      <c r="P19" s="123" t="str">
        <f>IFERROR(__xludf.DUMMYFUNCTION("""COMPUTED_VALUE"""),"Mến")</f>
        <v>Mến</v>
      </c>
      <c r="Q19" s="122"/>
      <c r="R19" s="122" t="str">
        <f>IFERROR(__xludf.DUMMYFUNCTION("""COMPUTED_VALUE"""),"INFLINH722")</f>
        <v>INFLINH722</v>
      </c>
      <c r="S19" s="124" t="str">
        <f>IFERROR(__xludf.DUMMYFUNCTION("""COMPUTED_VALUE"""),"https://yody.vn/?affcode=INFLINH722")</f>
        <v>https://yody.vn/?affcode=INFLINH722</v>
      </c>
    </row>
    <row r="20">
      <c r="A20" s="122" t="str">
        <f>IFERROR(__xludf.DUMMYFUNCTION("""COMPUTED_VALUE"""),"INFHIEU867")</f>
        <v>INFHIEU867</v>
      </c>
      <c r="B20" s="122" t="str">
        <f>IFERROR(__xludf.DUMMYFUNCTION("""COMPUTED_VALUE"""),"Vũ Trung Hiếu")</f>
        <v>Vũ Trung Hiếu</v>
      </c>
      <c r="C20" s="124" t="str">
        <f>IFERROR(__xludf.DUMMYFUNCTION("""COMPUTED_VALUE"""),"Tiktok")</f>
        <v>Tiktok</v>
      </c>
      <c r="D20" s="122"/>
      <c r="E20" s="122" t="str">
        <f>IFERROR(__xludf.DUMMYFUNCTION("""COMPUTED_VALUE"""),"133k")</f>
        <v>133k</v>
      </c>
      <c r="F20" s="122" t="str">
        <f>IFERROR(__xludf.DUMMYFUNCTION("""COMPUTED_VALUE"""),"Vũ Trung Hiếu")</f>
        <v>Vũ Trung Hiếu</v>
      </c>
      <c r="G20" s="122" t="str">
        <f>IFERROR(__xludf.DUMMYFUNCTION("""COMPUTED_VALUE"""),"22/09/1998")</f>
        <v>22/09/1998</v>
      </c>
      <c r="H20" s="122">
        <f>IFERROR(__xludf.DUMMYFUNCTION("""COMPUTED_VALUE"""),3.4098002052E10)</f>
        <v>34098002052</v>
      </c>
      <c r="I20" s="122">
        <f>IFERROR(__xludf.DUMMYFUNCTION("""COMPUTED_VALUE"""),3.37335867E8)</f>
        <v>337335867</v>
      </c>
      <c r="J20" s="124" t="str">
        <f>IFERROR(__xludf.DUMMYFUNCTION("""COMPUTED_VALUE"""),"hieuvt229@gmail.com")</f>
        <v>hieuvt229@gmail.com</v>
      </c>
      <c r="K20" s="122"/>
      <c r="L20" s="122"/>
      <c r="M20" s="122"/>
      <c r="N20" s="122" t="str">
        <f>IFERROR(__xludf.DUMMYFUNCTION("""COMPUTED_VALUE"""),"22/36 Yên Thế, p2, Tân Bình, HCM")</f>
        <v>22/36 Yên Thế, p2, Tân Bình, HCM</v>
      </c>
      <c r="O20" s="122"/>
      <c r="P20" s="123" t="str">
        <f>IFERROR(__xludf.DUMMYFUNCTION("""COMPUTED_VALUE"""),"Hiên")</f>
        <v>Hiên</v>
      </c>
      <c r="Q20" s="122"/>
      <c r="R20" s="122" t="str">
        <f>IFERROR(__xludf.DUMMYFUNCTION("""COMPUTED_VALUE"""),"INFHIEU867")</f>
        <v>INFHIEU867</v>
      </c>
      <c r="S20" s="124" t="str">
        <f>IFERROR(__xludf.DUMMYFUNCTION("""COMPUTED_VALUE"""),"http://yody.vn?affcode=INFHIEU867")</f>
        <v>http://yody.vn?affcode=INFHIEU867</v>
      </c>
    </row>
    <row r="21">
      <c r="A21" s="122" t="str">
        <f>IFERROR(__xludf.DUMMYFUNCTION("""COMPUTED_VALUE"""),"INFAN247")</f>
        <v>INFAN247</v>
      </c>
      <c r="B21" s="122" t="str">
        <f>IFERROR(__xludf.DUMMYFUNCTION("""COMPUTED_VALUE"""),"Bảo Ngọc")</f>
        <v>Bảo Ngọc</v>
      </c>
      <c r="C21" s="124" t="str">
        <f>IFERROR(__xludf.DUMMYFUNCTION("""COMPUTED_VALUE"""),"Tiktok")</f>
        <v>Tiktok</v>
      </c>
      <c r="D21" s="122"/>
      <c r="E21" s="122" t="str">
        <f>IFERROR(__xludf.DUMMYFUNCTION("""COMPUTED_VALUE"""),"141k ")</f>
        <v>141k </v>
      </c>
      <c r="F21" s="122" t="str">
        <f>IFERROR(__xludf.DUMMYFUNCTION("""COMPUTED_VALUE"""),"Ngô Huỳnh Phú An")</f>
        <v>Ngô Huỳnh Phú An</v>
      </c>
      <c r="G21" s="122" t="str">
        <f>IFERROR(__xludf.DUMMYFUNCTION("""COMPUTED_VALUE"""),"15/06/1998")</f>
        <v>15/06/1998</v>
      </c>
      <c r="H21" s="122">
        <f>IFERROR(__xludf.DUMMYFUNCTION("""COMPUTED_VALUE"""),2.31219367E8)</f>
        <v>231219367</v>
      </c>
      <c r="I21" s="122">
        <f>IFERROR(__xludf.DUMMYFUNCTION("""COMPUTED_VALUE"""),7.88943247E8)</f>
        <v>788943247</v>
      </c>
      <c r="J21" s="122" t="str">
        <f>IFERROR(__xludf.DUMMYFUNCTION("""COMPUTED_VALUE"""),"Phuan1506@gmail.com ")</f>
        <v>Phuan1506@gmail.com </v>
      </c>
      <c r="K21" s="122">
        <f>IFERROR(__xludf.DUMMYFUNCTION("""COMPUTED_VALUE"""),5.6010001005198E13)</f>
        <v>56010001005198</v>
      </c>
      <c r="L21" s="122" t="str">
        <f>IFERROR(__xludf.DUMMYFUNCTION("""COMPUTED_VALUE"""),"Ngô huỳnh phú an")</f>
        <v>Ngô huỳnh phú an</v>
      </c>
      <c r="M21" s="122" t="str">
        <f>IFERROR(__xludf.DUMMYFUNCTION("""COMPUTED_VALUE"""),"BIDV")</f>
        <v>BIDV</v>
      </c>
      <c r="N21" s="122" t="str">
        <f>IFERROR(__xludf.DUMMYFUNCTION("""COMPUTED_VALUE"""),"Khánh An 5,Hoà Khánh Nam,Liên chiểu,Đà Nẵng")</f>
        <v>Khánh An 5,Hoà Khánh Nam,Liên chiểu,Đà Nẵng</v>
      </c>
      <c r="O21" s="122" t="str">
        <f>IFERROR(__xludf.DUMMYFUNCTION("""COMPUTED_VALUE"""),"Trâm")</f>
        <v>Trâm</v>
      </c>
      <c r="P21" s="123" t="str">
        <f>IFERROR(__xludf.DUMMYFUNCTION("""COMPUTED_VALUE"""),"Trâm")</f>
        <v>Trâm</v>
      </c>
      <c r="Q21" s="122"/>
      <c r="R21" s="122" t="str">
        <f>IFERROR(__xludf.DUMMYFUNCTION("""COMPUTED_VALUE"""),"INFAN247")</f>
        <v>INFAN247</v>
      </c>
      <c r="S21" s="124" t="str">
        <f>IFERROR(__xludf.DUMMYFUNCTION("""COMPUTED_VALUE"""),"http://yody.vn?affcode=INFAN247")</f>
        <v>http://yody.vn?affcode=INFAN247</v>
      </c>
    </row>
    <row r="22">
      <c r="A22" s="122" t="str">
        <f>IFERROR(__xludf.DUMMYFUNCTION("""COMPUTED_VALUE"""),"INFLY457")</f>
        <v>INFLY457</v>
      </c>
      <c r="B22" s="122" t="str">
        <f>IFERROR(__xludf.DUMMYFUNCTION("""COMPUTED_VALUE"""),"ly Ruby")</f>
        <v>ly Ruby</v>
      </c>
      <c r="C22" s="122" t="str">
        <f>IFERROR(__xludf.DUMMYFUNCTION("""COMPUTED_VALUE"""),"fb,tiktok")</f>
        <v>fb,tiktok</v>
      </c>
      <c r="D22" s="122"/>
      <c r="E22" s="122" t="str">
        <f>IFERROR(__xludf.DUMMYFUNCTION("""COMPUTED_VALUE"""),"35k/85k")</f>
        <v>35k/85k</v>
      </c>
      <c r="F22" s="122" t="str">
        <f>IFERROR(__xludf.DUMMYFUNCTION("""COMPUTED_VALUE"""),"Thái Thị Cẩm Ly")</f>
        <v>Thái Thị Cẩm Ly</v>
      </c>
      <c r="G22" s="125">
        <f>IFERROR(__xludf.DUMMYFUNCTION("""COMPUTED_VALUE"""),36959.0)</f>
        <v>36959</v>
      </c>
      <c r="H22" s="122">
        <f>IFERROR(__xludf.DUMMYFUNCTION("""COMPUTED_VALUE"""),2.3137124E7)</f>
        <v>23137124</v>
      </c>
      <c r="I22" s="122">
        <f>IFERROR(__xludf.DUMMYFUNCTION("""COMPUTED_VALUE"""),9.67711457E8)</f>
        <v>967711457</v>
      </c>
      <c r="J22" s="122" t="str">
        <f>IFERROR(__xludf.DUMMYFUNCTION("""COMPUTED_VALUE"""),"Camly292001@gmail.com")</f>
        <v>Camly292001@gmail.com</v>
      </c>
      <c r="K22" s="122" t="str">
        <f>IFERROR(__xludf.DUMMYFUNCTION("""COMPUTED_VALUE"""),"0291000338484
")</f>
        <v>0291000338484
</v>
      </c>
      <c r="L22" s="122" t="str">
        <f>IFERROR(__xludf.DUMMYFUNCTION("""COMPUTED_VALUE"""),"Thái Thị CẩmLy")</f>
        <v>Thái Thị CẩmLy</v>
      </c>
      <c r="M22" s="122" t="str">
        <f>IFERROR(__xludf.DUMMYFUNCTION("""COMPUTED_VALUE"""),"Vietcombank")</f>
        <v>Vietcombank</v>
      </c>
      <c r="N22" s="122" t="str">
        <f>IFERROR(__xludf.DUMMYFUNCTION("""COMPUTED_VALUE"""),"Gia Lai
Địa chỉ : Hẽm 334 tôn đức thắng-biển hồ-pleiku-gia lai")</f>
        <v>Gia Lai
Địa chỉ : Hẽm 334 tôn đức thắng-biển hồ-pleiku-gia lai</v>
      </c>
      <c r="O22" s="122"/>
      <c r="P22" s="123" t="str">
        <f>IFERROR(__xludf.DUMMYFUNCTION("""COMPUTED_VALUE"""),"Mến")</f>
        <v>Mến</v>
      </c>
      <c r="Q22" s="122"/>
      <c r="R22" s="122" t="str">
        <f>IFERROR(__xludf.DUMMYFUNCTION("""COMPUTED_VALUE"""),"INFLY457")</f>
        <v>INFLY457</v>
      </c>
      <c r="S22" s="124" t="str">
        <f>IFERROR(__xludf.DUMMYFUNCTION("""COMPUTED_VALUE"""),"https://yody.vn/?affcode=INFLY457")</f>
        <v>https://yody.vn/?affcode=INFLY457</v>
      </c>
    </row>
    <row r="23">
      <c r="A23" s="122" t="str">
        <f>IFERROR(__xludf.DUMMYFUNCTION("""COMPUTED_VALUE"""),"INFHUONG003")</f>
        <v>INFHUONG003</v>
      </c>
      <c r="B23" s="122" t="str">
        <f>IFERROR(__xludf.DUMMYFUNCTION("""COMPUTED_VALUE"""),"Nguyễn Thị Thu Hương")</f>
        <v>Nguyễn Thị Thu Hương</v>
      </c>
      <c r="C23" s="124" t="str">
        <f>IFERROR(__xludf.DUMMYFUNCTION("""COMPUTED_VALUE"""),"fb")</f>
        <v>fb</v>
      </c>
      <c r="D23" s="122"/>
      <c r="E23" s="122" t="str">
        <f>IFERROR(__xludf.DUMMYFUNCTION("""COMPUTED_VALUE"""),"60k fl fb")</f>
        <v>60k fl fb</v>
      </c>
      <c r="F23" s="122" t="str">
        <f>IFERROR(__xludf.DUMMYFUNCTION("""COMPUTED_VALUE"""),"Nguyễn Thị Thu Hương")</f>
        <v>Nguyễn Thị Thu Hương</v>
      </c>
      <c r="G23" s="122" t="str">
        <f>IFERROR(__xludf.DUMMYFUNCTION("""COMPUTED_VALUE"""),"17/02/1999")</f>
        <v>17/02/1999</v>
      </c>
      <c r="H23" s="122">
        <f>IFERROR(__xludf.DUMMYFUNCTION("""COMPUTED_VALUE"""),2.72881222E8)</f>
        <v>272881222</v>
      </c>
      <c r="I23" s="122">
        <f>IFERROR(__xludf.DUMMYFUNCTION("""COMPUTED_VALUE"""),3.29660003E8)</f>
        <v>329660003</v>
      </c>
      <c r="J23" s="122" t="str">
        <f>IFERROR(__xludf.DUMMYFUNCTION("""COMPUTED_VALUE"""),"thanhtunghuong140299@gmail.com")</f>
        <v>thanhtunghuong140299@gmail.com</v>
      </c>
      <c r="K23" s="122" t="str">
        <f>IFERROR(__xludf.DUMMYFUNCTION("""COMPUTED_VALUE"""),"- Chủ tài khoản: Phạm Tiến Thạo
- Ngân hàng: BIDV
- STK: 31410002915480
Momo: ")</f>
        <v>- Chủ tài khoản: Phạm Tiến Thạo
- Ngân hàng: BIDV
- STK: 31410002915480
Momo: </v>
      </c>
      <c r="L23" s="122"/>
      <c r="M23" s="122"/>
      <c r="N23" s="122" t="str">
        <f>IFERROR(__xludf.DUMMYFUNCTION("""COMPUTED_VALUE"""),"30/2 đường số 40 hiệp bình chánh thủ đức tphcm")</f>
        <v>30/2 đường số 40 hiệp bình chánh thủ đức tphcm</v>
      </c>
      <c r="O23" s="122"/>
      <c r="P23" s="123" t="str">
        <f>IFERROR(__xludf.DUMMYFUNCTION("""COMPUTED_VALUE"""),"Mến")</f>
        <v>Mến</v>
      </c>
      <c r="Q23" s="122"/>
      <c r="R23" s="122" t="str">
        <f>IFERROR(__xludf.DUMMYFUNCTION("""COMPUTED_VALUE"""),"INFHUONG003")</f>
        <v>INFHUONG003</v>
      </c>
      <c r="S23" s="124" t="str">
        <f>IFERROR(__xludf.DUMMYFUNCTION("""COMPUTED_VALUE"""),"https://yody.vn/?affcode=INFHUONG003")</f>
        <v>https://yody.vn/?affcode=INFHUONG003</v>
      </c>
    </row>
    <row r="24">
      <c r="A24" s="122" t="str">
        <f>IFERROR(__xludf.DUMMYFUNCTION("""COMPUTED_VALUE"""),"INFLONG121")</f>
        <v>INFLONG121</v>
      </c>
      <c r="B24" s="122" t="str">
        <f>IFERROR(__xludf.DUMMYFUNCTION("""COMPUTED_VALUE"""),"Hwang Long (Táo)")</f>
        <v>Hwang Long (Táo)</v>
      </c>
      <c r="C24" s="124" t="str">
        <f>IFERROR(__xludf.DUMMYFUNCTION("""COMPUTED_VALUE"""),"Tiktok")</f>
        <v>Tiktok</v>
      </c>
      <c r="D24" s="122"/>
      <c r="E24" s="122" t="str">
        <f>IFERROR(__xludf.DUMMYFUNCTION("""COMPUTED_VALUE"""),"90k")</f>
        <v>90k</v>
      </c>
      <c r="F24" s="122" t="str">
        <f>IFERROR(__xludf.DUMMYFUNCTION("""COMPUTED_VALUE"""),"Lê Hoàng Long")</f>
        <v>Lê Hoàng Long</v>
      </c>
      <c r="G24" s="126">
        <f>IFERROR(__xludf.DUMMYFUNCTION("""COMPUTED_VALUE"""),36744.0)</f>
        <v>36744</v>
      </c>
      <c r="H24" s="122">
        <f>IFERROR(__xludf.DUMMYFUNCTION("""COMPUTED_VALUE"""),1.94628782E8)</f>
        <v>194628782</v>
      </c>
      <c r="I24" s="122">
        <f>IFERROR(__xludf.DUMMYFUNCTION("""COMPUTED_VALUE"""),9.78889121E8)</f>
        <v>978889121</v>
      </c>
      <c r="J24" s="124" t="str">
        <f>IFERROR(__xludf.DUMMYFUNCTION("""COMPUTED_VALUE"""),"hoanglong8696@gmail.com")</f>
        <v>hoanglong8696@gmail.com</v>
      </c>
      <c r="K24" s="122">
        <f>IFERROR(__xludf.DUMMYFUNCTION("""COMPUTED_VALUE"""),5.311000092362E13)</f>
        <v>53110000923620</v>
      </c>
      <c r="L24" s="122" t="str">
        <f>IFERROR(__xludf.DUMMYFUNCTION("""COMPUTED_VALUE"""),"Le Hoang Long")</f>
        <v>Le Hoang Long</v>
      </c>
      <c r="M24" s="122" t="str">
        <f>IFERROR(__xludf.DUMMYFUNCTION("""COMPUTED_VALUE"""),"BIDV")</f>
        <v>BIDV</v>
      </c>
      <c r="N24" s="122" t="str">
        <f>IFERROR(__xludf.DUMMYFUNCTION("""COMPUTED_VALUE"""),"Số 1 Tô Vĩnh Diện,Tiểu Khu 2,Phường Bắc Lý,TP Đồng Hới,Tỉnh Quảng Bình")</f>
        <v>Số 1 Tô Vĩnh Diện,Tiểu Khu 2,Phường Bắc Lý,TP Đồng Hới,Tỉnh Quảng Bình</v>
      </c>
      <c r="O24" s="122" t="str">
        <f>IFERROR(__xludf.DUMMYFUNCTION("""COMPUTED_VALUE"""),"Hiện")</f>
        <v>Hiện</v>
      </c>
      <c r="P24" s="123" t="str">
        <f>IFERROR(__xludf.DUMMYFUNCTION("""COMPUTED_VALUE"""),"Trâm")</f>
        <v>Trâm</v>
      </c>
      <c r="Q24" s="122"/>
      <c r="R24" s="122" t="str">
        <f>IFERROR(__xludf.DUMMYFUNCTION("""COMPUTED_VALUE"""),"INFLONG121")</f>
        <v>INFLONG121</v>
      </c>
      <c r="S24" s="124" t="str">
        <f>IFERROR(__xludf.DUMMYFUNCTION("""COMPUTED_VALUE"""),"http://yody.vn?affcode=INFLONG121")</f>
        <v>http://yody.vn?affcode=INFLONG121</v>
      </c>
    </row>
    <row r="25">
      <c r="A25" s="122" t="str">
        <f>IFERROR(__xludf.DUMMYFUNCTION("""COMPUTED_VALUE"""),"INFNHUNG305")</f>
        <v>INFNHUNG305</v>
      </c>
      <c r="B25" s="122" t="str">
        <f>IFERROR(__xludf.DUMMYFUNCTION("""COMPUTED_VALUE"""),"Nguyễn Mộc Lan")</f>
        <v>Nguyễn Mộc Lan</v>
      </c>
      <c r="C25" s="124" t="str">
        <f>IFERROR(__xludf.DUMMYFUNCTION("""COMPUTED_VALUE"""),"FB")</f>
        <v>FB</v>
      </c>
      <c r="D25" s="122"/>
      <c r="E25" s="122" t="str">
        <f>IFERROR(__xludf.DUMMYFUNCTION("""COMPUTED_VALUE"""),"100k")</f>
        <v>100k</v>
      </c>
      <c r="F25" s="122" t="str">
        <f>IFERROR(__xludf.DUMMYFUNCTION("""COMPUTED_VALUE"""),"Nguyễn Thị Hồng Nhung")</f>
        <v>Nguyễn Thị Hồng Nhung</v>
      </c>
      <c r="G25" s="122">
        <f>IFERROR(__xludf.DUMMYFUNCTION("""COMPUTED_VALUE"""),1997.0)</f>
        <v>1997</v>
      </c>
      <c r="H25" s="122">
        <f>IFERROR(__xludf.DUMMYFUNCTION("""COMPUTED_VALUE"""),7.4197000022E10)</f>
        <v>74197000022</v>
      </c>
      <c r="I25" s="122">
        <f>IFERROR(__xludf.DUMMYFUNCTION("""COMPUTED_VALUE"""),3.66256305E8)</f>
        <v>366256305</v>
      </c>
      <c r="J25" s="124" t="str">
        <f>IFERROR(__xludf.DUMMYFUNCTION("""COMPUTED_VALUE"""),"Moclan256305@gmail.com")</f>
        <v>Moclan256305@gmail.com</v>
      </c>
      <c r="K25" s="122">
        <f>IFERROR(__xludf.DUMMYFUNCTION("""COMPUTED_VALUE"""),1.903562228201E13)</f>
        <v>19035622282010</v>
      </c>
      <c r="L25" s="122" t="str">
        <f>IFERROR(__xludf.DUMMYFUNCTION("""COMPUTED_VALUE"""),"Nguyễn Thị Hồng Nhung")</f>
        <v>Nguyễn Thị Hồng Nhung</v>
      </c>
      <c r="M25" s="122" t="str">
        <f>IFERROR(__xludf.DUMMYFUNCTION("""COMPUTED_VALUE"""),"Techcombank")</f>
        <v>Techcombank</v>
      </c>
      <c r="N25" s="122" t="str">
        <f>IFERROR(__xludf.DUMMYFUNCTION("""COMPUTED_VALUE"""),"Opalriverside, hiệp bình chánh, thủ đức, tphcm")</f>
        <v>Opalriverside, hiệp bình chánh, thủ đức, tphcm</v>
      </c>
      <c r="O25" s="122" t="str">
        <f>IFERROR(__xludf.DUMMYFUNCTION("""COMPUTED_VALUE"""),"Hiên")</f>
        <v>Hiên</v>
      </c>
      <c r="P25" s="123" t="str">
        <f>IFERROR(__xludf.DUMMYFUNCTION("""COMPUTED_VALUE"""),"Trâm")</f>
        <v>Trâm</v>
      </c>
      <c r="Q25" s="122"/>
      <c r="R25" s="122" t="str">
        <f>IFERROR(__xludf.DUMMYFUNCTION("""COMPUTED_VALUE"""),"INFNHUNG305")</f>
        <v>INFNHUNG305</v>
      </c>
      <c r="S25" s="124" t="str">
        <f>IFERROR(__xludf.DUMMYFUNCTION("""COMPUTED_VALUE"""),"http://yody.vn?affcode=INFNHUNG305")</f>
        <v>http://yody.vn?affcode=INFNHUNG305</v>
      </c>
    </row>
    <row r="26">
      <c r="A26" s="122" t="str">
        <f>IFERROR(__xludf.DUMMYFUNCTION("""COMPUTED_VALUE"""),"INFLINH548")</f>
        <v>INFLINH548</v>
      </c>
      <c r="B26" s="122" t="str">
        <f>IFERROR(__xludf.DUMMYFUNCTION("""COMPUTED_VALUE"""),"Nguyễn Thùy Linh")</f>
        <v>Nguyễn Thùy Linh</v>
      </c>
      <c r="C26" s="124" t="str">
        <f>IFERROR(__xludf.DUMMYFUNCTION("""COMPUTED_VALUE"""),"fb")</f>
        <v>fb</v>
      </c>
      <c r="D26" s="122"/>
      <c r="E26" s="122" t="str">
        <f>IFERROR(__xludf.DUMMYFUNCTION("""COMPUTED_VALUE"""),"12,8k  ")</f>
        <v>12,8k  </v>
      </c>
      <c r="F26" s="122" t="str">
        <f>IFERROR(__xludf.DUMMYFUNCTION("""COMPUTED_VALUE"""),"Nguyễn Thùy Linh")</f>
        <v>Nguyễn Thùy Linh</v>
      </c>
      <c r="G26" s="122">
        <f>IFERROR(__xludf.DUMMYFUNCTION("""COMPUTED_VALUE"""),1999.0)</f>
        <v>1999</v>
      </c>
      <c r="H26" s="122">
        <f>IFERROR(__xludf.DUMMYFUNCTION("""COMPUTED_VALUE"""),8.0199008413E10)</f>
        <v>80199008413</v>
      </c>
      <c r="I26" s="122">
        <f>IFERROR(__xludf.DUMMYFUNCTION("""COMPUTED_VALUE"""),5.23283548E8)</f>
        <v>523283548</v>
      </c>
      <c r="J26" s="122" t="str">
        <f>IFERROR(__xludf.DUMMYFUNCTION("""COMPUTED_VALUE"""),"thuylinh24011999@gmail.com")</f>
        <v>thuylinh24011999@gmail.com</v>
      </c>
      <c r="K26" s="122">
        <f>IFERROR(__xludf.DUMMYFUNCTION("""COMPUTED_VALUE"""),1.8810000020927E13)</f>
        <v>18810000020927</v>
      </c>
      <c r="L26" s="122" t="str">
        <f>IFERROR(__xludf.DUMMYFUNCTION("""COMPUTED_VALUE"""),"Nguyễn Thị Thuỳ Linh")</f>
        <v>Nguyễn Thị Thuỳ Linh</v>
      </c>
      <c r="M26" s="122" t="str">
        <f>IFERROR(__xludf.DUMMYFUNCTION("""COMPUTED_VALUE""")," BIDV")</f>
        <v> BIDV</v>
      </c>
      <c r="N26" s="122" t="str">
        <f>IFERROR(__xludf.DUMMYFUNCTION("""COMPUTED_VALUE"""),"314 Tân Hoà, Đức Tân, huyện Tân Trụ, tỉnh Long An")</f>
        <v>314 Tân Hoà, Đức Tân, huyện Tân Trụ, tỉnh Long An</v>
      </c>
      <c r="O26" s="122"/>
      <c r="P26" s="123" t="str">
        <f>IFERROR(__xludf.DUMMYFUNCTION("""COMPUTED_VALUE"""),"Mến")</f>
        <v>Mến</v>
      </c>
      <c r="Q26" s="122"/>
      <c r="R26" s="122" t="str">
        <f>IFERROR(__xludf.DUMMYFUNCTION("""COMPUTED_VALUE"""),"INFLINH548")</f>
        <v>INFLINH548</v>
      </c>
      <c r="S26" s="124" t="str">
        <f>IFERROR(__xludf.DUMMYFUNCTION("""COMPUTED_VALUE"""),"https://yody.vn/?affcode=INFLINH548")</f>
        <v>https://yody.vn/?affcode=INFLINH548</v>
      </c>
    </row>
    <row r="27">
      <c r="A27" s="122" t="str">
        <f>IFERROR(__xludf.DUMMYFUNCTION("""COMPUTED_VALUE"""),"INFHANG536")</f>
        <v>INFHANG536</v>
      </c>
      <c r="B27" s="122" t="str">
        <f>IFERROR(__xludf.DUMMYFUNCTION("""COMPUTED_VALUE"""),"Bích Hằng")</f>
        <v>Bích Hằng</v>
      </c>
      <c r="C27" s="124" t="str">
        <f>IFERROR(__xludf.DUMMYFUNCTION("""COMPUTED_VALUE"""),"Fb")</f>
        <v>Fb</v>
      </c>
      <c r="D27" s="122"/>
      <c r="E27" s="122" t="str">
        <f>IFERROR(__xludf.DUMMYFUNCTION("""COMPUTED_VALUE"""),"37k")</f>
        <v>37k</v>
      </c>
      <c r="F27" s="122" t="str">
        <f>IFERROR(__xludf.DUMMYFUNCTION("""COMPUTED_VALUE"""),"Lê Thị Bích Hằng")</f>
        <v>Lê Thị Bích Hằng</v>
      </c>
      <c r="G27" s="127">
        <f>IFERROR(__xludf.DUMMYFUNCTION("""COMPUTED_VALUE"""),36226.0)</f>
        <v>36226</v>
      </c>
      <c r="H27" s="122">
        <f>IFERROR(__xludf.DUMMYFUNCTION("""COMPUTED_VALUE"""),2.0177219E8)</f>
        <v>201772190</v>
      </c>
      <c r="I27" s="122">
        <f>IFERROR(__xludf.DUMMYFUNCTION("""COMPUTED_VALUE"""),7.64402536E8)</f>
        <v>764402536</v>
      </c>
      <c r="J27" s="124" t="str">
        <f>IFERROR(__xludf.DUMMYFUNCTION("""COMPUTED_VALUE"""),"hangmilla37@gmail.com")</f>
        <v>hangmilla37@gmail.com</v>
      </c>
      <c r="K27" s="122">
        <f>IFERROR(__xludf.DUMMYFUNCTION("""COMPUTED_VALUE"""),6.001010706814E12)</f>
        <v>6001010706814</v>
      </c>
      <c r="L27" s="122" t="str">
        <f>IFERROR(__xludf.DUMMYFUNCTION("""COMPUTED_VALUE"""),"Le Thi Bich Hang")</f>
        <v>Le Thi Bich Hang</v>
      </c>
      <c r="M27" s="122" t="str">
        <f>IFERROR(__xludf.DUMMYFUNCTION("""COMPUTED_VALUE"""),"MSB (Maritime Bank)- Ngân Hàng TMCP Hàng Hải Việt Nam")</f>
        <v>MSB (Maritime Bank)- Ngân Hàng TMCP Hàng Hải Việt Nam</v>
      </c>
      <c r="N27" s="122" t="str">
        <f>IFERROR(__xludf.DUMMYFUNCTION("""COMPUTED_VALUE"""),"Khu Chung Cư An Cư 5A, Đường Hồ Thấu, Phường Phước Mỹ, Quận Sơn Trà, Tp Đà Nẵng")</f>
        <v>Khu Chung Cư An Cư 5A, Đường Hồ Thấu, Phường Phước Mỹ, Quận Sơn Trà, Tp Đà Nẵng</v>
      </c>
      <c r="O27" s="122" t="str">
        <f>IFERROR(__xludf.DUMMYFUNCTION("""COMPUTED_VALUE"""),"Hiên")</f>
        <v>Hiên</v>
      </c>
      <c r="P27" s="123" t="str">
        <f>IFERROR(__xludf.DUMMYFUNCTION("""COMPUTED_VALUE"""),"Trâm")</f>
        <v>Trâm</v>
      </c>
      <c r="Q27" s="122"/>
      <c r="R27" s="122" t="str">
        <f>IFERROR(__xludf.DUMMYFUNCTION("""COMPUTED_VALUE"""),"INFHANG536")</f>
        <v>INFHANG536</v>
      </c>
      <c r="S27" s="124" t="str">
        <f>IFERROR(__xludf.DUMMYFUNCTION("""COMPUTED_VALUE"""),"http://yody.vn?affcode=INFHANG536")</f>
        <v>http://yody.vn?affcode=INFHANG536</v>
      </c>
    </row>
    <row r="28">
      <c r="A28" s="122" t="str">
        <f>IFERROR(__xludf.DUMMYFUNCTION("""COMPUTED_VALUE"""),"INFNHI579")</f>
        <v>INFNHI579</v>
      </c>
      <c r="B28" s="122" t="str">
        <f>IFERROR(__xludf.DUMMYFUNCTION("""COMPUTED_VALUE"""),"Lam Thao Nhi")</f>
        <v>Lam Thao Nhi</v>
      </c>
      <c r="C28" s="124" t="str">
        <f>IFERROR(__xludf.DUMMYFUNCTION("""COMPUTED_VALUE"""),"FB")</f>
        <v>FB</v>
      </c>
      <c r="D28" s="122"/>
      <c r="E28" s="122" t="str">
        <f>IFERROR(__xludf.DUMMYFUNCTION("""COMPUTED_VALUE"""),"65k")</f>
        <v>65k</v>
      </c>
      <c r="F28" s="122" t="str">
        <f>IFERROR(__xludf.DUMMYFUNCTION("""COMPUTED_VALUE"""),"Nguyễn Thị Thảo Nhi")</f>
        <v>Nguyễn Thị Thảo Nhi</v>
      </c>
      <c r="G28" s="122">
        <f>IFERROR(__xludf.DUMMYFUNCTION("""COMPUTED_VALUE"""),1997.0)</f>
        <v>1997</v>
      </c>
      <c r="H28" s="122">
        <f>IFERROR(__xludf.DUMMYFUNCTION("""COMPUTED_VALUE"""),2.72549238E8)</f>
        <v>272549238</v>
      </c>
      <c r="I28" s="122">
        <f>IFERROR(__xludf.DUMMYFUNCTION("""COMPUTED_VALUE"""),3.95169579E8)</f>
        <v>395169579</v>
      </c>
      <c r="J28" s="122" t="str">
        <f>IFERROR(__xludf.DUMMYFUNCTION("""COMPUTED_VALUE"""),"Nnhi653@gmail.com")</f>
        <v>Nnhi653@gmail.com</v>
      </c>
      <c r="K28" s="122">
        <f>IFERROR(__xludf.DUMMYFUNCTION("""COMPUTED_VALUE"""),1.9035282198011E13)</f>
        <v>19035282198011</v>
      </c>
      <c r="L28" s="122" t="str">
        <f>IFERROR(__xludf.DUMMYFUNCTION("""COMPUTED_VALUE"""),"nguyễn thị thảo nhi")</f>
        <v>nguyễn thị thảo nhi</v>
      </c>
      <c r="M28" s="122" t="str">
        <f>IFERROR(__xludf.DUMMYFUNCTION("""COMPUTED_VALUE"""),"Techcombank")</f>
        <v>Techcombank</v>
      </c>
      <c r="N28" s="122" t="str">
        <f>IFERROR(__xludf.DUMMYFUNCTION("""COMPUTED_VALUE"""),"106 tổ 1 đồi rìu, xã hàng gòn thành phố long khánh tỉnh đồng nai")</f>
        <v>106 tổ 1 đồi rìu, xã hàng gòn thành phố long khánh tỉnh đồng nai</v>
      </c>
      <c r="O28" s="122" t="str">
        <f>IFERROR(__xludf.DUMMYFUNCTION("""COMPUTED_VALUE"""),"Hiên")</f>
        <v>Hiên</v>
      </c>
      <c r="P28" s="123" t="str">
        <f>IFERROR(__xludf.DUMMYFUNCTION("""COMPUTED_VALUE"""),"Trâm")</f>
        <v>Trâm</v>
      </c>
      <c r="Q28" s="122"/>
      <c r="R28" s="122" t="str">
        <f>IFERROR(__xludf.DUMMYFUNCTION("""COMPUTED_VALUE"""),"INFNHI579")</f>
        <v>INFNHI579</v>
      </c>
      <c r="S28" s="124" t="str">
        <f>IFERROR(__xludf.DUMMYFUNCTION("""COMPUTED_VALUE"""),"http://yody.vn?affcode=INFNHI579")</f>
        <v>http://yody.vn?affcode=INFNHI579</v>
      </c>
    </row>
    <row r="29">
      <c r="A29" s="122" t="str">
        <f>IFERROR(__xludf.DUMMYFUNCTION("""COMPUTED_VALUE"""),"INFTU694")</f>
        <v>INFTU694</v>
      </c>
      <c r="B29" s="122" t="str">
        <f>IFERROR(__xludf.DUMMYFUNCTION("""COMPUTED_VALUE"""),"Soo Jin")</f>
        <v>Soo Jin</v>
      </c>
      <c r="C29" s="124" t="str">
        <f>IFERROR(__xludf.DUMMYFUNCTION("""COMPUTED_VALUE"""),"Tiktok")</f>
        <v>Tiktok</v>
      </c>
      <c r="D29" s="122"/>
      <c r="E29" s="122" t="str">
        <f>IFERROR(__xludf.DUMMYFUNCTION("""COMPUTED_VALUE"""),"81,1K")</f>
        <v>81,1K</v>
      </c>
      <c r="F29" s="122" t="str">
        <f>IFERROR(__xludf.DUMMYFUNCTION("""COMPUTED_VALUE"""),"Huỳnh Ngọc Thiên Tú")</f>
        <v>Huỳnh Ngọc Thiên Tú</v>
      </c>
      <c r="G29" s="125">
        <f>IFERROR(__xludf.DUMMYFUNCTION("""COMPUTED_VALUE"""),35197.0)</f>
        <v>35197</v>
      </c>
      <c r="H29" s="122">
        <f>IFERROR(__xludf.DUMMYFUNCTION("""COMPUTED_VALUE"""),3.21572503E8)</f>
        <v>321572503</v>
      </c>
      <c r="I29" s="122">
        <f>IFERROR(__xludf.DUMMYFUNCTION("""COMPUTED_VALUE"""),9.81349694E8)</f>
        <v>981349694</v>
      </c>
      <c r="J29" s="122" t="str">
        <f>IFERROR(__xludf.DUMMYFUNCTION("""COMPUTED_VALUE"""),"huynhtu51296@gmail.com")</f>
        <v>huynhtu51296@gmail.com</v>
      </c>
      <c r="K29" s="122">
        <f>IFERROR(__xludf.DUMMYFUNCTION("""COMPUTED_VALUE"""),1.0195747E7)</f>
        <v>10195747</v>
      </c>
      <c r="L29" s="122" t="str">
        <f>IFERROR(__xludf.DUMMYFUNCTION("""COMPUTED_VALUE"""),"Huỳnh Thị Ngọc Tú")</f>
        <v>Huỳnh Thị Ngọc Tú</v>
      </c>
      <c r="M29" s="122" t="str">
        <f>IFERROR(__xludf.DUMMYFUNCTION("""COMPUTED_VALUE"""),"acb chi nhánh nguyễn oanh")</f>
        <v>acb chi nhánh nguyễn oanh</v>
      </c>
      <c r="N29" s="122" t="str">
        <f>IFERROR(__xludf.DUMMYFUNCTION("""COMPUTED_VALUE"""),"977/24 trân hưng đạo phường 5 quận 5")</f>
        <v>977/24 trân hưng đạo phường 5 quận 5</v>
      </c>
      <c r="O29" s="122" t="str">
        <f>IFERROR(__xludf.DUMMYFUNCTION("""COMPUTED_VALUE"""),"Phương")</f>
        <v>Phương</v>
      </c>
      <c r="P29" s="123" t="str">
        <f>IFERROR(__xludf.DUMMYFUNCTION("""COMPUTED_VALUE"""),"Trâm")</f>
        <v>Trâm</v>
      </c>
      <c r="Q29" s="122"/>
      <c r="R29" s="122" t="str">
        <f>IFERROR(__xludf.DUMMYFUNCTION("""COMPUTED_VALUE"""),"INFTU694")</f>
        <v>INFTU694</v>
      </c>
      <c r="S29" s="124" t="str">
        <f>IFERROR(__xludf.DUMMYFUNCTION("""COMPUTED_VALUE"""),"http://yody.vn?affcode=INFTU694")</f>
        <v>http://yody.vn?affcode=INFTU694</v>
      </c>
    </row>
    <row r="30">
      <c r="A30" s="122" t="str">
        <f>IFERROR(__xludf.DUMMYFUNCTION("""COMPUTED_VALUE"""),"INFHIEN432")</f>
        <v>INFHIEN432</v>
      </c>
      <c r="B30" s="122" t="str">
        <f>IFERROR(__xludf.DUMMYFUNCTION("""COMPUTED_VALUE"""),"Bé Bo")</f>
        <v>Bé Bo</v>
      </c>
      <c r="C30" s="124" t="str">
        <f>IFERROR(__xludf.DUMMYFUNCTION("""COMPUTED_VALUE"""),"tiktok")</f>
        <v>tiktok</v>
      </c>
      <c r="D30" s="122"/>
      <c r="E30" s="122" t="str">
        <f>IFERROR(__xludf.DUMMYFUNCTION("""COMPUTED_VALUE"""),"137k")</f>
        <v>137k</v>
      </c>
      <c r="F30" s="122" t="str">
        <f>IFERROR(__xludf.DUMMYFUNCTION("""COMPUTED_VALUE"""),"Bùi Thị Thu Hiền")</f>
        <v>Bùi Thị Thu Hiền</v>
      </c>
      <c r="G30" s="125">
        <f>IFERROR(__xludf.DUMMYFUNCTION("""COMPUTED_VALUE"""),36312.0)</f>
        <v>36312</v>
      </c>
      <c r="H30" s="122">
        <f>IFERROR(__xludf.DUMMYFUNCTION("""COMPUTED_VALUE"""),1.87794759E8)</f>
        <v>187794759</v>
      </c>
      <c r="I30" s="122">
        <f>IFERROR(__xludf.DUMMYFUNCTION("""COMPUTED_VALUE"""),3.55738432E8)</f>
        <v>355738432</v>
      </c>
      <c r="J30" s="122" t="str">
        <f>IFERROR(__xludf.DUMMYFUNCTION("""COMPUTED_VALUE"""),"dang83168@gmail.com")</f>
        <v>dang83168@gmail.com</v>
      </c>
      <c r="K30" s="122">
        <f>IFERROR(__xludf.DUMMYFUNCTION("""COMPUTED_VALUE"""),1.9034190908014E13)</f>
        <v>19034190908014</v>
      </c>
      <c r="L30" s="122" t="str">
        <f>IFERROR(__xludf.DUMMYFUNCTION("""COMPUTED_VALUE"""),"bùi văn minh")</f>
        <v>bùi văn minh</v>
      </c>
      <c r="M30" s="122" t="str">
        <f>IFERROR(__xludf.DUMMYFUNCTION("""COMPUTED_VALUE"""),"teckcombank chi nhánh hoàng mai")</f>
        <v>teckcombank chi nhánh hoàng mai</v>
      </c>
      <c r="N30" s="122" t="str">
        <f>IFERROR(__xludf.DUMMYFUNCTION("""COMPUTED_VALUE"""),"số nhà 19 ngõ 123 yên xá tân triều thanh trì,hà nội ")</f>
        <v>số nhà 19 ngõ 123 yên xá tân triều thanh trì,hà nội </v>
      </c>
      <c r="O30" s="122" t="str">
        <f>IFERROR(__xludf.DUMMYFUNCTION("""COMPUTED_VALUE"""),"Tuyến")</f>
        <v>Tuyến</v>
      </c>
      <c r="P30" s="123" t="str">
        <f>IFERROR(__xludf.DUMMYFUNCTION("""COMPUTED_VALUE"""),"Trâm")</f>
        <v>Trâm</v>
      </c>
      <c r="Q30" s="122"/>
      <c r="R30" s="122" t="str">
        <f>IFERROR(__xludf.DUMMYFUNCTION("""COMPUTED_VALUE"""),"INFHIEN432")</f>
        <v>INFHIEN432</v>
      </c>
      <c r="S30" s="124" t="str">
        <f>IFERROR(__xludf.DUMMYFUNCTION("""COMPUTED_VALUE"""),"http://yody.vn?affcode=INFHIEN432")</f>
        <v>http://yody.vn?affcode=INFHIEN432</v>
      </c>
    </row>
    <row r="31">
      <c r="A31" s="122" t="str">
        <f>IFERROR(__xludf.DUMMYFUNCTION("""COMPUTED_VALUE"""),"INFTHU171")</f>
        <v>INFTHU171</v>
      </c>
      <c r="B31" s="122" t="str">
        <f>IFERROR(__xludf.DUMMYFUNCTION("""COMPUTED_VALUE"""),"Nguyễn Thị Tiểu Thư")</f>
        <v>Nguyễn Thị Tiểu Thư</v>
      </c>
      <c r="C31" s="124" t="str">
        <f>IFERROR(__xludf.DUMMYFUNCTION("""COMPUTED_VALUE"""),"fb")</f>
        <v>fb</v>
      </c>
      <c r="D31" s="122"/>
      <c r="E31" s="122" t="str">
        <f>IFERROR(__xludf.DUMMYFUNCTION("""COMPUTED_VALUE"""),"11.8k fl")</f>
        <v>11.8k fl</v>
      </c>
      <c r="F31" s="122" t="str">
        <f>IFERROR(__xludf.DUMMYFUNCTION("""COMPUTED_VALUE"""),"Nguyễn Thị Tiểu Thư")</f>
        <v>Nguyễn Thị Tiểu Thư</v>
      </c>
      <c r="G31" s="122" t="str">
        <f>IFERROR(__xludf.DUMMYFUNCTION("""COMPUTED_VALUE"""),"14/11/1999")</f>
        <v>14/11/1999</v>
      </c>
      <c r="H31" s="122"/>
      <c r="I31" s="122">
        <f>IFERROR(__xludf.DUMMYFUNCTION("""COMPUTED_VALUE"""),3.52235171E8)</f>
        <v>352235171</v>
      </c>
      <c r="J31" s="122" t="str">
        <f>IFERROR(__xludf.DUMMYFUNCTION("""COMPUTED_VALUE"""),"tieuthu.211299@gmail.com")</f>
        <v>tieuthu.211299@gmail.com</v>
      </c>
      <c r="K31" s="122">
        <f>IFERROR(__xludf.DUMMYFUNCTION("""COMPUTED_VALUE"""),4121837.0)</f>
        <v>4121837</v>
      </c>
      <c r="L31" s="122" t="str">
        <f>IFERROR(__xludf.DUMMYFUNCTION("""COMPUTED_VALUE"""),"Nguyễn Thị Tiểu Thư")</f>
        <v>Nguyễn Thị Tiểu Thư</v>
      </c>
      <c r="M31" s="122" t="str">
        <f>IFERROR(__xludf.DUMMYFUNCTION("""COMPUTED_VALUE"""),"ACB - PGD Kiến Thiết")</f>
        <v>ACB - PGD Kiến Thiết</v>
      </c>
      <c r="N31" s="122" t="str">
        <f>IFERROR(__xludf.DUMMYFUNCTION("""COMPUTED_VALUE"""),"48/3/3A đường số 3, Trường Thọ, Thủ Đức")</f>
        <v>48/3/3A đường số 3, Trường Thọ, Thủ Đức</v>
      </c>
      <c r="O31" s="122"/>
      <c r="P31" s="123" t="str">
        <f>IFERROR(__xludf.DUMMYFUNCTION("""COMPUTED_VALUE"""),"Mến")</f>
        <v>Mến</v>
      </c>
      <c r="Q31" s="122"/>
      <c r="R31" s="122" t="str">
        <f>IFERROR(__xludf.DUMMYFUNCTION("""COMPUTED_VALUE"""),"INFTHU171")</f>
        <v>INFTHU171</v>
      </c>
      <c r="S31" s="124" t="str">
        <f>IFERROR(__xludf.DUMMYFUNCTION("""COMPUTED_VALUE"""),"https://yody.vn/?affcode=INFTHU171")</f>
        <v>https://yody.vn/?affcode=INFTHU171</v>
      </c>
    </row>
    <row r="32">
      <c r="A32" s="122" t="str">
        <f>IFERROR(__xludf.DUMMYFUNCTION("""COMPUTED_VALUE"""),"INFVI868")</f>
        <v>INFVI868</v>
      </c>
      <c r="B32" s="122" t="str">
        <f>IFERROR(__xludf.DUMMYFUNCTION("""COMPUTED_VALUE"""),"Tường vi")</f>
        <v>Tường vi</v>
      </c>
      <c r="C32" s="124" t="str">
        <f>IFERROR(__xludf.DUMMYFUNCTION("""COMPUTED_VALUE"""),"fb")</f>
        <v>fb</v>
      </c>
      <c r="D32" s="122"/>
      <c r="E32" s="122" t="str">
        <f>IFERROR(__xludf.DUMMYFUNCTION("""COMPUTED_VALUE"""),"69.9k fl")</f>
        <v>69.9k fl</v>
      </c>
      <c r="F32" s="122" t="str">
        <f>IFERROR(__xludf.DUMMYFUNCTION("""COMPUTED_VALUE"""),"Phạm Nguyễn Tường Vy")</f>
        <v>Phạm Nguyễn Tường Vy</v>
      </c>
      <c r="G32" s="126">
        <f>IFERROR(__xludf.DUMMYFUNCTION("""COMPUTED_VALUE"""),36587.0)</f>
        <v>36587</v>
      </c>
      <c r="H32" s="122">
        <f>IFERROR(__xludf.DUMMYFUNCTION("""COMPUTED_VALUE"""),2.313026E8)</f>
        <v>231302600</v>
      </c>
      <c r="I32" s="122">
        <f>IFERROR(__xludf.DUMMYFUNCTION("""COMPUTED_VALUE"""),3.56993868E8)</f>
        <v>356993868</v>
      </c>
      <c r="J32" s="122" t="str">
        <f>IFERROR(__xludf.DUMMYFUNCTION("""COMPUTED_VALUE"""),"tuongvi03022000@gmail.com")</f>
        <v>tuongvi03022000@gmail.com</v>
      </c>
      <c r="K32" s="122">
        <f>IFERROR(__xludf.DUMMYFUNCTION("""COMPUTED_VALUE"""),1.051000276204E12)</f>
        <v>1051000276204</v>
      </c>
      <c r="L32" s="122" t="str">
        <f>IFERROR(__xludf.DUMMYFUNCTION("""COMPUTED_VALUE"""),"Phạm Nguyễn tường Vi")</f>
        <v>Phạm Nguyễn tường Vi</v>
      </c>
      <c r="M32" s="122" t="str">
        <f>IFERROR(__xludf.DUMMYFUNCTION("""COMPUTED_VALUE"""),"vietcombank")</f>
        <v>vietcombank</v>
      </c>
      <c r="N32" s="122" t="str">
        <f>IFERROR(__xludf.DUMMYFUNCTION("""COMPUTED_VALUE""")," 961 phạm văn đồng, pleiku, gia lai")</f>
        <v> 961 phạm văn đồng, pleiku, gia lai</v>
      </c>
      <c r="O32" s="122"/>
      <c r="P32" s="123" t="str">
        <f>IFERROR(__xludf.DUMMYFUNCTION("""COMPUTED_VALUE"""),"Mến")</f>
        <v>Mến</v>
      </c>
      <c r="Q32" s="122"/>
      <c r="R32" s="122" t="str">
        <f>IFERROR(__xludf.DUMMYFUNCTION("""COMPUTED_VALUE"""),"INFVI868")</f>
        <v>INFVI868</v>
      </c>
      <c r="S32" s="124" t="str">
        <f>IFERROR(__xludf.DUMMYFUNCTION("""COMPUTED_VALUE"""),"https://yody.vn/?affcode=INFVI868")</f>
        <v>https://yody.vn/?affcode=INFVI868</v>
      </c>
    </row>
    <row r="33">
      <c r="A33" s="122" t="str">
        <f>IFERROR(__xludf.DUMMYFUNCTION("""COMPUTED_VALUE"""),"")</f>
        <v/>
      </c>
      <c r="B33" s="122" t="str">
        <f>IFERROR(__xludf.DUMMYFUNCTION("""COMPUTED_VALUE"""),"Huỳnh Trinh")</f>
        <v>Huỳnh Trinh</v>
      </c>
      <c r="C33" s="124" t="str">
        <f>IFERROR(__xludf.DUMMYFUNCTION("""COMPUTED_VALUE"""),"Tiktok")</f>
        <v>Tiktok</v>
      </c>
      <c r="D33" s="122"/>
      <c r="E33" s="122" t="str">
        <f>IFERROR(__xludf.DUMMYFUNCTION("""COMPUTED_VALUE"""),"139,7K")</f>
        <v>139,7K</v>
      </c>
      <c r="F33" s="122" t="str">
        <f>IFERROR(__xludf.DUMMYFUNCTION("""COMPUTED_VALUE"""),"Huỳnh trinh")</f>
        <v>Huỳnh trinh</v>
      </c>
      <c r="G33" s="122"/>
      <c r="H33" s="122"/>
      <c r="I33" s="122"/>
      <c r="J33" s="122"/>
      <c r="K33" s="122"/>
      <c r="L33" s="122"/>
      <c r="M33" s="122"/>
      <c r="N33" s="122"/>
      <c r="O33" s="122"/>
      <c r="P33" s="123" t="str">
        <f>IFERROR(__xludf.DUMMYFUNCTION("""COMPUTED_VALUE"""),"Trang Lê")</f>
        <v>Trang Lê</v>
      </c>
      <c r="Q33" s="122"/>
      <c r="R33" s="122" t="str">
        <f>IFERROR(__xludf.DUMMYFUNCTION("""COMPUTED_VALUE"""),"")</f>
        <v/>
      </c>
      <c r="S33" s="122"/>
    </row>
    <row r="34">
      <c r="A34" s="122" t="str">
        <f>IFERROR(__xludf.DUMMYFUNCTION("""COMPUTED_VALUE"""),"INFTHUYET316")</f>
        <v>INFTHUYET316</v>
      </c>
      <c r="B34" s="122" t="str">
        <f>IFERROR(__xludf.DUMMYFUNCTION("""COMPUTED_VALUE"""),"Đặng Anh Thuyết")</f>
        <v>Đặng Anh Thuyết</v>
      </c>
      <c r="C34" s="124" t="str">
        <f>IFERROR(__xludf.DUMMYFUNCTION("""COMPUTED_VALUE"""),"tiktok")</f>
        <v>tiktok</v>
      </c>
      <c r="D34" s="122"/>
      <c r="E34" s="122" t="str">
        <f>IFERROR(__xludf.DUMMYFUNCTION("""COMPUTED_VALUE"""),"888k")</f>
        <v>888k</v>
      </c>
      <c r="F34" s="122" t="str">
        <f>IFERROR(__xludf.DUMMYFUNCTION("""COMPUTED_VALUE"""),"Đặng Anh Thuyết")</f>
        <v>Đặng Anh Thuyết</v>
      </c>
      <c r="G34" s="122" t="str">
        <f>IFERROR(__xludf.DUMMYFUNCTION("""COMPUTED_VALUE"""),"20-12-1988")</f>
        <v>20-12-1988</v>
      </c>
      <c r="H34" s="122">
        <f>IFERROR(__xludf.DUMMYFUNCTION("""COMPUTED_VALUE"""),3.3088002691E10)</f>
        <v>33088002691</v>
      </c>
      <c r="I34" s="122">
        <f>IFERROR(__xludf.DUMMYFUNCTION("""COMPUTED_VALUE"""),9.77573316E8)</f>
        <v>977573316</v>
      </c>
      <c r="J34" s="122" t="str">
        <f>IFERROR(__xludf.DUMMYFUNCTION("""COMPUTED_VALUE"""),"anhthuyetvghy@gmail.com")</f>
        <v>anhthuyetvghy@gmail.com</v>
      </c>
      <c r="K34" s="122">
        <f>IFERROR(__xludf.DUMMYFUNCTION("""COMPUTED_VALUE"""),1.9035425982019E13)</f>
        <v>19035425982019</v>
      </c>
      <c r="L34" s="122" t="str">
        <f>IFERROR(__xludf.DUMMYFUNCTION("""COMPUTED_VALUE"""),"DANG ANH THUYET")</f>
        <v>DANG ANH THUYET</v>
      </c>
      <c r="M34" s="122" t="str">
        <f>IFERROR(__xludf.DUMMYFUNCTION("""COMPUTED_VALUE"""),"Teckcombank")</f>
        <v>Teckcombank</v>
      </c>
      <c r="N34" s="122" t="str">
        <f>IFERROR(__xludf.DUMMYFUNCTION("""COMPUTED_VALUE"""),"Vĩnh Khúc, Văn Giang, Hưng Yên")</f>
        <v>Vĩnh Khúc, Văn Giang, Hưng Yên</v>
      </c>
      <c r="O34" s="122" t="str">
        <f>IFERROR(__xludf.DUMMYFUNCTION("""COMPUTED_VALUE"""),"Đăng")</f>
        <v>Đăng</v>
      </c>
      <c r="P34" s="123" t="str">
        <f>IFERROR(__xludf.DUMMYFUNCTION("""COMPUTED_VALUE"""),"Trâm ")</f>
        <v>Trâm </v>
      </c>
      <c r="Q34" s="122"/>
      <c r="R34" s="122" t="str">
        <f>IFERROR(__xludf.DUMMYFUNCTION("""COMPUTED_VALUE"""),"INFTHUYET316")</f>
        <v>INFTHUYET316</v>
      </c>
      <c r="S34" s="124" t="str">
        <f>IFERROR(__xludf.DUMMYFUNCTION("""COMPUTED_VALUE"""),"http://yody.vn?affcode=INFTHUYET316")</f>
        <v>http://yody.vn?affcode=INFTHUYET316</v>
      </c>
    </row>
    <row r="35">
      <c r="A35" s="122" t="str">
        <f>IFERROR(__xludf.DUMMYFUNCTION("""COMPUTED_VALUE"""),"INFTHANG040")</f>
        <v>INFTHANG040</v>
      </c>
      <c r="B35" s="122" t="str">
        <f>IFERROR(__xludf.DUMMYFUNCTION("""COMPUTED_VALUE"""),"Minh Thắng
")</f>
        <v>Minh Thắng
</v>
      </c>
      <c r="C35" s="122" t="str">
        <f>IFERROR(__xludf.DUMMYFUNCTION("""COMPUTED_VALUE"""),"fb / tiktok")</f>
        <v>fb / tiktok</v>
      </c>
      <c r="D35" s="122"/>
      <c r="E35" s="122" t="str">
        <f>IFERROR(__xludf.DUMMYFUNCTION("""COMPUTED_VALUE"""),"22k fb/ 70k tiktok")</f>
        <v>22k fb/ 70k tiktok</v>
      </c>
      <c r="F35" s="122" t="str">
        <f>IFERROR(__xludf.DUMMYFUNCTION("""COMPUTED_VALUE"""),"Lê Văn Minh Thắng")</f>
        <v>Lê Văn Minh Thắng</v>
      </c>
      <c r="G35" s="125">
        <f>IFERROR(__xludf.DUMMYFUNCTION("""COMPUTED_VALUE"""),35744.0)</f>
        <v>35744</v>
      </c>
      <c r="H35" s="122">
        <f>IFERROR(__xludf.DUMMYFUNCTION("""COMPUTED_VALUE"""),1.92097018E8)</f>
        <v>192097018</v>
      </c>
      <c r="I35" s="122">
        <f>IFERROR(__xludf.DUMMYFUNCTION("""COMPUTED_VALUE"""),7.9325204E8)</f>
        <v>793252040</v>
      </c>
      <c r="J35" s="122" t="str">
        <f>IFERROR(__xludf.DUMMYFUNCTION("""COMPUTED_VALUE"""),"leminhthang111097@gmail.com")</f>
        <v>leminhthang111097@gmail.com</v>
      </c>
      <c r="K35" s="122">
        <f>IFERROR(__xludf.DUMMYFUNCTION("""COMPUTED_VALUE"""),1.9033610635012E13)</f>
        <v>19033610635012</v>
      </c>
      <c r="L35" s="122" t="str">
        <f>IFERROR(__xludf.DUMMYFUNCTION("""COMPUTED_VALUE"""),"Lê Văn Minh Thắng")</f>
        <v>Lê Văn Minh Thắng</v>
      </c>
      <c r="M35" s="122" t="str">
        <f>IFERROR(__xludf.DUMMYFUNCTION("""COMPUTED_VALUE"""),"Techcombank")</f>
        <v>Techcombank</v>
      </c>
      <c r="N35" s="122" t="str">
        <f>IFERROR(__xludf.DUMMYFUNCTION("""COMPUTED_VALUE"""),"C22 An Thượng 29, Phường Mỹ An, Quận Ngũ Hành Sơn, Tp Đà Nẵng")</f>
        <v>C22 An Thượng 29, Phường Mỹ An, Quận Ngũ Hành Sơn, Tp Đà Nẵng</v>
      </c>
      <c r="O35" s="122" t="str">
        <f>IFERROR(__xludf.DUMMYFUNCTION("""COMPUTED_VALUE"""),"Trâm")</f>
        <v>Trâm</v>
      </c>
      <c r="P35" s="123" t="str">
        <f>IFERROR(__xludf.DUMMYFUNCTION("""COMPUTED_VALUE"""),"Trâm")</f>
        <v>Trâm</v>
      </c>
      <c r="Q35" s="122"/>
      <c r="R35" s="122" t="str">
        <f>IFERROR(__xludf.DUMMYFUNCTION("""COMPUTED_VALUE"""),"INFTHANG040")</f>
        <v>INFTHANG040</v>
      </c>
      <c r="S35" s="124" t="str">
        <f>IFERROR(__xludf.DUMMYFUNCTION("""COMPUTED_VALUE"""),"http://yody.vn?affcode=INFTHANG040")</f>
        <v>http://yody.vn?affcode=INFTHANG040</v>
      </c>
    </row>
    <row r="36">
      <c r="A36" s="122" t="str">
        <f>IFERROR(__xludf.DUMMYFUNCTION("""COMPUTED_VALUE"""),"INFNGOC361")</f>
        <v>INFNGOC361</v>
      </c>
      <c r="B36" s="122" t="str">
        <f>IFERROR(__xludf.DUMMYFUNCTION("""COMPUTED_VALUE"""),"Ngoc Thanh")</f>
        <v>Ngoc Thanh</v>
      </c>
      <c r="C36" s="124" t="str">
        <f>IFERROR(__xludf.DUMMYFUNCTION("""COMPUTED_VALUE"""),"Fb")</f>
        <v>Fb</v>
      </c>
      <c r="D36" s="122"/>
      <c r="E36" s="122" t="str">
        <f>IFERROR(__xludf.DUMMYFUNCTION("""COMPUTED_VALUE"""),"94k")</f>
        <v>94k</v>
      </c>
      <c r="F36" s="122" t="str">
        <f>IFERROR(__xludf.DUMMYFUNCTION("""COMPUTED_VALUE"""),"Phạm Thị Thanh Ngọc")</f>
        <v>Phạm Thị Thanh Ngọc</v>
      </c>
      <c r="G36" s="122">
        <f>IFERROR(__xludf.DUMMYFUNCTION("""COMPUTED_VALUE"""),1995.0)</f>
        <v>1995</v>
      </c>
      <c r="H36" s="122">
        <f>IFERROR(__xludf.DUMMYFUNCTION("""COMPUTED_VALUE"""),3.1852972E7)</f>
        <v>31852972</v>
      </c>
      <c r="I36" s="122">
        <f>IFERROR(__xludf.DUMMYFUNCTION("""COMPUTED_VALUE"""),3.65532361E8)</f>
        <v>365532361</v>
      </c>
      <c r="J36" s="122" t="str">
        <f>IFERROR(__xludf.DUMMYFUNCTION("""COMPUTED_VALUE"""),"ngocpham539@gmail.com")</f>
        <v>ngocpham539@gmail.com</v>
      </c>
      <c r="K36" s="122">
        <f>IFERROR(__xludf.DUMMYFUNCTION("""COMPUTED_VALUE"""),1.231000094475E13)</f>
        <v>12310000944750</v>
      </c>
      <c r="L36" s="122" t="str">
        <f>IFERROR(__xludf.DUMMYFUNCTION("""COMPUTED_VALUE"""),"Phạm Thị Thanh Ngọc ")</f>
        <v>Phạm Thị Thanh Ngọc </v>
      </c>
      <c r="M36" s="122" t="str">
        <f>IFERROR(__xludf.DUMMYFUNCTION("""COMPUTED_VALUE"""),"BIDV-CHi Nhánh Quang Trung")</f>
        <v>BIDV-CHi Nhánh Quang Trung</v>
      </c>
      <c r="N36" s="122" t="str">
        <f>IFERROR(__xludf.DUMMYFUNCTION("""COMPUTED_VALUE"""),"226 Ngõ Quỳnh - HBT - HN")</f>
        <v>226 Ngõ Quỳnh - HBT - HN</v>
      </c>
      <c r="O36" s="122" t="str">
        <f>IFERROR(__xludf.DUMMYFUNCTION("""COMPUTED_VALUE"""),"Hiên")</f>
        <v>Hiên</v>
      </c>
      <c r="P36" s="123" t="str">
        <f>IFERROR(__xludf.DUMMYFUNCTION("""COMPUTED_VALUE"""),"Trâm")</f>
        <v>Trâm</v>
      </c>
      <c r="Q36" s="122"/>
      <c r="R36" s="122" t="str">
        <f>IFERROR(__xludf.DUMMYFUNCTION("""COMPUTED_VALUE"""),"INFNGOC361")</f>
        <v>INFNGOC361</v>
      </c>
      <c r="S36" s="124" t="str">
        <f>IFERROR(__xludf.DUMMYFUNCTION("""COMPUTED_VALUE"""),"http://yody.vn?affcode=INFNGOC361")</f>
        <v>http://yody.vn?affcode=INFNGOC361</v>
      </c>
    </row>
    <row r="37">
      <c r="A37" s="122" t="str">
        <f>IFERROR(__xludf.DUMMYFUNCTION("""COMPUTED_VALUE"""),"INFHAN224")</f>
        <v>INFHAN224</v>
      </c>
      <c r="B37" s="122" t="str">
        <f>IFERROR(__xludf.DUMMYFUNCTION("""COMPUTED_VALUE"""),"Dương Gia Hân")</f>
        <v>Dương Gia Hân</v>
      </c>
      <c r="C37" s="124" t="str">
        <f>IFERROR(__xludf.DUMMYFUNCTION("""COMPUTED_VALUE"""),"fb")</f>
        <v>fb</v>
      </c>
      <c r="D37" s="122"/>
      <c r="E37" s="122" t="str">
        <f>IFERROR(__xludf.DUMMYFUNCTION("""COMPUTED_VALUE"""),"74k")</f>
        <v>74k</v>
      </c>
      <c r="F37" s="122" t="str">
        <f>IFERROR(__xludf.DUMMYFUNCTION("""COMPUTED_VALUE"""),"Dương Gia Hân")</f>
        <v>Dương Gia Hân</v>
      </c>
      <c r="G37" s="122" t="str">
        <f>IFERROR(__xludf.DUMMYFUNCTION("""COMPUTED_VALUE"""),"24/07/1999")</f>
        <v>24/07/1999</v>
      </c>
      <c r="H37" s="122">
        <f>IFERROR(__xludf.DUMMYFUNCTION("""COMPUTED_VALUE"""),3.52495191E8)</f>
        <v>352495191</v>
      </c>
      <c r="I37" s="122">
        <f>IFERROR(__xludf.DUMMYFUNCTION("""COMPUTED_VALUE"""),3.62163224E8)</f>
        <v>362163224</v>
      </c>
      <c r="J37" s="122" t="str">
        <f>IFERROR(__xludf.DUMMYFUNCTION("""COMPUTED_VALUE"""),"duonggiahan2407@gmail.com")</f>
        <v>duonggiahan2407@gmail.com</v>
      </c>
      <c r="K37" s="122">
        <f>IFERROR(__xludf.DUMMYFUNCTION("""COMPUTED_VALUE"""),1.9036532855018E13)</f>
        <v>19036532855018</v>
      </c>
      <c r="L37" s="122" t="str">
        <f>IFERROR(__xludf.DUMMYFUNCTION("""COMPUTED_VALUE"""),"Dương Gia Hân")</f>
        <v>Dương Gia Hân</v>
      </c>
      <c r="M37" s="122" t="str">
        <f>IFERROR(__xludf.DUMMYFUNCTION("""COMPUTED_VALUE""")," techcombank")</f>
        <v> techcombank</v>
      </c>
      <c r="N37" s="122"/>
      <c r="O37" s="122"/>
      <c r="P37" s="123" t="str">
        <f>IFERROR(__xludf.DUMMYFUNCTION("""COMPUTED_VALUE"""),"Mến")</f>
        <v>Mến</v>
      </c>
      <c r="Q37" s="122"/>
      <c r="R37" s="122" t="str">
        <f>IFERROR(__xludf.DUMMYFUNCTION("""COMPUTED_VALUE"""),"INFHAN224")</f>
        <v>INFHAN224</v>
      </c>
      <c r="S37" s="124" t="str">
        <f>IFERROR(__xludf.DUMMYFUNCTION("""COMPUTED_VALUE"""),"https://yody.vn/?affcode=INFHAN224")</f>
        <v>https://yody.vn/?affcode=INFHAN224</v>
      </c>
    </row>
    <row r="38">
      <c r="A38" s="122" t="str">
        <f>IFERROR(__xludf.DUMMYFUNCTION("""COMPUTED_VALUE"""),"INFLY965")</f>
        <v>INFLY965</v>
      </c>
      <c r="B38" s="122" t="str">
        <f>IFERROR(__xludf.DUMMYFUNCTION("""COMPUTED_VALUE"""),"Trần Ly")</f>
        <v>Trần Ly</v>
      </c>
      <c r="C38" s="124" t="str">
        <f>IFERROR(__xludf.DUMMYFUNCTION("""COMPUTED_VALUE"""),"tiktok")</f>
        <v>tiktok</v>
      </c>
      <c r="D38" s="122"/>
      <c r="E38" s="122" t="str">
        <f>IFERROR(__xludf.DUMMYFUNCTION("""COMPUTED_VALUE"""),"85k")</f>
        <v>85k</v>
      </c>
      <c r="F38" s="122" t="str">
        <f>IFERROR(__xludf.DUMMYFUNCTION("""COMPUTED_VALUE"""),"Trần Thị Ly")</f>
        <v>Trần Thị Ly</v>
      </c>
      <c r="G38" s="122" t="str">
        <f>IFERROR(__xludf.DUMMYFUNCTION("""COMPUTED_VALUE"""),"16/4/1998")</f>
        <v>16/4/1998</v>
      </c>
      <c r="H38" s="122">
        <f>IFERROR(__xludf.DUMMYFUNCTION("""COMPUTED_VALUE"""),3.6198003137E10)</f>
        <v>36198003137</v>
      </c>
      <c r="I38" s="122">
        <f>IFERROR(__xludf.DUMMYFUNCTION("""COMPUTED_VALUE"""),9.74789965E8)</f>
        <v>974789965</v>
      </c>
      <c r="J38" s="122" t="str">
        <f>IFERROR(__xludf.DUMMYFUNCTION("""COMPUTED_VALUE"""),"thokiwi.contact@gmail.com ")</f>
        <v>thokiwi.contact@gmail.com </v>
      </c>
      <c r="K38" s="122">
        <f>IFERROR(__xludf.DUMMYFUNCTION("""COMPUTED_VALUE"""),1.9033440819016E13)</f>
        <v>19033440819016</v>
      </c>
      <c r="L38" s="122" t="str">
        <f>IFERROR(__xludf.DUMMYFUNCTION("""COMPUTED_VALUE"""),"Trần thị ly")</f>
        <v>Trần thị ly</v>
      </c>
      <c r="M38" s="122" t="str">
        <f>IFERROR(__xludf.DUMMYFUNCTION("""COMPUTED_VALUE"""),"Techcombank")</f>
        <v>Techcombank</v>
      </c>
      <c r="N38" s="122" t="str">
        <f>IFERROR(__xludf.DUMMYFUNCTION("""COMPUTED_VALUE"""),"539 trần hưng đạo, phường lộc vượng, tp nam định")</f>
        <v>539 trần hưng đạo, phường lộc vượng, tp nam định</v>
      </c>
      <c r="O38" s="122" t="str">
        <f>IFERROR(__xludf.DUMMYFUNCTION("""COMPUTED_VALUE"""),"Trâm")</f>
        <v>Trâm</v>
      </c>
      <c r="P38" s="123" t="str">
        <f>IFERROR(__xludf.DUMMYFUNCTION("""COMPUTED_VALUE"""),"Trâm")</f>
        <v>Trâm</v>
      </c>
      <c r="Q38" s="122"/>
      <c r="R38" s="122" t="str">
        <f>IFERROR(__xludf.DUMMYFUNCTION("""COMPUTED_VALUE"""),"INFLY965")</f>
        <v>INFLY965</v>
      </c>
      <c r="S38" s="124" t="str">
        <f>IFERROR(__xludf.DUMMYFUNCTION("""COMPUTED_VALUE"""),"http://yody.vn?affcode=INFLY965")</f>
        <v>http://yody.vn?affcode=INFLY965</v>
      </c>
    </row>
    <row r="39">
      <c r="A39" s="122" t="str">
        <f>IFERROR(__xludf.DUMMYFUNCTION("""COMPUTED_VALUE"""),"INFCHINH015")</f>
        <v>INFCHINH015</v>
      </c>
      <c r="B39" s="122" t="str">
        <f>IFERROR(__xludf.DUMMYFUNCTION("""COMPUTED_VALUE"""),"Phương Chinh")</f>
        <v>Phương Chinh</v>
      </c>
      <c r="C39" s="124" t="str">
        <f>IFERROR(__xludf.DUMMYFUNCTION("""COMPUTED_VALUE"""),"FB")</f>
        <v>FB</v>
      </c>
      <c r="D39" s="122"/>
      <c r="E39" s="122" t="str">
        <f>IFERROR(__xludf.DUMMYFUNCTION("""COMPUTED_VALUE"""),"13k")</f>
        <v>13k</v>
      </c>
      <c r="F39" s="122" t="str">
        <f>IFERROR(__xludf.DUMMYFUNCTION("""COMPUTED_VALUE"""),"Vũ Thị Phương Chinh")</f>
        <v>Vũ Thị Phương Chinh</v>
      </c>
      <c r="G39" s="122">
        <f>IFERROR(__xludf.DUMMYFUNCTION("""COMPUTED_VALUE"""),2001.0)</f>
        <v>2001</v>
      </c>
      <c r="H39" s="122">
        <f>IFERROR(__xludf.DUMMYFUNCTION("""COMPUTED_VALUE"""),2.45461216E8)</f>
        <v>245461216</v>
      </c>
      <c r="I39" s="122">
        <f>IFERROR(__xludf.DUMMYFUNCTION("""COMPUTED_VALUE"""),8.88724015E8)</f>
        <v>888724015</v>
      </c>
      <c r="J39" s="124" t="str">
        <f>IFERROR(__xludf.DUMMYFUNCTION("""COMPUTED_VALUE"""),"vuthiphuongchinh3001@gmail.com")</f>
        <v>vuthiphuongchinh3001@gmail.com</v>
      </c>
      <c r="K39" s="122">
        <f>IFERROR(__xludf.DUMMYFUNCTION("""COMPUTED_VALUE"""),6.3510000782907E13)</f>
        <v>63510000782907</v>
      </c>
      <c r="L39" s="122" t="str">
        <f>IFERROR(__xludf.DUMMYFUNCTION("""COMPUTED_VALUE"""),"VU THI PHUONG CHINH")</f>
        <v>VU THI PHUONG CHINH</v>
      </c>
      <c r="M39" s="122" t="str">
        <f>IFERROR(__xludf.DUMMYFUNCTION("""COMPUTED_VALUE"""),"BIDV-CHi Nhánh Quang Trung")</f>
        <v>BIDV-CHi Nhánh Quang Trung</v>
      </c>
      <c r="N39" s="122" t="str">
        <f>IFERROR(__xludf.DUMMYFUNCTION("""COMPUTED_VALUE"""),"Tổ 6, tt Đức An-Đak Song- Đak Nông")</f>
        <v>Tổ 6, tt Đức An-Đak Song- Đak Nông</v>
      </c>
      <c r="O39" s="122" t="str">
        <f>IFERROR(__xludf.DUMMYFUNCTION("""COMPUTED_VALUE"""),"Hiên")</f>
        <v>Hiên</v>
      </c>
      <c r="P39" s="123" t="str">
        <f>IFERROR(__xludf.DUMMYFUNCTION("""COMPUTED_VALUE"""),"Trâm")</f>
        <v>Trâm</v>
      </c>
      <c r="Q39" s="122"/>
      <c r="R39" s="122" t="str">
        <f>IFERROR(__xludf.DUMMYFUNCTION("""COMPUTED_VALUE"""),"INFCHINH015")</f>
        <v>INFCHINH015</v>
      </c>
      <c r="S39" s="124" t="str">
        <f>IFERROR(__xludf.DUMMYFUNCTION("""COMPUTED_VALUE"""),"http://yody.vn?affcode=INFCHINH015")</f>
        <v>http://yody.vn?affcode=INFCHINH015</v>
      </c>
    </row>
    <row r="40">
      <c r="A40" s="122" t="str">
        <f>IFERROR(__xludf.DUMMYFUNCTION("""COMPUTED_VALUE"""),"INFDANG045")</f>
        <v>INFDANG045</v>
      </c>
      <c r="B40" s="122" t="str">
        <f>IFERROR(__xludf.DUMMYFUNCTION("""COMPUTED_VALUE"""),"Bé Đăng")</f>
        <v>Bé Đăng</v>
      </c>
      <c r="C40" s="124" t="str">
        <f>IFERROR(__xludf.DUMMYFUNCTION("""COMPUTED_VALUE"""),"Tiktok")</f>
        <v>Tiktok</v>
      </c>
      <c r="D40" s="122"/>
      <c r="E40" s="122" t="str">
        <f>IFERROR(__xludf.DUMMYFUNCTION("""COMPUTED_VALUE"""),"163k")</f>
        <v>163k</v>
      </c>
      <c r="F40" s="122" t="str">
        <f>IFERROR(__xludf.DUMMYFUNCTION("""COMPUTED_VALUE"""),"Trần Hải Đăng")</f>
        <v>Trần Hải Đăng</v>
      </c>
      <c r="G40" s="122">
        <f>IFERROR(__xludf.DUMMYFUNCTION("""COMPUTED_VALUE"""),1999.0)</f>
        <v>1999</v>
      </c>
      <c r="H40" s="122">
        <f>IFERROR(__xludf.DUMMYFUNCTION("""COMPUTED_VALUE"""),7.9098009021E10)</f>
        <v>79098009021</v>
      </c>
      <c r="I40" s="122">
        <f>IFERROR(__xludf.DUMMYFUNCTION("""COMPUTED_VALUE"""),9.45641045E8)</f>
        <v>945641045</v>
      </c>
      <c r="J40" s="124" t="str">
        <f>IFERROR(__xludf.DUMMYFUNCTION("""COMPUTED_VALUE"""),"dangxox@gmail.com")</f>
        <v>dangxox@gmail.com</v>
      </c>
      <c r="K40" s="122" t="str">
        <f>IFERROR(__xludf.DUMMYFUNCTION("""COMPUTED_VALUE"""),"0331000488376
")</f>
        <v>0331000488376
</v>
      </c>
      <c r="L40" s="122" t="str">
        <f>IFERROR(__xludf.DUMMYFUNCTION("""COMPUTED_VALUE"""),"Trần Hải Đăng")</f>
        <v>Trần Hải Đăng</v>
      </c>
      <c r="M40" s="122" t="str">
        <f>IFERROR(__xludf.DUMMYFUNCTION("""COMPUTED_VALUE"""),"Vietcombank")</f>
        <v>Vietcombank</v>
      </c>
      <c r="N40" s="122" t="str">
        <f>IFERROR(__xludf.DUMMYFUNCTION("""COMPUTED_VALUE"""),"Trạm thông tin Bà Quẹo, đường Tân sơn p15 Q Tân Bình hcm")</f>
        <v>Trạm thông tin Bà Quẹo, đường Tân sơn p15 Q Tân Bình hcm</v>
      </c>
      <c r="O40" s="122"/>
      <c r="P40" s="123" t="str">
        <f>IFERROR(__xludf.DUMMYFUNCTION("""COMPUTED_VALUE"""),"Hiên")</f>
        <v>Hiên</v>
      </c>
      <c r="Q40" s="122" t="str">
        <f>IFERROR(__xludf.DUMMYFUNCTION("""COMPUTED_VALUE"""),"Trần Hải Đăng")</f>
        <v>Trần Hải Đăng</v>
      </c>
      <c r="R40" s="122" t="str">
        <f>IFERROR(__xludf.DUMMYFUNCTION("""COMPUTED_VALUE"""),"INFDANG045")</f>
        <v>INFDANG045</v>
      </c>
      <c r="S40" s="124" t="str">
        <f>IFERROR(__xludf.DUMMYFUNCTION("""COMPUTED_VALUE"""),"http://yody.vn?affcode=INFDANG045")</f>
        <v>http://yody.vn?affcode=INFDANG045</v>
      </c>
    </row>
    <row r="41">
      <c r="A41" s="122" t="str">
        <f>IFERROR(__xludf.DUMMYFUNCTION("""COMPUTED_VALUE"""),"INFAN937")</f>
        <v>INFAN937</v>
      </c>
      <c r="B41" s="122" t="str">
        <f>IFERROR(__xludf.DUMMYFUNCTION("""COMPUTED_VALUE"""),"An Nguyen")</f>
        <v>An Nguyen</v>
      </c>
      <c r="C41" s="124" t="str">
        <f>IFERROR(__xludf.DUMMYFUNCTION("""COMPUTED_VALUE"""),"tiktok")</f>
        <v>tiktok</v>
      </c>
      <c r="D41" s="122"/>
      <c r="E41" s="122" t="str">
        <f>IFERROR(__xludf.DUMMYFUNCTION("""COMPUTED_VALUE"""),"436k")</f>
        <v>436k</v>
      </c>
      <c r="F41" s="122" t="str">
        <f>IFERROR(__xludf.DUMMYFUNCTION("""COMPUTED_VALUE"""),"Nguyễn Hoàng Thiên An")</f>
        <v>Nguyễn Hoàng Thiên An</v>
      </c>
      <c r="G41" s="122" t="str">
        <f>IFERROR(__xludf.DUMMYFUNCTION("""COMPUTED_VALUE"""),"26/06/1997")</f>
        <v>26/06/1997</v>
      </c>
      <c r="H41" s="122">
        <f>IFERROR(__xludf.DUMMYFUNCTION("""COMPUTED_VALUE"""),3.01616892E8)</f>
        <v>301616892</v>
      </c>
      <c r="I41" s="122">
        <f>IFERROR(__xludf.DUMMYFUNCTION("""COMPUTED_VALUE"""),3.96282937E8)</f>
        <v>396282937</v>
      </c>
      <c r="J41" s="122" t="str">
        <f>IFERROR(__xludf.DUMMYFUNCTION("""COMPUTED_VALUE"""),"heejun2357@gmail.com")</f>
        <v>heejun2357@gmail.com</v>
      </c>
      <c r="K41" s="122">
        <f>IFERROR(__xludf.DUMMYFUNCTION("""COMPUTED_VALUE"""),1.9034102620014E13)</f>
        <v>19034102620014</v>
      </c>
      <c r="L41" s="122" t="str">
        <f>IFERROR(__xludf.DUMMYFUNCTION("""COMPUTED_VALUE"""),"Nguyễn Hoàng Thiên An")</f>
        <v>Nguyễn Hoàng Thiên An</v>
      </c>
      <c r="M41" s="122" t="str">
        <f>IFERROR(__xludf.DUMMYFUNCTION("""COMPUTED_VALUE"""),"Techcombank chi nhánh HCM")</f>
        <v>Techcombank chi nhánh HCM</v>
      </c>
      <c r="N41" s="122" t="str">
        <f>IFERROR(__xludf.DUMMYFUNCTION("""COMPUTED_VALUE"""),"Toà nhà Long Sơn, số 1349 Huỳnh Tấn Phát, phường Phú Thuận, quận 7, TPHCM")</f>
        <v>Toà nhà Long Sơn, số 1349 Huỳnh Tấn Phát, phường Phú Thuận, quận 7, TPHCM</v>
      </c>
      <c r="O41" s="122" t="str">
        <f>IFERROR(__xludf.DUMMYFUNCTION("""COMPUTED_VALUE"""),"Trâm")</f>
        <v>Trâm</v>
      </c>
      <c r="P41" s="123" t="str">
        <f>IFERROR(__xludf.DUMMYFUNCTION("""COMPUTED_VALUE"""),"Trâm")</f>
        <v>Trâm</v>
      </c>
      <c r="Q41" s="122"/>
      <c r="R41" s="122" t="str">
        <f>IFERROR(__xludf.DUMMYFUNCTION("""COMPUTED_VALUE"""),"INFAN937")</f>
        <v>INFAN937</v>
      </c>
      <c r="S41" s="124" t="str">
        <f>IFERROR(__xludf.DUMMYFUNCTION("""COMPUTED_VALUE"""),"http://yody.vn?affcode=INFAN937")</f>
        <v>http://yody.vn?affcode=INFAN937</v>
      </c>
    </row>
    <row r="42">
      <c r="A42" s="122" t="str">
        <f>IFERROR(__xludf.DUMMYFUNCTION("""COMPUTED_VALUE"""),"INFTOAN673")</f>
        <v>INFTOAN673</v>
      </c>
      <c r="B42" s="122" t="str">
        <f>IFERROR(__xludf.DUMMYFUNCTION("""COMPUTED_VALUE"""),"Phan Toàn")</f>
        <v>Phan Toàn</v>
      </c>
      <c r="C42" s="122" t="str">
        <f>IFERROR(__xludf.DUMMYFUNCTION("""COMPUTED_VALUE"""),"FB/ tiktok")</f>
        <v>FB/ tiktok</v>
      </c>
      <c r="D42" s="122"/>
      <c r="E42" s="122" t="str">
        <f>IFERROR(__xludf.DUMMYFUNCTION("""COMPUTED_VALUE"""),"22k/ 144k")</f>
        <v>22k/ 144k</v>
      </c>
      <c r="F42" s="122" t="str">
        <f>IFERROR(__xludf.DUMMYFUNCTION("""COMPUTED_VALUE"""),"Phan Đắc Toàn")</f>
        <v>Phan Đắc Toàn</v>
      </c>
      <c r="G42" s="126">
        <f>IFERROR(__xludf.DUMMYFUNCTION("""COMPUTED_VALUE"""),36472.0)</f>
        <v>36472</v>
      </c>
      <c r="H42" s="122">
        <f>IFERROR(__xludf.DUMMYFUNCTION("""COMPUTED_VALUE"""),2.6099001653E10)</f>
        <v>26099001653</v>
      </c>
      <c r="I42" s="122">
        <f>IFERROR(__xludf.DUMMYFUNCTION("""COMPUTED_VALUE"""),3.39251673E8)</f>
        <v>339251673</v>
      </c>
      <c r="J42" s="122" t="str">
        <f>IFERROR(__xludf.DUMMYFUNCTION("""COMPUTED_VALUE"""),"phandactoan1999@gmail.com")</f>
        <v>phandactoan1999@gmail.com</v>
      </c>
      <c r="K42" s="122">
        <f>IFERROR(__xludf.DUMMYFUNCTION("""COMPUTED_VALUE"""),4.50100061168E11)</f>
        <v>450100061168</v>
      </c>
      <c r="L42" s="122" t="str">
        <f>IFERROR(__xludf.DUMMYFUNCTION("""COMPUTED_VALUE""")," PHAN DAC TOAN")</f>
        <v> PHAN DAC TOAN</v>
      </c>
      <c r="M42" s="122" t="str">
        <f>IFERROR(__xludf.DUMMYFUNCTION("""COMPUTED_VALUE"""),"BIDV ")</f>
        <v>BIDV </v>
      </c>
      <c r="N42" s="122" t="str">
        <f>IFERROR(__xludf.DUMMYFUNCTION("""COMPUTED_VALUE"""),"33d3 bạch thái bưởi - hà đông- hà nộ")</f>
        <v>33d3 bạch thái bưởi - hà đông- hà nộ</v>
      </c>
      <c r="O42" s="122" t="str">
        <f>IFERROR(__xludf.DUMMYFUNCTION("""COMPUTED_VALUE"""),"Đức anh")</f>
        <v>Đức anh</v>
      </c>
      <c r="P42" s="123" t="str">
        <f>IFERROR(__xludf.DUMMYFUNCTION("""COMPUTED_VALUE"""),"Trâm")</f>
        <v>Trâm</v>
      </c>
      <c r="Q42" s="122"/>
      <c r="R42" s="122" t="str">
        <f>IFERROR(__xludf.DUMMYFUNCTION("""COMPUTED_VALUE"""),"INFTOAN673")</f>
        <v>INFTOAN673</v>
      </c>
      <c r="S42" s="124" t="str">
        <f>IFERROR(__xludf.DUMMYFUNCTION("""COMPUTED_VALUE"""),"http://yody.vn?affcode=INFTOAN673")</f>
        <v>http://yody.vn?affcode=INFTOAN673</v>
      </c>
    </row>
    <row r="43">
      <c r="A43" s="122" t="str">
        <f>IFERROR(__xludf.DUMMYFUNCTION("""COMPUTED_VALUE"""),"INFTOAN565")</f>
        <v>INFTOAN565</v>
      </c>
      <c r="B43" s="122" t="str">
        <f>IFERROR(__xludf.DUMMYFUNCTION("""COMPUTED_VALUE"""),"Van Toan Tran")</f>
        <v>Van Toan Tran</v>
      </c>
      <c r="C43" s="124" t="str">
        <f>IFERROR(__xludf.DUMMYFUNCTION("""COMPUTED_VALUE"""),"FB")</f>
        <v>FB</v>
      </c>
      <c r="D43" s="124" t="str">
        <f>IFERROR(__xludf.DUMMYFUNCTION("""COMPUTED_VALUE"""),"Tiktok")</f>
        <v>Tiktok</v>
      </c>
      <c r="E43" s="122" t="str">
        <f>IFERROR(__xludf.DUMMYFUNCTION("""COMPUTED_VALUE"""),"22k/98,1k")</f>
        <v>22k/98,1k</v>
      </c>
      <c r="F43" s="122" t="str">
        <f>IFERROR(__xludf.DUMMYFUNCTION("""COMPUTED_VALUE"""),"Trần Văn Toàn")</f>
        <v>Trần Văn Toàn</v>
      </c>
      <c r="G43" s="122" t="str">
        <f>IFERROR(__xludf.DUMMYFUNCTION("""COMPUTED_VALUE"""),"25/08/1998")</f>
        <v>25/08/1998</v>
      </c>
      <c r="H43" s="122">
        <f>IFERROR(__xludf.DUMMYFUNCTION("""COMPUTED_VALUE"""),3.63984215E8)</f>
        <v>363984215</v>
      </c>
      <c r="I43" s="122">
        <f>IFERROR(__xludf.DUMMYFUNCTION("""COMPUTED_VALUE"""),3.56191565E8)</f>
        <v>356191565</v>
      </c>
      <c r="J43" s="122" t="str">
        <f>IFERROR(__xludf.DUMMYFUNCTION("""COMPUTED_VALUE"""),"toaniop803202@gmail.com")</f>
        <v>toaniop803202@gmail.com</v>
      </c>
      <c r="K43" s="122">
        <f>IFERROR(__xludf.DUMMYFUNCTION("""COMPUTED_VALUE"""),6.36704060047733E14)</f>
        <v>636704060047733</v>
      </c>
      <c r="L43" s="122" t="str">
        <f>IFERROR(__xludf.DUMMYFUNCTION("""COMPUTED_VALUE"""),"TRAN VAN TOAN")</f>
        <v>TRAN VAN TOAN</v>
      </c>
      <c r="M43" s="122" t="str">
        <f>IFERROR(__xludf.DUMMYFUNCTION("""COMPUTED_VALUE"""),"Ngân Hàng Quốc Tế VIB")</f>
        <v>Ngân Hàng Quốc Tế VIB</v>
      </c>
      <c r="N43" s="122" t="str">
        <f>IFERROR(__xludf.DUMMYFUNCTION("""COMPUTED_VALUE"""),"168C4, Cách Mạng Tháng Tám, Bùi Hữu Nghĩa, Bình Thuỷ, Cần Thơ")</f>
        <v>168C4, Cách Mạng Tháng Tám, Bùi Hữu Nghĩa, Bình Thuỷ, Cần Thơ</v>
      </c>
      <c r="O43" s="122" t="str">
        <f>IFERROR(__xludf.DUMMYFUNCTION("""COMPUTED_VALUE"""),"Hiên")</f>
        <v>Hiên</v>
      </c>
      <c r="P43" s="123" t="str">
        <f>IFERROR(__xludf.DUMMYFUNCTION("""COMPUTED_VALUE"""),"Trâm")</f>
        <v>Trâm</v>
      </c>
      <c r="Q43" s="122"/>
      <c r="R43" s="122" t="str">
        <f>IFERROR(__xludf.DUMMYFUNCTION("""COMPUTED_VALUE"""),"INFTOAN565")</f>
        <v>INFTOAN565</v>
      </c>
      <c r="S43" s="124" t="str">
        <f>IFERROR(__xludf.DUMMYFUNCTION("""COMPUTED_VALUE"""),"http://yody.vn?affcode=INFTOAN565")</f>
        <v>http://yody.vn?affcode=INFTOAN565</v>
      </c>
    </row>
    <row r="44">
      <c r="A44" s="122" t="str">
        <f>IFERROR(__xludf.DUMMYFUNCTION("""COMPUTED_VALUE"""),"INFDUY201")</f>
        <v>INFDUY201</v>
      </c>
      <c r="B44" s="122" t="str">
        <f>IFERROR(__xludf.DUMMYFUNCTION("""COMPUTED_VALUE"""),"Duy Văn Phạm")</f>
        <v>Duy Văn Phạm</v>
      </c>
      <c r="C44" s="124" t="str">
        <f>IFERROR(__xludf.DUMMYFUNCTION("""COMPUTED_VALUE"""),"Tiktok")</f>
        <v>Tiktok</v>
      </c>
      <c r="D44" s="122"/>
      <c r="E44" s="122" t="str">
        <f>IFERROR(__xludf.DUMMYFUNCTION("""COMPUTED_VALUE"""),"422.4K")</f>
        <v>422.4K</v>
      </c>
      <c r="F44" s="122" t="str">
        <f>IFERROR(__xludf.DUMMYFUNCTION("""COMPUTED_VALUE"""),"Phạm Văn Duy")</f>
        <v>Phạm Văn Duy</v>
      </c>
      <c r="G44" s="122"/>
      <c r="H44" s="122"/>
      <c r="I44" s="122">
        <f>IFERROR(__xludf.DUMMYFUNCTION("""COMPUTED_VALUE"""),9.68072201E8)</f>
        <v>968072201</v>
      </c>
      <c r="J44" s="122" t="str">
        <f>IFERROR(__xludf.DUMMYFUNCTION("""COMPUTED_VALUE"""),"phamkute2@gmail.com")</f>
        <v>phamkute2@gmail.com</v>
      </c>
      <c r="K44" s="122"/>
      <c r="L44" s="122"/>
      <c r="M44" s="122"/>
      <c r="N44" s="122"/>
      <c r="O44" s="122" t="str">
        <f>IFERROR(__xludf.DUMMYFUNCTION("""COMPUTED_VALUE"""),"Thúy Hiền")</f>
        <v>Thúy Hiền</v>
      </c>
      <c r="P44" s="123" t="str">
        <f>IFERROR(__xludf.DUMMYFUNCTION("""COMPUTED_VALUE"""),"Thúy Hiền")</f>
        <v>Thúy Hiền</v>
      </c>
      <c r="Q44" s="122" t="str">
        <f>IFERROR(__xludf.DUMMYFUNCTION("""COMPUTED_VALUE"""),"phamkute2@gmail.com")</f>
        <v>phamkute2@gmail.com</v>
      </c>
      <c r="R44" s="122" t="str">
        <f>IFERROR(__xludf.DUMMYFUNCTION("""COMPUTED_VALUE"""),"INFDUY201")</f>
        <v>INFDUY201</v>
      </c>
      <c r="S44" s="124" t="str">
        <f>IFERROR(__xludf.DUMMYFUNCTION("""COMPUTED_VALUE"""),"http://yody.vn?affcode=INFDUY201")</f>
        <v>http://yody.vn?affcode=INFDUY201</v>
      </c>
    </row>
    <row r="45">
      <c r="A45" s="122" t="str">
        <f>IFERROR(__xludf.DUMMYFUNCTION("""COMPUTED_VALUE"""),"INFTHINH473")</f>
        <v>INFTHINH473</v>
      </c>
      <c r="B45" s="122" t="str">
        <f>IFERROR(__xludf.DUMMYFUNCTION("""COMPUTED_VALUE"""),"Thịnh Nguyễn ")</f>
        <v>Thịnh Nguyễn </v>
      </c>
      <c r="C45" s="124" t="str">
        <f>IFERROR(__xludf.DUMMYFUNCTION("""COMPUTED_VALUE"""),"Tiktok")</f>
        <v>Tiktok</v>
      </c>
      <c r="D45" s="122"/>
      <c r="E45" s="122" t="str">
        <f>IFERROR(__xludf.DUMMYFUNCTION("""COMPUTED_VALUE"""),"323k")</f>
        <v>323k</v>
      </c>
      <c r="F45" s="122" t="str">
        <f>IFERROR(__xludf.DUMMYFUNCTION("""COMPUTED_VALUE"""),"Nguyễn Đình Thịnh")</f>
        <v>Nguyễn Đình Thịnh</v>
      </c>
      <c r="G45" s="126">
        <f>IFERROR(__xludf.DUMMYFUNCTION("""COMPUTED_VALUE"""),35521.0)</f>
        <v>35521</v>
      </c>
      <c r="H45" s="122">
        <f>IFERROR(__xludf.DUMMYFUNCTION("""COMPUTED_VALUE"""),2.25610437E8)</f>
        <v>225610437</v>
      </c>
      <c r="I45" s="122">
        <f>IFERROR(__xludf.DUMMYFUNCTION("""COMPUTED_VALUE"""),9.83885473E8)</f>
        <v>983885473</v>
      </c>
      <c r="J45" s="122" t="str">
        <f>IFERROR(__xludf.DUMMYFUNCTION("""COMPUTED_VALUE"""),"Nguyendinhthinh1997@gmail.com")</f>
        <v>Nguyendinhthinh1997@gmail.com</v>
      </c>
      <c r="K45" s="122" t="str">
        <f>IFERROR(__xludf.DUMMYFUNCTION("""COMPUTED_VALUE"""),"0061001193800
")</f>
        <v>0061001193800
</v>
      </c>
      <c r="L45" s="122" t="str">
        <f>IFERROR(__xludf.DUMMYFUNCTION("""COMPUTED_VALUE"""),"Nguyễn Đình thịnh ")</f>
        <v>Nguyễn Đình thịnh </v>
      </c>
      <c r="M45" s="122" t="str">
        <f>IFERROR(__xludf.DUMMYFUNCTION("""COMPUTED_VALUE"""),"Vietcombank")</f>
        <v>Vietcombank</v>
      </c>
      <c r="N45" s="122" t="str">
        <f>IFERROR(__xludf.DUMMYFUNCTION("""COMPUTED_VALUE"""),"107 thống nhất , Nha trang , Khánh hoà")</f>
        <v>107 thống nhất , Nha trang , Khánh hoà</v>
      </c>
      <c r="O45" s="122" t="str">
        <f>IFERROR(__xludf.DUMMYFUNCTION("""COMPUTED_VALUE"""),"Hiên")</f>
        <v>Hiên</v>
      </c>
      <c r="P45" s="123" t="str">
        <f>IFERROR(__xludf.DUMMYFUNCTION("""COMPUTED_VALUE"""),"Trâm")</f>
        <v>Trâm</v>
      </c>
      <c r="Q45" s="122" t="str">
        <f>IFERROR(__xludf.DUMMYFUNCTION("""COMPUTED_VALUE"""),"Nguyễn Đình Thịnh")</f>
        <v>Nguyễn Đình Thịnh</v>
      </c>
      <c r="R45" s="122" t="str">
        <f>IFERROR(__xludf.DUMMYFUNCTION("""COMPUTED_VALUE"""),"INFTHINH473")</f>
        <v>INFTHINH473</v>
      </c>
      <c r="S45" s="124" t="str">
        <f>IFERROR(__xludf.DUMMYFUNCTION("""COMPUTED_VALUE"""),"http://yody.vn?affcode=INFTHINH473")</f>
        <v>http://yody.vn?affcode=INFTHINH473</v>
      </c>
    </row>
    <row r="46">
      <c r="A46" s="122" t="str">
        <f>IFERROR(__xludf.DUMMYFUNCTION("""COMPUTED_VALUE"""),"INFHUONG814")</f>
        <v>INFHUONG814</v>
      </c>
      <c r="B46" s="122" t="str">
        <f>IFERROR(__xludf.DUMMYFUNCTION("""COMPUTED_VALUE"""),"Nguyễn Thị Thu Hương")</f>
        <v>Nguyễn Thị Thu Hương</v>
      </c>
      <c r="C46" s="124" t="str">
        <f>IFERROR(__xludf.DUMMYFUNCTION("""COMPUTED_VALUE"""),"FB")</f>
        <v>FB</v>
      </c>
      <c r="D46" s="122"/>
      <c r="E46" s="122" t="str">
        <f>IFERROR(__xludf.DUMMYFUNCTION("""COMPUTED_VALUE"""),"60k")</f>
        <v>60k</v>
      </c>
      <c r="F46" s="122" t="str">
        <f>IFERROR(__xludf.DUMMYFUNCTION("""COMPUTED_VALUE"""),"Nguyễn Thị Thu Hương")</f>
        <v>Nguyễn Thị Thu Hương</v>
      </c>
      <c r="G46" s="122" t="str">
        <f>IFERROR(__xludf.DUMMYFUNCTION("""COMPUTED_VALUE"""),"17/02/1999")</f>
        <v>17/02/1999</v>
      </c>
      <c r="H46" s="122">
        <f>IFERROR(__xludf.DUMMYFUNCTION("""COMPUTED_VALUE"""),2.72881222E8)</f>
        <v>272881222</v>
      </c>
      <c r="I46" s="122">
        <f>IFERROR(__xludf.DUMMYFUNCTION("""COMPUTED_VALUE"""),9.29546814E8)</f>
        <v>929546814</v>
      </c>
      <c r="J46" s="122" t="str">
        <f>IFERROR(__xludf.DUMMYFUNCTION("""COMPUTED_VALUE""")," anubisanna99@gmail.com")</f>
        <v> anubisanna99@gmail.com</v>
      </c>
      <c r="K46" s="122" t="str">
        <f>IFERROR(__xludf.DUMMYFUNCTION("""COMPUTED_VALUE"""),"871004206439
Nguyen Thi Thu Huong
Vietcombank")</f>
        <v>871004206439
Nguyen Thi Thu Huong
Vietcombank</v>
      </c>
      <c r="L46" s="122"/>
      <c r="M46" s="122"/>
      <c r="N46" s="122" t="str">
        <f>IFERROR(__xludf.DUMMYFUNCTION("""COMPUTED_VALUE"""),"30/2 đường số 40 Hiệp Bình Chánh Thủ Đức Tphcm")</f>
        <v>30/2 đường số 40 Hiệp Bình Chánh Thủ Đức Tphcm</v>
      </c>
      <c r="O46" s="122" t="str">
        <f>IFERROR(__xludf.DUMMYFUNCTION("""COMPUTED_VALUE"""),"Hiên")</f>
        <v>Hiên</v>
      </c>
      <c r="P46" s="123" t="str">
        <f>IFERROR(__xludf.DUMMYFUNCTION("""COMPUTED_VALUE"""),"Hiên")</f>
        <v>Hiên</v>
      </c>
      <c r="Q46" s="122" t="str">
        <f>IFERROR(__xludf.DUMMYFUNCTION("""COMPUTED_VALUE"""),"Nguyễn Thị Thu Hương")</f>
        <v>Nguyễn Thị Thu Hương</v>
      </c>
      <c r="R46" s="122" t="str">
        <f>IFERROR(__xludf.DUMMYFUNCTION("""COMPUTED_VALUE"""),"INFHUONG814")</f>
        <v>INFHUONG814</v>
      </c>
      <c r="S46" s="124" t="str">
        <f>IFERROR(__xludf.DUMMYFUNCTION("""COMPUTED_VALUE"""),"http://yody.vn?affcode=INFHUONG814")</f>
        <v>http://yody.vn?affcode=INFHUONG814</v>
      </c>
    </row>
    <row r="47">
      <c r="A47" s="122" t="str">
        <f>IFERROR(__xludf.DUMMYFUNCTION("""COMPUTED_VALUE"""),"INFHUONG090")</f>
        <v>INFHUONG090</v>
      </c>
      <c r="B47" s="122" t="str">
        <f>IFERROR(__xludf.DUMMYFUNCTION("""COMPUTED_VALUE"""),"Đỗ Thu Hương")</f>
        <v>Đỗ Thu Hương</v>
      </c>
      <c r="C47" s="124" t="str">
        <f>IFERROR(__xludf.DUMMYFUNCTION("""COMPUTED_VALUE"""),"FB")</f>
        <v>FB</v>
      </c>
      <c r="D47" s="122"/>
      <c r="E47" s="122" t="str">
        <f>IFERROR(__xludf.DUMMYFUNCTION("""COMPUTED_VALUE"""),"254K")</f>
        <v>254K</v>
      </c>
      <c r="F47" s="122" t="str">
        <f>IFERROR(__xludf.DUMMYFUNCTION("""COMPUTED_VALUE"""),"Đỗ Thu Hương")</f>
        <v>Đỗ Thu Hương</v>
      </c>
      <c r="G47" s="122">
        <f>IFERROR(__xludf.DUMMYFUNCTION("""COMPUTED_VALUE"""),1990.0)</f>
        <v>1990</v>
      </c>
      <c r="H47" s="122" t="str">
        <f>IFERROR(__xludf.DUMMYFUNCTION("""COMPUTED_VALUE"""),"01190000235")</f>
        <v>01190000235</v>
      </c>
      <c r="I47" s="122">
        <f>IFERROR(__xludf.DUMMYFUNCTION("""COMPUTED_VALUE"""),9.0307109E8)</f>
        <v>903071090</v>
      </c>
      <c r="J47" s="122" t="str">
        <f>IFERROR(__xludf.DUMMYFUNCTION("""COMPUTED_VALUE"""),"hermymeoww@gmail.com")</f>
        <v>hermymeoww@gmail.com</v>
      </c>
      <c r="K47" s="122">
        <f>IFERROR(__xludf.DUMMYFUNCTION("""COMPUTED_VALUE"""),1.9032804008012E13)</f>
        <v>19032804008012</v>
      </c>
      <c r="L47" s="122" t="str">
        <f>IFERROR(__xludf.DUMMYFUNCTION("""COMPUTED_VALUE"""),"Đỗ Thu Hương")</f>
        <v>Đỗ Thu Hương</v>
      </c>
      <c r="M47" s="122" t="str">
        <f>IFERROR(__xludf.DUMMYFUNCTION("""COMPUTED_VALUE"""),"Techcombank")</f>
        <v>Techcombank</v>
      </c>
      <c r="N47" s="122" t="str">
        <f>IFERROR(__xludf.DUMMYFUNCTION("""COMPUTED_VALUE"""),"Trương Định - Hoàng Mai - Hà Nội")</f>
        <v>Trương Định - Hoàng Mai - Hà Nội</v>
      </c>
      <c r="O47" s="122" t="str">
        <f>IFERROR(__xludf.DUMMYFUNCTION("""COMPUTED_VALUE"""),"Hiên")</f>
        <v>Hiên</v>
      </c>
      <c r="P47" s="123" t="str">
        <f>IFERROR(__xludf.DUMMYFUNCTION("""COMPUTED_VALUE"""),"Trâm")</f>
        <v>Trâm</v>
      </c>
      <c r="Q47" s="122" t="str">
        <f>IFERROR(__xludf.DUMMYFUNCTION("""COMPUTED_VALUE"""),"Đỗ Thu Hương")</f>
        <v>Đỗ Thu Hương</v>
      </c>
      <c r="R47" s="122" t="str">
        <f>IFERROR(__xludf.DUMMYFUNCTION("""COMPUTED_VALUE"""),"INFHUONG090")</f>
        <v>INFHUONG090</v>
      </c>
      <c r="S47" s="124" t="str">
        <f>IFERROR(__xludf.DUMMYFUNCTION("""COMPUTED_VALUE"""),"http://yody.vn?affcode=INFHUONG090")</f>
        <v>http://yody.vn?affcode=INFHUONG090</v>
      </c>
    </row>
    <row r="48">
      <c r="A48" s="122" t="str">
        <f>IFERROR(__xludf.DUMMYFUNCTION("""COMPUTED_VALUE"""),"INFTUYEN845")</f>
        <v>INFTUYEN845</v>
      </c>
      <c r="B48" s="122" t="str">
        <f>IFERROR(__xludf.DUMMYFUNCTION("""COMPUTED_VALUE"""),"Nguyễn Thị Mộng Tuyền")</f>
        <v>Nguyễn Thị Mộng Tuyền</v>
      </c>
      <c r="C48" s="124" t="str">
        <f>IFERROR(__xludf.DUMMYFUNCTION("""COMPUTED_VALUE"""),"Fb")</f>
        <v>Fb</v>
      </c>
      <c r="D48" s="122"/>
      <c r="E48" s="122" t="str">
        <f>IFERROR(__xludf.DUMMYFUNCTION("""COMPUTED_VALUE"""),"100k")</f>
        <v>100k</v>
      </c>
      <c r="F48" s="122" t="str">
        <f>IFERROR(__xludf.DUMMYFUNCTION("""COMPUTED_VALUE"""),"Nguyễn Thị Mộng Tuyền")</f>
        <v>Nguyễn Thị Mộng Tuyền</v>
      </c>
      <c r="G48" s="122">
        <f>IFERROR(__xludf.DUMMYFUNCTION("""COMPUTED_VALUE"""),1994.0)</f>
        <v>1994</v>
      </c>
      <c r="H48" s="122">
        <f>IFERROR(__xludf.DUMMYFUNCTION("""COMPUTED_VALUE"""),2.72278348E8)</f>
        <v>272278348</v>
      </c>
      <c r="I48" s="122">
        <f>IFERROR(__xludf.DUMMYFUNCTION("""COMPUTED_VALUE"""),3.48395845E8)</f>
        <v>348395845</v>
      </c>
      <c r="J48" s="122" t="str">
        <f>IFERROR(__xludf.DUMMYFUNCTION("""COMPUTED_VALUE"""),"mongtuyen270394@gmail.com")</f>
        <v>mongtuyen270394@gmail.com</v>
      </c>
      <c r="K48" s="122" t="str">
        <f>IFERROR(__xludf.DUMMYFUNCTION("""COMPUTED_VALUE"""),"0331000468243
")</f>
        <v>0331000468243
</v>
      </c>
      <c r="L48" s="122" t="str">
        <f>IFERROR(__xludf.DUMMYFUNCTION("""COMPUTED_VALUE"""),"Nguyễn Thị Mộng Tuyền")</f>
        <v>Nguyễn Thị Mộng Tuyền</v>
      </c>
      <c r="M48" s="122" t="str">
        <f>IFERROR(__xludf.DUMMYFUNCTION("""COMPUTED_VALUE"""),"vietcombank")</f>
        <v>vietcombank</v>
      </c>
      <c r="N48" s="122" t="str">
        <f>IFERROR(__xludf.DUMMYFUNCTION("""COMPUTED_VALUE"""),"ấp lê lợi xã bàu hàm 2 , huyện thống nhất tỉnh Đồng Nai")</f>
        <v>ấp lê lợi xã bàu hàm 2 , huyện thống nhất tỉnh Đồng Nai</v>
      </c>
      <c r="O48" s="122" t="str">
        <f>IFERROR(__xludf.DUMMYFUNCTION("""COMPUTED_VALUE"""),"Hiên")</f>
        <v>Hiên</v>
      </c>
      <c r="P48" s="123" t="str">
        <f>IFERROR(__xludf.DUMMYFUNCTION("""COMPUTED_VALUE"""),"Trâm")</f>
        <v>Trâm</v>
      </c>
      <c r="Q48" s="122" t="str">
        <f>IFERROR(__xludf.DUMMYFUNCTION("""COMPUTED_VALUE"""),"Nguyễn Thị Mộng Tuyền")</f>
        <v>Nguyễn Thị Mộng Tuyền</v>
      </c>
      <c r="R48" s="122" t="str">
        <f>IFERROR(__xludf.DUMMYFUNCTION("""COMPUTED_VALUE"""),"INFTUYEN845")</f>
        <v>INFTUYEN845</v>
      </c>
      <c r="S48" s="124" t="str">
        <f>IFERROR(__xludf.DUMMYFUNCTION("""COMPUTED_VALUE"""),"http://yody.vn?affcode=INFTUYEN845")</f>
        <v>http://yody.vn?affcode=INFTUYEN845</v>
      </c>
    </row>
    <row r="49">
      <c r="A49" s="122" t="str">
        <f>IFERROR(__xludf.DUMMYFUNCTION("""COMPUTED_VALUE"""),"INFLOAN518")</f>
        <v>INFLOAN518</v>
      </c>
      <c r="B49" s="122" t="str">
        <f>IFERROR(__xludf.DUMMYFUNCTION("""COMPUTED_VALUE"""),"Vũ Thị Ngọc Loan")</f>
        <v>Vũ Thị Ngọc Loan</v>
      </c>
      <c r="C49" s="124" t="str">
        <f>IFERROR(__xludf.DUMMYFUNCTION("""COMPUTED_VALUE"""),"Fb")</f>
        <v>Fb</v>
      </c>
      <c r="D49" s="122"/>
      <c r="E49" s="122" t="str">
        <f>IFERROR(__xludf.DUMMYFUNCTION("""COMPUTED_VALUE"""),"100k")</f>
        <v>100k</v>
      </c>
      <c r="F49" s="122" t="str">
        <f>IFERROR(__xludf.DUMMYFUNCTION("""COMPUTED_VALUE"""),"Vũ Thị Ngọc Loan")</f>
        <v>Vũ Thị Ngọc Loan</v>
      </c>
      <c r="G49" s="122">
        <f>IFERROR(__xludf.DUMMYFUNCTION("""COMPUTED_VALUE"""),1999.0)</f>
        <v>1999</v>
      </c>
      <c r="H49" s="122">
        <f>IFERROR(__xludf.DUMMYFUNCTION("""COMPUTED_VALUE"""),2.51152518E8)</f>
        <v>251152518</v>
      </c>
      <c r="I49" s="122">
        <f>IFERROR(__xludf.DUMMYFUNCTION("""COMPUTED_VALUE"""),5.23196744E8)</f>
        <v>523196744</v>
      </c>
      <c r="J49" s="122" t="str">
        <f>IFERROR(__xludf.DUMMYFUNCTION("""COMPUTED_VALUE"""),"vuthingocloan99@gmail.com")</f>
        <v>vuthingocloan99@gmail.com</v>
      </c>
      <c r="K49" s="122">
        <f>IFERROR(__xludf.DUMMYFUNCTION("""COMPUTED_VALUE"""),1.9036282402012E13)</f>
        <v>19036282402012</v>
      </c>
      <c r="L49" s="122" t="str">
        <f>IFERROR(__xludf.DUMMYFUNCTION("""COMPUTED_VALUE"""),"VU THI NGOC LOAN")</f>
        <v>VU THI NGOC LOAN</v>
      </c>
      <c r="M49" s="122" t="str">
        <f>IFERROR(__xludf.DUMMYFUNCTION("""COMPUTED_VALUE"""),"Techcombank")</f>
        <v>Techcombank</v>
      </c>
      <c r="N49" s="122" t="str">
        <f>IFERROR(__xludf.DUMMYFUNCTION("""COMPUTED_VALUE"""),"63 đường 265 p hiệp phú q9")</f>
        <v>63 đường 265 p hiệp phú q9</v>
      </c>
      <c r="O49" s="122" t="str">
        <f>IFERROR(__xludf.DUMMYFUNCTION("""COMPUTED_VALUE"""),"Hiên")</f>
        <v>Hiên</v>
      </c>
      <c r="P49" s="123" t="str">
        <f>IFERROR(__xludf.DUMMYFUNCTION("""COMPUTED_VALUE"""),"Trâm")</f>
        <v>Trâm</v>
      </c>
      <c r="Q49" s="122" t="str">
        <f>IFERROR(__xludf.DUMMYFUNCTION("""COMPUTED_VALUE"""),"Vũ Thị Ngọc Loan")</f>
        <v>Vũ Thị Ngọc Loan</v>
      </c>
      <c r="R49" s="122" t="str">
        <f>IFERROR(__xludf.DUMMYFUNCTION("""COMPUTED_VALUE"""),"INFLOAN518")</f>
        <v>INFLOAN518</v>
      </c>
      <c r="S49" s="124" t="str">
        <f>IFERROR(__xludf.DUMMYFUNCTION("""COMPUTED_VALUE"""),"http://yody.vn?affcode=INFLOAN518")</f>
        <v>http://yody.vn?affcode=INFLOAN518</v>
      </c>
    </row>
    <row r="50">
      <c r="A50" s="122" t="str">
        <f>IFERROR(__xludf.DUMMYFUNCTION("""COMPUTED_VALUE"""),"INFVAN497")</f>
        <v>INFVAN497</v>
      </c>
      <c r="B50" s="122" t="str">
        <f>IFERROR(__xludf.DUMMYFUNCTION("""COMPUTED_VALUE"""),"Ngọc Huy Ngọc")</f>
        <v>Ngọc Huy Ngọc</v>
      </c>
      <c r="C50" s="124" t="str">
        <f>IFERROR(__xludf.DUMMYFUNCTION("""COMPUTED_VALUE"""),"Fb")</f>
        <v>Fb</v>
      </c>
      <c r="D50" s="122"/>
      <c r="E50" s="122" t="str">
        <f>IFERROR(__xludf.DUMMYFUNCTION("""COMPUTED_VALUE"""),"212k")</f>
        <v>212k</v>
      </c>
      <c r="F50" s="122" t="str">
        <f>IFERROR(__xludf.DUMMYFUNCTION("""COMPUTED_VALUE"""),"Phạm Thị Vân")</f>
        <v>Phạm Thị Vân</v>
      </c>
      <c r="G50" s="122">
        <f>IFERROR(__xludf.DUMMYFUNCTION("""COMPUTED_VALUE"""),1983.0)</f>
        <v>1983</v>
      </c>
      <c r="H50" s="122" t="str">
        <f>IFERROR(__xludf.DUMMYFUNCTION("""COMPUTED_VALUE"""),"024975415")</f>
        <v>024975415</v>
      </c>
      <c r="I50" s="122">
        <f>IFERROR(__xludf.DUMMYFUNCTION("""COMPUTED_VALUE"""),9.66147497E8)</f>
        <v>966147497</v>
      </c>
      <c r="J50" s="122" t="str">
        <f>IFERROR(__xludf.DUMMYFUNCTION("""COMPUTED_VALUE"""),"Baongocha764@gmail.com")</f>
        <v>Baongocha764@gmail.com</v>
      </c>
      <c r="K50" s="122" t="str">
        <f>IFERROR(__xludf.DUMMYFUNCTION("""COMPUTED_VALUE"""),"0721000585483
")</f>
        <v>0721000585483
</v>
      </c>
      <c r="L50" s="122" t="str">
        <f>IFERROR(__xludf.DUMMYFUNCTION("""COMPUTED_VALUE"""),"Phạm Thị Vân ")</f>
        <v>Phạm Thị Vân </v>
      </c>
      <c r="M50" s="122" t="str">
        <f>IFERROR(__xludf.DUMMYFUNCTION("""COMPUTED_VALUE"""),"Vietcombank")</f>
        <v>Vietcombank</v>
      </c>
      <c r="N50" s="122" t="str">
        <f>IFERROR(__xludf.DUMMYFUNCTION("""COMPUTED_VALUE"""),"35/ 28 Đường TL22, P. Thạnh Lộc, Q.12")</f>
        <v>35/ 28 Đường TL22, P. Thạnh Lộc, Q.12</v>
      </c>
      <c r="O50" s="122" t="str">
        <f>IFERROR(__xludf.DUMMYFUNCTION("""COMPUTED_VALUE"""),"Hiên")</f>
        <v>Hiên</v>
      </c>
      <c r="P50" s="123" t="str">
        <f>IFERROR(__xludf.DUMMYFUNCTION("""COMPUTED_VALUE"""),"Trâm")</f>
        <v>Trâm</v>
      </c>
      <c r="Q50" s="122" t="str">
        <f>IFERROR(__xludf.DUMMYFUNCTION("""COMPUTED_VALUE"""),"Phạm Thị Vân")</f>
        <v>Phạm Thị Vân</v>
      </c>
      <c r="R50" s="122" t="str">
        <f>IFERROR(__xludf.DUMMYFUNCTION("""COMPUTED_VALUE"""),"INFVAN497")</f>
        <v>INFVAN497</v>
      </c>
      <c r="S50" s="124" t="str">
        <f>IFERROR(__xludf.DUMMYFUNCTION("""COMPUTED_VALUE"""),"http://yody.vn?affcode=INFVAN497")</f>
        <v>http://yody.vn?affcode=INFVAN497</v>
      </c>
    </row>
    <row r="51">
      <c r="A51" s="122" t="str">
        <f>IFERROR(__xludf.DUMMYFUNCTION("""COMPUTED_VALUE"""),"INFHIEN779")</f>
        <v>INFHIEN779</v>
      </c>
      <c r="B51" s="122" t="str">
        <f>IFERROR(__xludf.DUMMYFUNCTION("""COMPUTED_VALUE"""),"Ngân Hiền")</f>
        <v>Ngân Hiền</v>
      </c>
      <c r="C51" s="124" t="str">
        <f>IFERROR(__xludf.DUMMYFUNCTION("""COMPUTED_VALUE"""),"Fb")</f>
        <v>Fb</v>
      </c>
      <c r="D51" s="122"/>
      <c r="E51" s="122" t="str">
        <f>IFERROR(__xludf.DUMMYFUNCTION("""COMPUTED_VALUE"""),"50k")</f>
        <v>50k</v>
      </c>
      <c r="F51" s="122" t="str">
        <f>IFERROR(__xludf.DUMMYFUNCTION("""COMPUTED_VALUE"""),"Ngân Thị Thu Hiền")</f>
        <v>Ngân Thị Thu Hiền</v>
      </c>
      <c r="G51" s="122">
        <f>IFERROR(__xludf.DUMMYFUNCTION("""COMPUTED_VALUE"""),1991.0)</f>
        <v>1991</v>
      </c>
      <c r="H51" s="122">
        <f>IFERROR(__xludf.DUMMYFUNCTION("""COMPUTED_VALUE"""),6.6191000742E10)</f>
        <v>66191000742</v>
      </c>
      <c r="I51" s="122">
        <f>IFERROR(__xludf.DUMMYFUNCTION("""COMPUTED_VALUE"""),3.42042779E8)</f>
        <v>342042779</v>
      </c>
      <c r="J51" s="122" t="str">
        <f>IFERROR(__xludf.DUMMYFUNCTION("""COMPUTED_VALUE"""),"nganhienbtx@gmail.com")</f>
        <v>nganhienbtx@gmail.com</v>
      </c>
      <c r="K51" s="122">
        <f>IFERROR(__xludf.DUMMYFUNCTION("""COMPUTED_VALUE"""),6.3310000320206E13)</f>
        <v>63310000320206</v>
      </c>
      <c r="L51" s="122" t="str">
        <f>IFERROR(__xludf.DUMMYFUNCTION("""COMPUTED_VALUE"""),"Ngan Thi Thu Hien")</f>
        <v>Ngan Thi Thu Hien</v>
      </c>
      <c r="M51" s="122" t="str">
        <f>IFERROR(__xludf.DUMMYFUNCTION("""COMPUTED_VALUE"""),"BIDV")</f>
        <v>BIDV</v>
      </c>
      <c r="N51" s="122" t="str">
        <f>IFERROR(__xludf.DUMMYFUNCTION("""COMPUTED_VALUE"""),"B. Thái-EaKueh-CưMgar-Đăk Lăk")</f>
        <v>B. Thái-EaKueh-CưMgar-Đăk Lăk</v>
      </c>
      <c r="O51" s="122" t="str">
        <f>IFERROR(__xludf.DUMMYFUNCTION("""COMPUTED_VALUE"""),"Hiên")</f>
        <v>Hiên</v>
      </c>
      <c r="P51" s="123" t="str">
        <f>IFERROR(__xludf.DUMMYFUNCTION("""COMPUTED_VALUE"""),"Hoa")</f>
        <v>Hoa</v>
      </c>
      <c r="Q51" s="122" t="str">
        <f>IFERROR(__xludf.DUMMYFUNCTION("""COMPUTED_VALUE"""),"Ngân Thị Thu Hiền")</f>
        <v>Ngân Thị Thu Hiền</v>
      </c>
      <c r="R51" s="122" t="str">
        <f>IFERROR(__xludf.DUMMYFUNCTION("""COMPUTED_VALUE"""),"INFHIEN779")</f>
        <v>INFHIEN779</v>
      </c>
      <c r="S51" s="124" t="str">
        <f>IFERROR(__xludf.DUMMYFUNCTION("""COMPUTED_VALUE"""),"http://yody.vn?affcode=INFHIEN779")</f>
        <v>http://yody.vn?affcode=INFHIEN779</v>
      </c>
    </row>
    <row r="52">
      <c r="A52" s="122" t="str">
        <f>IFERROR(__xludf.DUMMYFUNCTION("""COMPUTED_VALUE"""),"INFHOA600")</f>
        <v>INFHOA600</v>
      </c>
      <c r="B52" s="122" t="str">
        <f>IFERROR(__xludf.DUMMYFUNCTION("""COMPUTED_VALUE"""),"Chang Chi")</f>
        <v>Chang Chi</v>
      </c>
      <c r="C52" s="124" t="str">
        <f>IFERROR(__xludf.DUMMYFUNCTION("""COMPUTED_VALUE"""),"Fb")</f>
        <v>Fb</v>
      </c>
      <c r="D52" s="122"/>
      <c r="E52" s="122" t="str">
        <f>IFERROR(__xludf.DUMMYFUNCTION("""COMPUTED_VALUE"""),"107k")</f>
        <v>107k</v>
      </c>
      <c r="F52" s="122" t="str">
        <f>IFERROR(__xludf.DUMMYFUNCTION("""COMPUTED_VALUE"""),"Hạ Thị Hoa")</f>
        <v>Hạ Thị Hoa</v>
      </c>
      <c r="G52" s="122">
        <f>IFERROR(__xludf.DUMMYFUNCTION("""COMPUTED_VALUE"""),1992.0)</f>
        <v>1992</v>
      </c>
      <c r="H52" s="122" t="str">
        <f>IFERROR(__xludf.DUMMYFUNCTION("""COMPUTED_VALUE"""),"026192000129")</f>
        <v>026192000129</v>
      </c>
      <c r="I52" s="122">
        <f>IFERROR(__xludf.DUMMYFUNCTION("""COMPUTED_VALUE"""),9.859826E8)</f>
        <v>985982600</v>
      </c>
      <c r="J52" s="122" t="str">
        <f>IFERROR(__xludf.DUMMYFUNCTION("""COMPUTED_VALUE"""),"Changchi.1604@gmail.com")</f>
        <v>Changchi.1604@gmail.com</v>
      </c>
      <c r="K52" s="122">
        <f>IFERROR(__xludf.DUMMYFUNCTION("""COMPUTED_VALUE"""),1.9036259941011E13)</f>
        <v>19036259941011</v>
      </c>
      <c r="L52" s="122" t="str">
        <f>IFERROR(__xludf.DUMMYFUNCTION("""COMPUTED_VALUE"""),"Hạ Thị Hoa ")</f>
        <v>Hạ Thị Hoa </v>
      </c>
      <c r="M52" s="122" t="str">
        <f>IFERROR(__xludf.DUMMYFUNCTION("""COMPUTED_VALUE"""),"Techcombank")</f>
        <v>Techcombank</v>
      </c>
      <c r="N52" s="122" t="str">
        <f>IFERROR(__xludf.DUMMYFUNCTION("""COMPUTED_VALUE"""),"FLC Garden City – Đại Mỗ - Nam Từ Liêm - HN")</f>
        <v>FLC Garden City – Đại Mỗ - Nam Từ Liêm - HN</v>
      </c>
      <c r="O52" s="122" t="str">
        <f>IFERROR(__xludf.DUMMYFUNCTION("""COMPUTED_VALUE"""),"Hiên")</f>
        <v>Hiên</v>
      </c>
      <c r="P52" s="123" t="str">
        <f>IFERROR(__xludf.DUMMYFUNCTION("""COMPUTED_VALUE"""),"Hoa")</f>
        <v>Hoa</v>
      </c>
      <c r="Q52" s="122" t="str">
        <f>IFERROR(__xludf.DUMMYFUNCTION("""COMPUTED_VALUE"""),"Hạ Thị Hoa")</f>
        <v>Hạ Thị Hoa</v>
      </c>
      <c r="R52" s="122" t="str">
        <f>IFERROR(__xludf.DUMMYFUNCTION("""COMPUTED_VALUE"""),"INFHOA600")</f>
        <v>INFHOA600</v>
      </c>
      <c r="S52" s="124" t="str">
        <f>IFERROR(__xludf.DUMMYFUNCTION("""COMPUTED_VALUE"""),"http://yody.vn?affcode=INFHOA600")</f>
        <v>http://yody.vn?affcode=INFHOA600</v>
      </c>
    </row>
    <row r="53">
      <c r="A53" s="122" t="str">
        <f>IFERROR(__xludf.DUMMYFUNCTION("""COMPUTED_VALUE"""),"INFTHAO439")</f>
        <v>INFTHAO439</v>
      </c>
      <c r="B53" s="122" t="str">
        <f>IFERROR(__xludf.DUMMYFUNCTION("""COMPUTED_VALUE"""),"Hoàng Thị Phương Thảo")</f>
        <v>Hoàng Thị Phương Thảo</v>
      </c>
      <c r="C53" s="122" t="str">
        <f>IFERROR(__xludf.DUMMYFUNCTION("""COMPUTED_VALUE"""),"fb,tiktok")</f>
        <v>fb,tiktok</v>
      </c>
      <c r="D53" s="122"/>
      <c r="E53" s="122" t="str">
        <f>IFERROR(__xludf.DUMMYFUNCTION("""COMPUTED_VALUE"""),"215,6k ")</f>
        <v>215,6k </v>
      </c>
      <c r="F53" s="122" t="str">
        <f>IFERROR(__xludf.DUMMYFUNCTION("""COMPUTED_VALUE"""),"Hoàng Thị Phương Thảo")</f>
        <v>Hoàng Thị Phương Thảo</v>
      </c>
      <c r="G53" s="126">
        <f>IFERROR(__xludf.DUMMYFUNCTION("""COMPUTED_VALUE"""),34613.0)</f>
        <v>34613</v>
      </c>
      <c r="H53" s="122" t="str">
        <f>IFERROR(__xludf.DUMMYFUNCTION("""COMPUTED_VALUE"""),"033194001285")</f>
        <v>033194001285</v>
      </c>
      <c r="I53" s="122">
        <f>IFERROR(__xludf.DUMMYFUNCTION("""COMPUTED_VALUE"""),9.72263439E8)</f>
        <v>972263439</v>
      </c>
      <c r="J53" s="122" t="str">
        <f>IFERROR(__xludf.DUMMYFUNCTION("""COMPUTED_VALUE"""),"mchoangphuongthaovtv@gmail.com")</f>
        <v>mchoangphuongthaovtv@gmail.com</v>
      </c>
      <c r="K53" s="122">
        <f>IFERROR(__xludf.DUMMYFUNCTION("""COMPUTED_VALUE"""),1.97199999999E11)</f>
        <v>197199999999</v>
      </c>
      <c r="L53" s="122" t="str">
        <f>IFERROR(__xludf.DUMMYFUNCTION("""COMPUTED_VALUE"""),"HOANG THI PHUONG THAO")</f>
        <v>HOANG THI PHUONG THAO</v>
      </c>
      <c r="M53" s="122" t="str">
        <f>IFERROR(__xludf.DUMMYFUNCTION("""COMPUTED_VALUE"""),". Ngân hàng VP Bank - Chi Nhánh Quận 2")</f>
        <v>. Ngân hàng VP Bank - Chi Nhánh Quận 2</v>
      </c>
      <c r="N53" s="122" t="str">
        <f>IFERROR(__xludf.DUMMYFUNCTION("""COMPUTED_VALUE""")," Lô B, Chung cư Hà Kiều , Đường số 20,Phường 5, Quận Gò Vấp ,TpHCM ")</f>
        <v> Lô B, Chung cư Hà Kiều , Đường số 20,Phường 5, Quận Gò Vấp ,TpHCM </v>
      </c>
      <c r="O53" s="122" t="str">
        <f>IFERROR(__xludf.DUMMYFUNCTION("""COMPUTED_VALUE"""),"Mến")</f>
        <v>Mến</v>
      </c>
      <c r="P53" s="123" t="str">
        <f>IFERROR(__xludf.DUMMYFUNCTION("""COMPUTED_VALUE"""),"Mến")</f>
        <v>Mến</v>
      </c>
      <c r="Q53" s="122"/>
      <c r="R53" s="122" t="str">
        <f>IFERROR(__xludf.DUMMYFUNCTION("""COMPUTED_VALUE"""),"INFTHAO439")</f>
        <v>INFTHAO439</v>
      </c>
      <c r="S53" s="124" t="str">
        <f>IFERROR(__xludf.DUMMYFUNCTION("""COMPUTED_VALUE"""),"https://yody.vn/?affcode=INFTHAO439")</f>
        <v>https://yody.vn/?affcode=INFTHAO439</v>
      </c>
    </row>
    <row r="54">
      <c r="A54" s="122" t="str">
        <f>IFERROR(__xludf.DUMMYFUNCTION("""COMPUTED_VALUE"""),"INFHA929")</f>
        <v>INFHA929</v>
      </c>
      <c r="B54" s="122" t="str">
        <f>IFERROR(__xludf.DUMMYFUNCTION("""COMPUTED_VALUE"""),"Hoàng Thu Hà")</f>
        <v>Hoàng Thu Hà</v>
      </c>
      <c r="C54" s="124" t="str">
        <f>IFERROR(__xludf.DUMMYFUNCTION("""COMPUTED_VALUE"""),"tiktok")</f>
        <v>tiktok</v>
      </c>
      <c r="D54" s="122"/>
      <c r="E54" s="122" t="str">
        <f>IFERROR(__xludf.DUMMYFUNCTION("""COMPUTED_VALUE"""),"495k")</f>
        <v>495k</v>
      </c>
      <c r="F54" s="122" t="str">
        <f>IFERROR(__xludf.DUMMYFUNCTION("""COMPUTED_VALUE"""),"Hoàng Thu Hà")</f>
        <v>Hoàng Thu Hà</v>
      </c>
      <c r="G54" s="122" t="str">
        <f>IFERROR(__xludf.DUMMYFUNCTION("""COMPUTED_VALUE"""),"19/09/2000")</f>
        <v>19/09/2000</v>
      </c>
      <c r="H54" s="122">
        <f>IFERROR(__xludf.DUMMYFUNCTION("""COMPUTED_VALUE"""),7.1071992E7)</f>
        <v>71071992</v>
      </c>
      <c r="I54" s="122">
        <f>IFERROR(__xludf.DUMMYFUNCTION("""COMPUTED_VALUE"""),9.45604929E8)</f>
        <v>945604929</v>
      </c>
      <c r="J54" s="122" t="str">
        <f>IFERROR(__xludf.DUMMYFUNCTION("""COMPUTED_VALUE"""),"hoangthuha.hth09@gmail.com")</f>
        <v>hoangthuha.hth09@gmail.com</v>
      </c>
      <c r="K54" s="122">
        <f>IFERROR(__xludf.DUMMYFUNCTION("""COMPUTED_VALUE"""),1.9034494142018E13)</f>
        <v>19034494142018</v>
      </c>
      <c r="L54" s="122" t="str">
        <f>IFERROR(__xludf.DUMMYFUNCTION("""COMPUTED_VALUE"""),"HOANG THU HA")</f>
        <v>HOANG THU HA</v>
      </c>
      <c r="M54" s="122" t="str">
        <f>IFERROR(__xludf.DUMMYFUNCTION("""COMPUTED_VALUE"""),"techcombank")</f>
        <v>techcombank</v>
      </c>
      <c r="N54" s="122" t="str">
        <f>IFERROR(__xludf.DUMMYFUNCTION("""COMPUTED_VALUE"""),"Số nhà 18 ngách 61 ngõ 1194 đường Láng, Láng Thượng, Đống Đa, HN")</f>
        <v>Số nhà 18 ngách 61 ngõ 1194 đường Láng, Láng Thượng, Đống Đa, HN</v>
      </c>
      <c r="O54" s="122" t="str">
        <f>IFERROR(__xludf.DUMMYFUNCTION("""COMPUTED_VALUE"""),"Trâm")</f>
        <v>Trâm</v>
      </c>
      <c r="P54" s="123" t="str">
        <f>IFERROR(__xludf.DUMMYFUNCTION("""COMPUTED_VALUE"""),"Trâm")</f>
        <v>Trâm</v>
      </c>
      <c r="Q54" s="122"/>
      <c r="R54" s="122" t="str">
        <f>IFERROR(__xludf.DUMMYFUNCTION("""COMPUTED_VALUE"""),"INFHA929")</f>
        <v>INFHA929</v>
      </c>
      <c r="S54" s="124" t="str">
        <f>IFERROR(__xludf.DUMMYFUNCTION("""COMPUTED_VALUE"""),"http://yody.vn?affcode=INFHA929")</f>
        <v>http://yody.vn?affcode=INFHA929</v>
      </c>
    </row>
    <row r="55">
      <c r="A55" s="122" t="str">
        <f>IFERROR(__xludf.DUMMYFUNCTION("""COMPUTED_VALUE"""),"INFANH828")</f>
        <v>INFANH828</v>
      </c>
      <c r="B55" s="122" t="str">
        <f>IFERROR(__xludf.DUMMYFUNCTION("""COMPUTED_VALUE"""),"Phùn Anh")</f>
        <v>Phùn Anh</v>
      </c>
      <c r="C55" s="124" t="str">
        <f>IFERROR(__xludf.DUMMYFUNCTION("""COMPUTED_VALUE"""),"tiktok")</f>
        <v>tiktok</v>
      </c>
      <c r="D55" s="122"/>
      <c r="E55" s="122" t="str">
        <f>IFERROR(__xludf.DUMMYFUNCTION("""COMPUTED_VALUE"""),"546k")</f>
        <v>546k</v>
      </c>
      <c r="F55" s="122" t="str">
        <f>IFERROR(__xludf.DUMMYFUNCTION("""COMPUTED_VALUE"""),"Phùn Thị Anh")</f>
        <v>Phùn Thị Anh</v>
      </c>
      <c r="G55" s="122" t="str">
        <f>IFERROR(__xludf.DUMMYFUNCTION("""COMPUTED_VALUE"""),"14/05/2001")</f>
        <v>14/05/2001</v>
      </c>
      <c r="H55" s="122">
        <f>IFERROR(__xludf.DUMMYFUNCTION("""COMPUTED_VALUE"""),2.2301007774E10)</f>
        <v>22301007774</v>
      </c>
      <c r="I55" s="122">
        <f>IFERROR(__xludf.DUMMYFUNCTION("""COMPUTED_VALUE"""),8.45239828E8)</f>
        <v>845239828</v>
      </c>
      <c r="J55" s="122" t="str">
        <f>IFERROR(__xludf.DUMMYFUNCTION("""COMPUTED_VALUE"""),"anhphun136@gmail.com")</f>
        <v>anhphun136@gmail.com</v>
      </c>
      <c r="K55" s="122">
        <f>IFERROR(__xludf.DUMMYFUNCTION("""COMPUTED_VALUE"""),1.014988114E9)</f>
        <v>1014988114</v>
      </c>
      <c r="L55" s="122" t="str">
        <f>IFERROR(__xludf.DUMMYFUNCTION("""COMPUTED_VALUE"""),"PHUN THI ANH")</f>
        <v>PHUN THI ANH</v>
      </c>
      <c r="M55" s="122" t="str">
        <f>IFERROR(__xludf.DUMMYFUNCTION("""COMPUTED_VALUE"""),"Vietcombank")</f>
        <v>Vietcombank</v>
      </c>
      <c r="N55" s="122" t="str">
        <f>IFERROR(__xludf.DUMMYFUNCTION("""COMPUTED_VALUE"""),"Nà Cà, Phong Dụ, Tiên Yên, Quảng Ninh")</f>
        <v>Nà Cà, Phong Dụ, Tiên Yên, Quảng Ninh</v>
      </c>
      <c r="O55" s="122" t="str">
        <f>IFERROR(__xludf.DUMMYFUNCTION("""COMPUTED_VALUE"""),"Trâm")</f>
        <v>Trâm</v>
      </c>
      <c r="P55" s="123" t="str">
        <f>IFERROR(__xludf.DUMMYFUNCTION("""COMPUTED_VALUE"""),"Trâm")</f>
        <v>Trâm</v>
      </c>
      <c r="Q55" s="122"/>
      <c r="R55" s="122" t="str">
        <f>IFERROR(__xludf.DUMMYFUNCTION("""COMPUTED_VALUE"""),"INFANH828")</f>
        <v>INFANH828</v>
      </c>
      <c r="S55" s="124" t="str">
        <f>IFERROR(__xludf.DUMMYFUNCTION("""COMPUTED_VALUE"""),"http://yody.vn?affcode=INFANH828")</f>
        <v>http://yody.vn?affcode=INFANH828</v>
      </c>
    </row>
    <row r="56">
      <c r="A56" s="122" t="str">
        <f>IFERROR(__xludf.DUMMYFUNCTION("""COMPUTED_VALUE"""),"INFDUONG116")</f>
        <v>INFDUONG116</v>
      </c>
      <c r="B56" s="122" t="str">
        <f>IFERROR(__xludf.DUMMYFUNCTION("""COMPUTED_VALUE"""),"Nguyễn Thuỳ Dương")</f>
        <v>Nguyễn Thuỳ Dương</v>
      </c>
      <c r="C56" s="124" t="str">
        <f>IFERROR(__xludf.DUMMYFUNCTION("""COMPUTED_VALUE"""),"tiktok")</f>
        <v>tiktok</v>
      </c>
      <c r="D56" s="122"/>
      <c r="E56" s="122" t="str">
        <f>IFERROR(__xludf.DUMMYFUNCTION("""COMPUTED_VALUE"""),"119k")</f>
        <v>119k</v>
      </c>
      <c r="F56" s="122" t="str">
        <f>IFERROR(__xludf.DUMMYFUNCTION("""COMPUTED_VALUE"""),"Nguyễn Thuỳ Dương")</f>
        <v>Nguyễn Thuỳ Dương</v>
      </c>
      <c r="G56" s="126">
        <f>IFERROR(__xludf.DUMMYFUNCTION("""COMPUTED_VALUE"""),36594.0)</f>
        <v>36594</v>
      </c>
      <c r="H56" s="122">
        <f>IFERROR(__xludf.DUMMYFUNCTION("""COMPUTED_VALUE"""),2.530000083E10)</f>
        <v>25300000830</v>
      </c>
      <c r="I56" s="122">
        <f>IFERROR(__xludf.DUMMYFUNCTION("""COMPUTED_VALUE"""),9.47230116E8)</f>
        <v>947230116</v>
      </c>
      <c r="J56" s="122" t="str">
        <f>IFERROR(__xludf.DUMMYFUNCTION("""COMPUTED_VALUE"""),"sunflizme@gmail.com")</f>
        <v>sunflizme@gmail.com</v>
      </c>
      <c r="K56" s="122">
        <f>IFERROR(__xludf.DUMMYFUNCTION("""COMPUTED_VALUE"""),1.9033994281018E13)</f>
        <v>19033994281018</v>
      </c>
      <c r="L56" s="122" t="str">
        <f>IFERROR(__xludf.DUMMYFUNCTION("""COMPUTED_VALUE"""),"NGUYEN THUY DUONG")</f>
        <v>NGUYEN THUY DUONG</v>
      </c>
      <c r="M56" s="122" t="str">
        <f>IFERROR(__xludf.DUMMYFUNCTION("""COMPUTED_VALUE"""),"Techcombank: ")</f>
        <v>Techcombank: </v>
      </c>
      <c r="N56" s="122" t="str">
        <f>IFERROR(__xludf.DUMMYFUNCTION("""COMPUTED_VALUE"""),"Số nhà 34 ngõ 1 khu Lăng Cẩm Gia Cẩm Việt Trì Phú Thọ")</f>
        <v>Số nhà 34 ngõ 1 khu Lăng Cẩm Gia Cẩm Việt Trì Phú Thọ</v>
      </c>
      <c r="O56" s="122" t="str">
        <f>IFERROR(__xludf.DUMMYFUNCTION("""COMPUTED_VALUE"""),"Trâm")</f>
        <v>Trâm</v>
      </c>
      <c r="P56" s="123" t="str">
        <f>IFERROR(__xludf.DUMMYFUNCTION("""COMPUTED_VALUE"""),"Trâm")</f>
        <v>Trâm</v>
      </c>
      <c r="Q56" s="122"/>
      <c r="R56" s="122" t="str">
        <f>IFERROR(__xludf.DUMMYFUNCTION("""COMPUTED_VALUE"""),"INFDUONG116")</f>
        <v>INFDUONG116</v>
      </c>
      <c r="S56" s="124" t="str">
        <f>IFERROR(__xludf.DUMMYFUNCTION("""COMPUTED_VALUE"""),"http://yody.vn?affcode=INFDUONG116")</f>
        <v>http://yody.vn?affcode=INFDUONG116</v>
      </c>
    </row>
    <row r="57">
      <c r="A57" s="122" t="str">
        <f>IFERROR(__xludf.DUMMYFUNCTION("""COMPUTED_VALUE"""),"INFHOAI569")</f>
        <v>INFHOAI569</v>
      </c>
      <c r="B57" s="122" t="str">
        <f>IFERROR(__xludf.DUMMYFUNCTION("""COMPUTED_VALUE"""),"Xoài")</f>
        <v>Xoài</v>
      </c>
      <c r="C57" s="124" t="str">
        <f>IFERROR(__xludf.DUMMYFUNCTION("""COMPUTED_VALUE"""),"tiktok")</f>
        <v>tiktok</v>
      </c>
      <c r="D57" s="122"/>
      <c r="E57" s="122" t="str">
        <f>IFERROR(__xludf.DUMMYFUNCTION("""COMPUTED_VALUE"""),"538k")</f>
        <v>538k</v>
      </c>
      <c r="F57" s="122" t="str">
        <f>IFERROR(__xludf.DUMMYFUNCTION("""COMPUTED_VALUE"""),"Lương Thị Ngọc Hoài ")</f>
        <v>Lương Thị Ngọc Hoài </v>
      </c>
      <c r="G57" s="128">
        <f>IFERROR(__xludf.DUMMYFUNCTION("""COMPUTED_VALUE"""),36902.0)</f>
        <v>36902</v>
      </c>
      <c r="H57" s="122">
        <f>IFERROR(__xludf.DUMMYFUNCTION("""COMPUTED_VALUE"""),9.2001459E7)</f>
        <v>92001459</v>
      </c>
      <c r="I57" s="122">
        <f>IFERROR(__xludf.DUMMYFUNCTION("""COMPUTED_VALUE"""),9.86149569E8)</f>
        <v>986149569</v>
      </c>
      <c r="J57" s="122" t="str">
        <f>IFERROR(__xludf.DUMMYFUNCTION("""COMPUTED_VALUE"""),"luongthingochoai011101@gmail.com")</f>
        <v>luongthingochoai011101@gmail.com</v>
      </c>
      <c r="K57" s="122">
        <f>IFERROR(__xludf.DUMMYFUNCTION("""COMPUTED_VALUE"""),1.9036653260011E13)</f>
        <v>19036653260011</v>
      </c>
      <c r="L57" s="122" t="str">
        <f>IFERROR(__xludf.DUMMYFUNCTION("""COMPUTED_VALUE"""),"Lương thị ngọc hoài")</f>
        <v>Lương thị ngọc hoài</v>
      </c>
      <c r="M57" s="122" t="str">
        <f>IFERROR(__xludf.DUMMYFUNCTION("""COMPUTED_VALUE"""),"Teckcombank")</f>
        <v>Teckcombank</v>
      </c>
      <c r="N57" s="122" t="str">
        <f>IFERROR(__xludf.DUMMYFUNCTION("""COMPUTED_VALUE"""),"Chung cư PHC 158 nguyễn sơn long biên
0986149569")</f>
        <v>Chung cư PHC 158 nguyễn sơn long biên
0986149569</v>
      </c>
      <c r="O57" s="122" t="str">
        <f>IFERROR(__xludf.DUMMYFUNCTION("""COMPUTED_VALUE"""),"Trâm")</f>
        <v>Trâm</v>
      </c>
      <c r="P57" s="123" t="str">
        <f>IFERROR(__xludf.DUMMYFUNCTION("""COMPUTED_VALUE"""),"Trâm")</f>
        <v>Trâm</v>
      </c>
      <c r="Q57" s="122"/>
      <c r="R57" s="122" t="str">
        <f>IFERROR(__xludf.DUMMYFUNCTION("""COMPUTED_VALUE"""),"INFHOAI569")</f>
        <v>INFHOAI569</v>
      </c>
      <c r="S57" s="124" t="str">
        <f>IFERROR(__xludf.DUMMYFUNCTION("""COMPUTED_VALUE"""),"http://yody.vn?affcode=INFHOAI569")</f>
        <v>http://yody.vn?affcode=INFHOAI569</v>
      </c>
    </row>
    <row r="58">
      <c r="A58" s="122" t="str">
        <f>IFERROR(__xludf.DUMMYFUNCTION("""COMPUTED_VALUE"""),"INFHUYEN607")</f>
        <v>INFHUYEN607</v>
      </c>
      <c r="B58" s="122" t="str">
        <f>IFERROR(__xludf.DUMMYFUNCTION("""COMPUTED_VALUE"""),"Tiểu Hy")</f>
        <v>Tiểu Hy</v>
      </c>
      <c r="C58" s="124" t="str">
        <f>IFERROR(__xludf.DUMMYFUNCTION("""COMPUTED_VALUE"""),"tiktok")</f>
        <v>tiktok</v>
      </c>
      <c r="D58" s="122"/>
      <c r="E58" s="122" t="str">
        <f>IFERROR(__xludf.DUMMYFUNCTION("""COMPUTED_VALUE"""),"149k")</f>
        <v>149k</v>
      </c>
      <c r="F58" s="122" t="str">
        <f>IFERROR(__xludf.DUMMYFUNCTION("""COMPUTED_VALUE"""),"Nguyễn Ngọc Huyền")</f>
        <v>Nguyễn Ngọc Huyền</v>
      </c>
      <c r="G58" s="126">
        <f>IFERROR(__xludf.DUMMYFUNCTION("""COMPUTED_VALUE"""),36657.0)</f>
        <v>36657</v>
      </c>
      <c r="H58" s="122">
        <f>IFERROR(__xludf.DUMMYFUNCTION("""COMPUTED_VALUE"""),3.130000131E10)</f>
        <v>31300001310</v>
      </c>
      <c r="I58" s="122">
        <f>IFERROR(__xludf.DUMMYFUNCTION("""COMPUTED_VALUE"""),9.04521607E8)</f>
        <v>904521607</v>
      </c>
      <c r="J58" s="122" t="str">
        <f>IFERROR(__xludf.DUMMYFUNCTION("""COMPUTED_VALUE"""),"Behyblacky@gmail.com")</f>
        <v>Behyblacky@gmail.com</v>
      </c>
      <c r="K58" s="122">
        <f>IFERROR(__xludf.DUMMYFUNCTION("""COMPUTED_VALUE"""),1.0898055789E10)</f>
        <v>10898055789</v>
      </c>
      <c r="L58" s="122" t="str">
        <f>IFERROR(__xludf.DUMMYFUNCTION("""COMPUTED_VALUE"""),"Nguyen Ngoc Huyen")</f>
        <v>Nguyen Ngoc Huyen</v>
      </c>
      <c r="M58" s="122" t="str">
        <f>IFERROR(__xludf.DUMMYFUNCTION("""COMPUTED_VALUE"""),"MB Bank")</f>
        <v>MB Bank</v>
      </c>
      <c r="N58" s="122" t="str">
        <f>IFERROR(__xludf.DUMMYFUNCTION("""COMPUTED_VALUE"""),"275 Nguyễn Trãi, Thanh Xuân, Hà Nội")</f>
        <v>275 Nguyễn Trãi, Thanh Xuân, Hà Nội</v>
      </c>
      <c r="O58" s="122" t="str">
        <f>IFERROR(__xludf.DUMMYFUNCTION("""COMPUTED_VALUE"""),"Trâm")</f>
        <v>Trâm</v>
      </c>
      <c r="P58" s="123" t="str">
        <f>IFERROR(__xludf.DUMMYFUNCTION("""COMPUTED_VALUE"""),"Trâm")</f>
        <v>Trâm</v>
      </c>
      <c r="Q58" s="122"/>
      <c r="R58" s="122" t="str">
        <f>IFERROR(__xludf.DUMMYFUNCTION("""COMPUTED_VALUE"""),"INFHUYEN607")</f>
        <v>INFHUYEN607</v>
      </c>
      <c r="S58" s="124" t="str">
        <f>IFERROR(__xludf.DUMMYFUNCTION("""COMPUTED_VALUE"""),"http://yody.vn?affcode=INFHUYEN607")</f>
        <v>http://yody.vn?affcode=INFHUYEN607</v>
      </c>
    </row>
    <row r="59">
      <c r="A59" s="122" t="str">
        <f>IFERROR(__xludf.DUMMYFUNCTION("""COMPUTED_VALUE"""),"INFHAI912")</f>
        <v>INFHAI912</v>
      </c>
      <c r="B59" s="122" t="str">
        <f>IFERROR(__xludf.DUMMYFUNCTION("""COMPUTED_VALUE"""),"Ngô Đức Hải")</f>
        <v>Ngô Đức Hải</v>
      </c>
      <c r="C59" s="122" t="str">
        <f>IFERROR(__xludf.DUMMYFUNCTION("""COMPUTED_VALUE"""),"fb, ins")</f>
        <v>fb, ins</v>
      </c>
      <c r="D59" s="122"/>
      <c r="E59" s="122" t="str">
        <f>IFERROR(__xludf.DUMMYFUNCTION("""COMPUTED_VALUE"""),"28,7k/12,1k ")</f>
        <v>28,7k/12,1k </v>
      </c>
      <c r="F59" s="122" t="str">
        <f>IFERROR(__xludf.DUMMYFUNCTION("""COMPUTED_VALUE"""),"Ngô Đức Hải")</f>
        <v>Ngô Đức Hải</v>
      </c>
      <c r="G59" s="126">
        <f>IFERROR(__xludf.DUMMYFUNCTION("""COMPUTED_VALUE"""),36770.0)</f>
        <v>36770</v>
      </c>
      <c r="H59" s="122" t="str">
        <f>IFERROR(__xludf.DUMMYFUNCTION("""COMPUTED_VALUE"""),"044200000274")</f>
        <v>044200000274</v>
      </c>
      <c r="I59" s="122" t="str">
        <f>IFERROR(__xludf.DUMMYFUNCTION("""COMPUTED_VALUE"""),"0378832912")</f>
        <v>0378832912</v>
      </c>
      <c r="J59" s="122" t="str">
        <f>IFERROR(__xludf.DUMMYFUNCTION("""COMPUTED_VALUE"""),"comehere.joeofficial912@gmail.com")</f>
        <v>comehere.joeofficial912@gmail.com</v>
      </c>
      <c r="K59" s="122">
        <f>IFERROR(__xludf.DUMMYFUNCTION("""COMPUTED_VALUE"""),1.9033376421011E13)</f>
        <v>19033376421011</v>
      </c>
      <c r="L59" s="122" t="str">
        <f>IFERROR(__xludf.DUMMYFUNCTION("""COMPUTED_VALUE"""),"NGO DUC HAI")</f>
        <v>NGO DUC HAI</v>
      </c>
      <c r="M59" s="122" t="str">
        <f>IFERROR(__xludf.DUMMYFUNCTION("""COMPUTED_VALUE"""),"Techcombank")</f>
        <v>Techcombank</v>
      </c>
      <c r="N59" s="122" t="str">
        <f>IFERROR(__xludf.DUMMYFUNCTION("""COMPUTED_VALUE"""),"130/19 Huỳnh Văn Nghệ - Phường 15 - Tân Bình - HCM")</f>
        <v>130/19 Huỳnh Văn Nghệ - Phường 15 - Tân Bình - HCM</v>
      </c>
      <c r="O59" s="122" t="str">
        <f>IFERROR(__xludf.DUMMYFUNCTION("""COMPUTED_VALUE"""),"Mến")</f>
        <v>Mến</v>
      </c>
      <c r="P59" s="123" t="str">
        <f>IFERROR(__xludf.DUMMYFUNCTION("""COMPUTED_VALUE"""),"Mến")</f>
        <v>Mến</v>
      </c>
      <c r="Q59" s="122"/>
      <c r="R59" s="122" t="str">
        <f>IFERROR(__xludf.DUMMYFUNCTION("""COMPUTED_VALUE"""),"INFHAI912")</f>
        <v>INFHAI912</v>
      </c>
      <c r="S59" s="124" t="str">
        <f>IFERROR(__xludf.DUMMYFUNCTION("""COMPUTED_VALUE"""),"https://yody.vn/?affcode=INFHAI912")</f>
        <v>https://yody.vn/?affcode=INFHAI912</v>
      </c>
    </row>
    <row r="60">
      <c r="A60" s="122" t="str">
        <f>IFERROR(__xludf.DUMMYFUNCTION("""COMPUTED_VALUE"""),"INFHUYEN144")</f>
        <v>INFHUYEN144</v>
      </c>
      <c r="B60" s="122" t="str">
        <f>IFERROR(__xludf.DUMMYFUNCTION("""COMPUTED_VALUE"""),"Đặng Huyền")</f>
        <v>Đặng Huyền</v>
      </c>
      <c r="C60" s="124" t="str">
        <f>IFERROR(__xludf.DUMMYFUNCTION("""COMPUTED_VALUE"""),"Tiktok")</f>
        <v>Tiktok</v>
      </c>
      <c r="D60" s="122"/>
      <c r="E60" s="122" t="str">
        <f>IFERROR(__xludf.DUMMYFUNCTION("""COMPUTED_VALUE"""),"301k")</f>
        <v>301k</v>
      </c>
      <c r="F60" s="122" t="str">
        <f>IFERROR(__xludf.DUMMYFUNCTION("""COMPUTED_VALUE"""),"Đặng Thị Huyền")</f>
        <v>Đặng Thị Huyền</v>
      </c>
      <c r="G60" s="122">
        <f>IFERROR(__xludf.DUMMYFUNCTION("""COMPUTED_VALUE"""),2001.0)</f>
        <v>2001</v>
      </c>
      <c r="H60" s="122" t="str">
        <f>IFERROR(__xludf.DUMMYFUNCTION("""COMPUTED_VALUE"""),"022301007635")</f>
        <v>022301007635</v>
      </c>
      <c r="I60" s="122">
        <f>IFERROR(__xludf.DUMMYFUNCTION("""COMPUTED_VALUE"""),9.77980144E8)</f>
        <v>977980144</v>
      </c>
      <c r="J60" s="122" t="str">
        <f>IFERROR(__xludf.DUMMYFUNCTION("""COMPUTED_VALUE"""),"danghuyen2xx1@gmail.com")</f>
        <v>danghuyen2xx1@gmail.com</v>
      </c>
      <c r="K60" s="122">
        <f>IFERROR(__xludf.DUMMYFUNCTION("""COMPUTED_VALUE"""),6.0265729889E10)</f>
        <v>60265729889</v>
      </c>
      <c r="L60" s="122" t="str">
        <f>IFERROR(__xludf.DUMMYFUNCTION("""COMPUTED_VALUE"""),"Đặng Thị Huyền")</f>
        <v>Đặng Thị Huyền</v>
      </c>
      <c r="M60" s="122" t="str">
        <f>IFERROR(__xludf.DUMMYFUNCTION("""COMPUTED_VALUE"""),"Sacombank")</f>
        <v>Sacombank</v>
      </c>
      <c r="N60" s="122" t="str">
        <f>IFERROR(__xludf.DUMMYFUNCTION("""COMPUTED_VALUE"""),"nhà số 8 hẻm 46 ngách 32/15 An Dương, Tây Hồ, Hà Nội")</f>
        <v>nhà số 8 hẻm 46 ngách 32/15 An Dương, Tây Hồ, Hà Nội</v>
      </c>
      <c r="O60" s="122" t="str">
        <f>IFERROR(__xludf.DUMMYFUNCTION("""COMPUTED_VALUE"""),"Hiên")</f>
        <v>Hiên</v>
      </c>
      <c r="P60" s="123" t="str">
        <f>IFERROR(__xludf.DUMMYFUNCTION("""COMPUTED_VALUE"""),"Trâm")</f>
        <v>Trâm</v>
      </c>
      <c r="Q60" s="122"/>
      <c r="R60" s="122" t="str">
        <f>IFERROR(__xludf.DUMMYFUNCTION("""COMPUTED_VALUE"""),"INFHUYEN144")</f>
        <v>INFHUYEN144</v>
      </c>
      <c r="S60" s="124" t="str">
        <f>IFERROR(__xludf.DUMMYFUNCTION("""COMPUTED_VALUE"""),"http://yody.vn?affcode=INFHUYEN144")</f>
        <v>http://yody.vn?affcode=INFHUYEN144</v>
      </c>
    </row>
    <row r="61">
      <c r="A61" s="122" t="str">
        <f>IFERROR(__xludf.DUMMYFUNCTION("""COMPUTED_VALUE"""),"INFNHUT421")</f>
        <v>INFNHUT421</v>
      </c>
      <c r="B61" s="122" t="str">
        <f>IFERROR(__xludf.DUMMYFUNCTION("""COMPUTED_VALUE"""),"Nguyễn Huỳnh Nhựt")</f>
        <v>Nguyễn Huỳnh Nhựt</v>
      </c>
      <c r="C61" s="124" t="str">
        <f>IFERROR(__xludf.DUMMYFUNCTION("""COMPUTED_VALUE"""),"tiktok")</f>
        <v>tiktok</v>
      </c>
      <c r="D61" s="122"/>
      <c r="E61" s="122" t="str">
        <f>IFERROR(__xludf.DUMMYFUNCTION("""COMPUTED_VALUE"""),"64k")</f>
        <v>64k</v>
      </c>
      <c r="F61" s="122" t="str">
        <f>IFERROR(__xludf.DUMMYFUNCTION("""COMPUTED_VALUE"""),"Nguyễn Huỳnh Nhựt")</f>
        <v>Nguyễn Huỳnh Nhựt</v>
      </c>
      <c r="G61" s="122" t="str">
        <f>IFERROR(__xludf.DUMMYFUNCTION("""COMPUTED_VALUE"""),"26/3/1997")</f>
        <v>26/3/1997</v>
      </c>
      <c r="H61" s="122">
        <f>IFERROR(__xludf.DUMMYFUNCTION("""COMPUTED_VALUE"""),2.560698E7)</f>
        <v>25606980</v>
      </c>
      <c r="I61" s="122">
        <f>IFERROR(__xludf.DUMMYFUNCTION("""COMPUTED_VALUE"""),9.01102421E8)</f>
        <v>901102421</v>
      </c>
      <c r="J61" s="122" t="str">
        <f>IFERROR(__xludf.DUMMYFUNCTION("""COMPUTED_VALUE"""),"huynhnhutnguyen23@gmail.com")</f>
        <v>huynhnhutnguyen23@gmail.com</v>
      </c>
      <c r="K61" s="122">
        <f>IFERROR(__xludf.DUMMYFUNCTION("""COMPUTED_VALUE"""),1.07353496E8)</f>
        <v>107353496</v>
      </c>
      <c r="L61" s="122"/>
      <c r="M61" s="122" t="str">
        <f>IFERROR(__xludf.DUMMYFUNCTION("""COMPUTED_VALUE"""),"VPBank")</f>
        <v>VPBank</v>
      </c>
      <c r="N61" s="122" t="str">
        <f>IFERROR(__xludf.DUMMYFUNCTION("""COMPUTED_VALUE"""),"613A Nguyễn Duy Phường 12 Quận 8")</f>
        <v>613A Nguyễn Duy Phường 12 Quận 8</v>
      </c>
      <c r="O61" s="122" t="str">
        <f>IFERROR(__xludf.DUMMYFUNCTION("""COMPUTED_VALUE"""),"trâm")</f>
        <v>trâm</v>
      </c>
      <c r="P61" s="123" t="str">
        <f>IFERROR(__xludf.DUMMYFUNCTION("""COMPUTED_VALUE"""),"trâm")</f>
        <v>trâm</v>
      </c>
      <c r="Q61" s="122"/>
      <c r="R61" s="122" t="str">
        <f>IFERROR(__xludf.DUMMYFUNCTION("""COMPUTED_VALUE"""),"INFNHUT421")</f>
        <v>INFNHUT421</v>
      </c>
      <c r="S61" s="124" t="str">
        <f>IFERROR(__xludf.DUMMYFUNCTION("""COMPUTED_VALUE"""),"http://yody.vn?affcode=INFNHUT421")</f>
        <v>http://yody.vn?affcode=INFNHUT421</v>
      </c>
    </row>
    <row r="62">
      <c r="A62" s="122" t="str">
        <f>IFERROR(__xludf.DUMMYFUNCTION("""COMPUTED_VALUE"""),"INFPHUONG497")</f>
        <v>INFPHUONG497</v>
      </c>
      <c r="B62" s="122" t="str">
        <f>IFERROR(__xludf.DUMMYFUNCTION("""COMPUTED_VALUE"""),"Hồ Duy Phương")</f>
        <v>Hồ Duy Phương</v>
      </c>
      <c r="C62" s="124" t="str">
        <f>IFERROR(__xludf.DUMMYFUNCTION("""COMPUTED_VALUE"""),"tiktok")</f>
        <v>tiktok</v>
      </c>
      <c r="D62" s="122"/>
      <c r="E62" s="122" t="str">
        <f>IFERROR(__xludf.DUMMYFUNCTION("""COMPUTED_VALUE"""),"234k")</f>
        <v>234k</v>
      </c>
      <c r="F62" s="122" t="str">
        <f>IFERROR(__xludf.DUMMYFUNCTION("""COMPUTED_VALUE"""),"Hồ Duy Phương")</f>
        <v>Hồ Duy Phương</v>
      </c>
      <c r="G62" s="126">
        <f>IFERROR(__xludf.DUMMYFUNCTION("""COMPUTED_VALUE"""),33361.0)</f>
        <v>33361</v>
      </c>
      <c r="H62" s="122">
        <f>IFERROR(__xludf.DUMMYFUNCTION("""COMPUTED_VALUE"""),2.30873936E8)</f>
        <v>230873936</v>
      </c>
      <c r="I62" s="122">
        <f>IFERROR(__xludf.DUMMYFUNCTION("""COMPUTED_VALUE"""),9.67432497E8)</f>
        <v>967432497</v>
      </c>
      <c r="J62" s="122" t="str">
        <f>IFERROR(__xludf.DUMMYFUNCTION("""COMPUTED_VALUE"""),"Hoduyphuongact@gmail.com")</f>
        <v>Hoduyphuongact@gmail.com</v>
      </c>
      <c r="K62" s="122">
        <f>IFERROR(__xludf.DUMMYFUNCTION("""COMPUTED_VALUE"""),6.0079555821E10)</f>
        <v>60079555821</v>
      </c>
      <c r="L62" s="122" t="str">
        <f>IFERROR(__xludf.DUMMYFUNCTION("""COMPUTED_VALUE"""),"HO DUY PHUONG")</f>
        <v>HO DUY PHUONG</v>
      </c>
      <c r="M62" s="122" t="str">
        <f>IFERROR(__xludf.DUMMYFUNCTION("""COMPUTED_VALUE""")," Sacombank")</f>
        <v> Sacombank</v>
      </c>
      <c r="N62" s="122" t="str">
        <f>IFERROR(__xludf.DUMMYFUNCTION("""COMPUTED_VALUE"""),"150 quốc lộ 13,P26, Bình Thạnh,HCM")</f>
        <v>150 quốc lộ 13,P26, Bình Thạnh,HCM</v>
      </c>
      <c r="O62" s="122" t="str">
        <f>IFERROR(__xludf.DUMMYFUNCTION("""COMPUTED_VALUE"""),"trâm")</f>
        <v>trâm</v>
      </c>
      <c r="P62" s="123" t="str">
        <f>IFERROR(__xludf.DUMMYFUNCTION("""COMPUTED_VALUE"""),"trâm")</f>
        <v>trâm</v>
      </c>
      <c r="Q62" s="122"/>
      <c r="R62" s="122" t="str">
        <f>IFERROR(__xludf.DUMMYFUNCTION("""COMPUTED_VALUE"""),"INFPHUONG497")</f>
        <v>INFPHUONG497</v>
      </c>
      <c r="S62" s="124" t="str">
        <f>IFERROR(__xludf.DUMMYFUNCTION("""COMPUTED_VALUE"""),"http://yody.vn?affcode=INFPHUONG497")</f>
        <v>http://yody.vn?affcode=INFPHUONG497</v>
      </c>
    </row>
    <row r="63">
      <c r="A63" s="122" t="str">
        <f>IFERROR(__xludf.DUMMYFUNCTION("""COMPUTED_VALUE"""),"INFGIAO069")</f>
        <v>INFGIAO069</v>
      </c>
      <c r="B63" s="122" t="str">
        <f>IFERROR(__xludf.DUMMYFUNCTION("""COMPUTED_VALUE"""),"Trần Quỳnh Giao")</f>
        <v>Trần Quỳnh Giao</v>
      </c>
      <c r="C63" s="124" t="str">
        <f>IFERROR(__xludf.DUMMYFUNCTION("""COMPUTED_VALUE"""),"Fb")</f>
        <v>Fb</v>
      </c>
      <c r="D63" s="122"/>
      <c r="E63" s="122" t="str">
        <f>IFERROR(__xludf.DUMMYFUNCTION("""COMPUTED_VALUE"""),"111k")</f>
        <v>111k</v>
      </c>
      <c r="F63" s="122" t="str">
        <f>IFERROR(__xludf.DUMMYFUNCTION("""COMPUTED_VALUE"""),"Trần Quỳnh Giao")</f>
        <v>Trần Quỳnh Giao</v>
      </c>
      <c r="G63" s="122">
        <f>IFERROR(__xludf.DUMMYFUNCTION("""COMPUTED_VALUE"""),1994.0)</f>
        <v>1994</v>
      </c>
      <c r="H63" s="122">
        <f>IFERROR(__xludf.DUMMYFUNCTION("""COMPUTED_VALUE"""),2.25512579E8)</f>
        <v>225512579</v>
      </c>
      <c r="I63" s="122">
        <f>IFERROR(__xludf.DUMMYFUNCTION("""COMPUTED_VALUE"""),3.66958069E8)</f>
        <v>366958069</v>
      </c>
      <c r="J63" s="122" t="str">
        <f>IFERROR(__xludf.DUMMYFUNCTION("""COMPUTED_VALUE"""),"quynhgiaotran.311@gmail.com")</f>
        <v>quynhgiaotran.311@gmail.com</v>
      </c>
      <c r="K63" s="122">
        <f>IFERROR(__xludf.DUMMYFUNCTION("""COMPUTED_VALUE"""),1.017533061E9)</f>
        <v>1017533061</v>
      </c>
      <c r="L63" s="122" t="str">
        <f>IFERROR(__xludf.DUMMYFUNCTION("""COMPUTED_VALUE"""),"Trần Quỳnh Giao")</f>
        <v>Trần Quỳnh Giao</v>
      </c>
      <c r="M63" s="122" t="str">
        <f>IFERROR(__xludf.DUMMYFUNCTION("""COMPUTED_VALUE"""),"Vietcombank")</f>
        <v>Vietcombank</v>
      </c>
      <c r="N63" s="122" t="str">
        <f>IFERROR(__xludf.DUMMYFUNCTION("""COMPUTED_VALUE"""),"241/2 Phạm Văn Đồng P1 Gò Vấp")</f>
        <v>241/2 Phạm Văn Đồng P1 Gò Vấp</v>
      </c>
      <c r="O63" s="122" t="str">
        <f>IFERROR(__xludf.DUMMYFUNCTION("""COMPUTED_VALUE"""),"Tú")</f>
        <v>Tú</v>
      </c>
      <c r="P63" s="123" t="str">
        <f>IFERROR(__xludf.DUMMYFUNCTION("""COMPUTED_VALUE"""),"Hoa")</f>
        <v>Hoa</v>
      </c>
      <c r="Q63" s="122"/>
      <c r="R63" s="122" t="str">
        <f>IFERROR(__xludf.DUMMYFUNCTION("""COMPUTED_VALUE"""),"INFGIAO069")</f>
        <v>INFGIAO069</v>
      </c>
      <c r="S63" s="124" t="str">
        <f>IFERROR(__xludf.DUMMYFUNCTION("""COMPUTED_VALUE"""),"http://yody.vn?affcode=INFGIAO069")</f>
        <v>http://yody.vn?affcode=INFGIAO069</v>
      </c>
    </row>
    <row r="64">
      <c r="A64" s="122" t="str">
        <f>IFERROR(__xludf.DUMMYFUNCTION("""COMPUTED_VALUE"""),"INFYEN550")</f>
        <v>INFYEN550</v>
      </c>
      <c r="B64" s="122" t="str">
        <f>IFERROR(__xludf.DUMMYFUNCTION("""COMPUTED_VALUE"""),"Vũ Yến")</f>
        <v>Vũ Yến</v>
      </c>
      <c r="C64" s="124" t="str">
        <f>IFERROR(__xludf.DUMMYFUNCTION("""COMPUTED_VALUE"""),"Fb")</f>
        <v>Fb</v>
      </c>
      <c r="D64" s="124" t="str">
        <f>IFERROR(__xludf.DUMMYFUNCTION("""COMPUTED_VALUE"""),"Tiktok")</f>
        <v>Tiktok</v>
      </c>
      <c r="E64" s="122" t="str">
        <f>IFERROR(__xludf.DUMMYFUNCTION("""COMPUTED_VALUE"""),"100k/61k")</f>
        <v>100k/61k</v>
      </c>
      <c r="F64" s="122" t="str">
        <f>IFERROR(__xludf.DUMMYFUNCTION("""COMPUTED_VALUE"""),"Trần Vũ Thị ")</f>
        <v>Trần Vũ Thị </v>
      </c>
      <c r="G64" s="122">
        <f>IFERROR(__xludf.DUMMYFUNCTION("""COMPUTED_VALUE"""),1998.0)</f>
        <v>1998</v>
      </c>
      <c r="H64" s="122">
        <f>IFERROR(__xludf.DUMMYFUNCTION("""COMPUTED_VALUE"""),2.12430327E8)</f>
        <v>212430327</v>
      </c>
      <c r="I64" s="122">
        <f>IFERROR(__xludf.DUMMYFUNCTION("""COMPUTED_VALUE"""),3.5610255E8)</f>
        <v>356102550</v>
      </c>
      <c r="J64" s="122" t="str">
        <f>IFERROR(__xludf.DUMMYFUNCTION("""COMPUTED_VALUE"""),"tranvuthikimyen0705@gmail.com")</f>
        <v>tranvuthikimyen0705@gmail.com</v>
      </c>
      <c r="K64" s="122">
        <f>IFERROR(__xludf.DUMMYFUNCTION("""COMPUTED_VALUE"""),9.598686886E9)</f>
        <v>9598686886</v>
      </c>
      <c r="L64" s="122" t="str">
        <f>IFERROR(__xludf.DUMMYFUNCTION("""COMPUTED_VALUE"""),"Trần Vũ Thị  Kim Yến")</f>
        <v>Trần Vũ Thị  Kim Yến</v>
      </c>
      <c r="M64" s="122" t="str">
        <f>IFERROR(__xludf.DUMMYFUNCTION("""COMPUTED_VALUE"""),"MB")</f>
        <v>MB</v>
      </c>
      <c r="N64" s="122" t="str">
        <f>IFERROR(__xludf.DUMMYFUNCTION("""COMPUTED_VALUE"""),"290/51/36A Nơ Trang Long P12, Bình thạnh")</f>
        <v>290/51/36A Nơ Trang Long P12, Bình thạnh</v>
      </c>
      <c r="O64" s="122" t="str">
        <f>IFERROR(__xludf.DUMMYFUNCTION("""COMPUTED_VALUE"""),"Tú ")</f>
        <v>Tú </v>
      </c>
      <c r="P64" s="123" t="str">
        <f>IFERROR(__xludf.DUMMYFUNCTION("""COMPUTED_VALUE"""),"Hoa")</f>
        <v>Hoa</v>
      </c>
      <c r="Q64" s="122"/>
      <c r="R64" s="122" t="str">
        <f>IFERROR(__xludf.DUMMYFUNCTION("""COMPUTED_VALUE"""),"INFYEN550")</f>
        <v>INFYEN550</v>
      </c>
      <c r="S64" s="124" t="str">
        <f>IFERROR(__xludf.DUMMYFUNCTION("""COMPUTED_VALUE"""),"http://yody.vn?affcode=INFYEN550")</f>
        <v>http://yody.vn?affcode=INFYEN550</v>
      </c>
    </row>
    <row r="65">
      <c r="A65" s="122" t="str">
        <f>IFERROR(__xludf.DUMMYFUNCTION("""COMPUTED_VALUE"""),"INFTRANG604")</f>
        <v>INFTRANG604</v>
      </c>
      <c r="B65" s="122" t="str">
        <f>IFERROR(__xludf.DUMMYFUNCTION("""COMPUTED_VALUE"""),"Bùi Ngọc Phương Trang")</f>
        <v>Bùi Ngọc Phương Trang</v>
      </c>
      <c r="C65" s="124" t="str">
        <f>IFERROR(__xludf.DUMMYFUNCTION("""COMPUTED_VALUE"""),"Fb")</f>
        <v>Fb</v>
      </c>
      <c r="D65" s="124" t="str">
        <f>IFERROR(__xludf.DUMMYFUNCTION("""COMPUTED_VALUE"""),"Tiktok")</f>
        <v>Tiktok</v>
      </c>
      <c r="E65" s="122" t="str">
        <f>IFERROR(__xludf.DUMMYFUNCTION("""COMPUTED_VALUE"""),"111k/ 60k")</f>
        <v>111k/ 60k</v>
      </c>
      <c r="F65" s="122" t="str">
        <f>IFERROR(__xludf.DUMMYFUNCTION("""COMPUTED_VALUE"""),"Bùi Ngọc Phương Trang")</f>
        <v>Bùi Ngọc Phương Trang</v>
      </c>
      <c r="G65" s="126">
        <f>IFERROR(__xludf.DUMMYFUNCTION("""COMPUTED_VALUE"""),35501.0)</f>
        <v>35501</v>
      </c>
      <c r="H65" s="122">
        <f>IFERROR(__xludf.DUMMYFUNCTION("""COMPUTED_VALUE"""),3.71764382E8)</f>
        <v>371764382</v>
      </c>
      <c r="I65" s="122">
        <f>IFERROR(__xludf.DUMMYFUNCTION("""COMPUTED_VALUE"""),9.39684604E8)</f>
        <v>939684604</v>
      </c>
      <c r="J65" s="122" t="str">
        <f>IFERROR(__xludf.DUMMYFUNCTION("""COMPUTED_VALUE"""),"buingocphuongtrang97@gmail.com")</f>
        <v>buingocphuongtrang97@gmail.com</v>
      </c>
      <c r="K65" s="122">
        <f>IFERROR(__xludf.DUMMYFUNCTION("""COMPUTED_VALUE"""),1.11000334065E11)</f>
        <v>111000334065</v>
      </c>
      <c r="L65" s="122" t="str">
        <f>IFERROR(__xludf.DUMMYFUNCTION("""COMPUTED_VALUE"""),"Bùi Ngọc Phương Trang ")</f>
        <v>Bùi Ngọc Phương Trang </v>
      </c>
      <c r="M65" s="122" t="str">
        <f>IFERROR(__xludf.DUMMYFUNCTION("""COMPUTED_VALUE"""),"Vietcombank")</f>
        <v>Vietcombank</v>
      </c>
      <c r="N65" s="122" t="str">
        <f>IFERROR(__xludf.DUMMYFUNCTION("""COMPUTED_VALUE"""),"211/20 Nguyễn Văn Linh phường Hưng Lợi quận Ninh Kiều thành phố Cần Thơ")</f>
        <v>211/20 Nguyễn Văn Linh phường Hưng Lợi quận Ninh Kiều thành phố Cần Thơ</v>
      </c>
      <c r="O65" s="122" t="str">
        <f>IFERROR(__xludf.DUMMYFUNCTION("""COMPUTED_VALUE"""),"Tú ")</f>
        <v>Tú </v>
      </c>
      <c r="P65" s="123" t="str">
        <f>IFERROR(__xludf.DUMMYFUNCTION("""COMPUTED_VALUE"""),"Hoa")</f>
        <v>Hoa</v>
      </c>
      <c r="Q65" s="122"/>
      <c r="R65" s="122" t="str">
        <f>IFERROR(__xludf.DUMMYFUNCTION("""COMPUTED_VALUE"""),"INFTRANG604")</f>
        <v>INFTRANG604</v>
      </c>
      <c r="S65" s="124" t="str">
        <f>IFERROR(__xludf.DUMMYFUNCTION("""COMPUTED_VALUE"""),"http://yody.vn?affcode=INFTRANG604")</f>
        <v>http://yody.vn?affcode=INFTRANG604</v>
      </c>
    </row>
    <row r="66">
      <c r="A66" s="122" t="str">
        <f>IFERROR(__xludf.DUMMYFUNCTION("""COMPUTED_VALUE"""),"INFQUANG627")</f>
        <v>INFQUANG627</v>
      </c>
      <c r="B66" s="122" t="str">
        <f>IFERROR(__xludf.DUMMYFUNCTION("""COMPUTED_VALUE"""),"Hồ Nhật Quang")</f>
        <v>Hồ Nhật Quang</v>
      </c>
      <c r="C66" s="124" t="str">
        <f>IFERROR(__xludf.DUMMYFUNCTION("""COMPUTED_VALUE"""),"tiktok")</f>
        <v>tiktok</v>
      </c>
      <c r="D66" s="122"/>
      <c r="E66" s="122" t="str">
        <f>IFERROR(__xludf.DUMMYFUNCTION("""COMPUTED_VALUE"""),"613k")</f>
        <v>613k</v>
      </c>
      <c r="F66" s="122" t="str">
        <f>IFERROR(__xludf.DUMMYFUNCTION("""COMPUTED_VALUE"""),"Hồ Nhật Quang")</f>
        <v>Hồ Nhật Quang</v>
      </c>
      <c r="G66" s="125">
        <f>IFERROR(__xludf.DUMMYFUNCTION("""COMPUTED_VALUE"""),36717.0)</f>
        <v>36717</v>
      </c>
      <c r="H66" s="122">
        <f>IFERROR(__xludf.DUMMYFUNCTION("""COMPUTED_VALUE"""),2.6044704E7)</f>
        <v>26044704</v>
      </c>
      <c r="I66" s="122">
        <f>IFERROR(__xludf.DUMMYFUNCTION("""COMPUTED_VALUE"""),3.45273627E8)</f>
        <v>345273627</v>
      </c>
      <c r="J66" s="122" t="str">
        <f>IFERROR(__xludf.DUMMYFUNCTION("""COMPUTED_VALUE"""),"honhatquang710@gmail.com")</f>
        <v>honhatquang710@gmail.com</v>
      </c>
      <c r="K66" s="122">
        <f>IFERROR(__xludf.DUMMYFUNCTION("""COMPUTED_VALUE"""),1.2307227E7)</f>
        <v>12307227</v>
      </c>
      <c r="L66" s="122"/>
      <c r="M66" s="122" t="str">
        <f>IFERROR(__xludf.DUMMYFUNCTION("""COMPUTED_VALUE"""),"ACB")</f>
        <v>ACB</v>
      </c>
      <c r="N66" s="122" t="str">
        <f>IFERROR(__xludf.DUMMYFUNCTION("""COMPUTED_VALUE"""),"208 nguyễn hữu cảnh p22 quận bình thạnh")</f>
        <v>208 nguyễn hữu cảnh p22 quận bình thạnh</v>
      </c>
      <c r="O66" s="122" t="str">
        <f>IFERROR(__xludf.DUMMYFUNCTION("""COMPUTED_VALUE"""),"Trâm")</f>
        <v>Trâm</v>
      </c>
      <c r="P66" s="123" t="str">
        <f>IFERROR(__xludf.DUMMYFUNCTION("""COMPUTED_VALUE"""),"Trâm")</f>
        <v>Trâm</v>
      </c>
      <c r="Q66" s="122"/>
      <c r="R66" s="122" t="str">
        <f>IFERROR(__xludf.DUMMYFUNCTION("""COMPUTED_VALUE"""),"INFQUANG627")</f>
        <v>INFQUANG627</v>
      </c>
      <c r="S66" s="124" t="str">
        <f>IFERROR(__xludf.DUMMYFUNCTION("""COMPUTED_VALUE"""),"http://yody.vn?affcode=INFQUANG627")</f>
        <v>http://yody.vn?affcode=INFQUANG627</v>
      </c>
    </row>
    <row r="67">
      <c r="A67" s="122" t="str">
        <f>IFERROR(__xludf.DUMMYFUNCTION("""COMPUTED_VALUE"""),"INFNGHI255")</f>
        <v>INFNGHI255</v>
      </c>
      <c r="B67" s="122" t="str">
        <f>IFERROR(__xludf.DUMMYFUNCTION("""COMPUTED_VALUE"""),"Nguyễn Thoại Nghi")</f>
        <v>Nguyễn Thoại Nghi</v>
      </c>
      <c r="C67" s="124" t="str">
        <f>IFERROR(__xludf.DUMMYFUNCTION("""COMPUTED_VALUE"""),"Fb")</f>
        <v>Fb</v>
      </c>
      <c r="D67" s="122" t="str">
        <f>IFERROR(__xludf.DUMMYFUNCTION("""COMPUTED_VALUE"""),"Insta, tiktok")</f>
        <v>Insta, tiktok</v>
      </c>
      <c r="E67" s="122" t="str">
        <f>IFERROR(__xludf.DUMMYFUNCTION("""COMPUTED_VALUE"""),"257k/ 53k/ 71k")</f>
        <v>257k/ 53k/ 71k</v>
      </c>
      <c r="F67" s="122" t="str">
        <f>IFERROR(__xludf.DUMMYFUNCTION("""COMPUTED_VALUE"""),"Nguyễn Thoại Nghi")</f>
        <v>Nguyễn Thoại Nghi</v>
      </c>
      <c r="G67" s="122">
        <f>IFERROR(__xludf.DUMMYFUNCTION("""COMPUTED_VALUE"""),2005.0)</f>
        <v>2005</v>
      </c>
      <c r="H67" s="122">
        <f>IFERROR(__xludf.DUMMYFUNCTION("""COMPUTED_VALUE"""),7.9305024493E10)</f>
        <v>79305024493</v>
      </c>
      <c r="I67" s="122">
        <f>IFERROR(__xludf.DUMMYFUNCTION("""COMPUTED_VALUE"""),9.24197255E8)</f>
        <v>924197255</v>
      </c>
      <c r="J67" s="122" t="str">
        <f>IFERROR(__xludf.DUMMYFUNCTION("""COMPUTED_VALUE"""),"work019hq@gmail.com")</f>
        <v>work019hq@gmail.com</v>
      </c>
      <c r="K67" s="122" t="str">
        <f>IFERROR(__xludf.DUMMYFUNCTION("""COMPUTED_VALUE"""),"1017616855
Nguyễn Vũ Thoại Nghi
Vietcombank")</f>
        <v>1017616855
Nguyễn Vũ Thoại Nghi
Vietcombank</v>
      </c>
      <c r="L67" s="122"/>
      <c r="M67" s="122"/>
      <c r="N67" s="122" t="str">
        <f>IFERROR(__xludf.DUMMYFUNCTION("""COMPUTED_VALUE"""),"368/24 Tân Sơn Nhì, phường Tân Sơn Nhì, Quận Tân Phú, TPHCM")</f>
        <v>368/24 Tân Sơn Nhì, phường Tân Sơn Nhì, Quận Tân Phú, TPHCM</v>
      </c>
      <c r="O67" s="122" t="str">
        <f>IFERROR(__xludf.DUMMYFUNCTION("""COMPUTED_VALUE"""),"Hiên")</f>
        <v>Hiên</v>
      </c>
      <c r="P67" s="123" t="str">
        <f>IFERROR(__xludf.DUMMYFUNCTION("""COMPUTED_VALUE"""),"Hiên")</f>
        <v>Hiên</v>
      </c>
      <c r="Q67" s="122"/>
      <c r="R67" s="122" t="str">
        <f>IFERROR(__xludf.DUMMYFUNCTION("""COMPUTED_VALUE"""),"INFNGHI255")</f>
        <v>INFNGHI255</v>
      </c>
      <c r="S67" s="124" t="str">
        <f>IFERROR(__xludf.DUMMYFUNCTION("""COMPUTED_VALUE"""),"http://yody.vn?affcode=INFNGHI255")</f>
        <v>http://yody.vn?affcode=INFNGHI255</v>
      </c>
    </row>
    <row r="68">
      <c r="A68" s="122" t="str">
        <f>IFERROR(__xludf.DUMMYFUNCTION("""COMPUTED_VALUE"""),"INFLUONG135")</f>
        <v>INFLUONG135</v>
      </c>
      <c r="B68" s="122" t="str">
        <f>IFERROR(__xludf.DUMMYFUNCTION("""COMPUTED_VALUE"""),"Nguyễn Đình Lượng")</f>
        <v>Nguyễn Đình Lượng</v>
      </c>
      <c r="C68" s="124" t="str">
        <f>IFERROR(__xludf.DUMMYFUNCTION("""COMPUTED_VALUE"""),"Tiktok")</f>
        <v>Tiktok</v>
      </c>
      <c r="D68" s="122"/>
      <c r="E68" s="122" t="str">
        <f>IFERROR(__xludf.DUMMYFUNCTION("""COMPUTED_VALUE"""),"310k")</f>
        <v>310k</v>
      </c>
      <c r="F68" s="122" t="str">
        <f>IFERROR(__xludf.DUMMYFUNCTION("""COMPUTED_VALUE"""),"Nguyễn Đình Lượng")</f>
        <v>Nguyễn Đình Lượng</v>
      </c>
      <c r="G68" s="122"/>
      <c r="H68" s="122" t="str">
        <f>IFERROR(__xludf.DUMMYFUNCTION("""COMPUTED_VALUE"""),"034201008350")</f>
        <v>034201008350</v>
      </c>
      <c r="I68" s="122">
        <f>IFERROR(__xludf.DUMMYFUNCTION("""COMPUTED_VALUE"""),3.46661135E8)</f>
        <v>346661135</v>
      </c>
      <c r="J68" s="122" t="str">
        <f>IFERROR(__xludf.DUMMYFUNCTION("""COMPUTED_VALUE"""),"Nguyendinhnawm1973@gmail.com")</f>
        <v>Nguyendinhnawm1973@gmail.com</v>
      </c>
      <c r="K68" s="122">
        <f>IFERROR(__xludf.DUMMYFUNCTION("""COMPUTED_VALUE"""),1.00872886785E11)</f>
        <v>100872886785</v>
      </c>
      <c r="L68" s="122" t="str">
        <f>IFERROR(__xludf.DUMMYFUNCTION("""COMPUTED_VALUE"""),"Nguyễn Đình Lượng ")</f>
        <v>Nguyễn Đình Lượng </v>
      </c>
      <c r="M68" s="122" t="str">
        <f>IFERROR(__xludf.DUMMYFUNCTION("""COMPUTED_VALUE"""),"Viettin Bank")</f>
        <v>Viettin Bank</v>
      </c>
      <c r="N68" s="122" t="str">
        <f>IFERROR(__xludf.DUMMYFUNCTION("""COMPUTED_VALUE"""),"Tượng đài xã An Châu-Đông Hưng-Thái Bình")</f>
        <v>Tượng đài xã An Châu-Đông Hưng-Thái Bình</v>
      </c>
      <c r="O68" s="122" t="str">
        <f>IFERROR(__xludf.DUMMYFUNCTION("""COMPUTED_VALUE"""),"Hiên")</f>
        <v>Hiên</v>
      </c>
      <c r="P68" s="123" t="str">
        <f>IFERROR(__xludf.DUMMYFUNCTION("""COMPUTED_VALUE"""),"Hoa")</f>
        <v>Hoa</v>
      </c>
      <c r="Q68" s="122"/>
      <c r="R68" s="122" t="str">
        <f>IFERROR(__xludf.DUMMYFUNCTION("""COMPUTED_VALUE"""),"INFLUONG135")</f>
        <v>INFLUONG135</v>
      </c>
      <c r="S68" s="124" t="str">
        <f>IFERROR(__xludf.DUMMYFUNCTION("""COMPUTED_VALUE"""),"http://yody.vn?affcode=INFLUONG135")</f>
        <v>http://yody.vn?affcode=INFLUONG135</v>
      </c>
    </row>
    <row r="69">
      <c r="A69" s="122" t="str">
        <f>IFERROR(__xludf.DUMMYFUNCTION("""COMPUTED_VALUE"""),"INFHUYEN706")</f>
        <v>INFHUYEN706</v>
      </c>
      <c r="B69" s="122" t="str">
        <f>IFERROR(__xludf.DUMMYFUNCTION("""COMPUTED_VALUE"""),"Lương Khánh Huyền")</f>
        <v>Lương Khánh Huyền</v>
      </c>
      <c r="C69" s="124" t="str">
        <f>IFERROR(__xludf.DUMMYFUNCTION("""COMPUTED_VALUE"""),"Fb")</f>
        <v>Fb</v>
      </c>
      <c r="D69" s="122"/>
      <c r="E69" s="122" t="str">
        <f>IFERROR(__xludf.DUMMYFUNCTION("""COMPUTED_VALUE"""),"41k")</f>
        <v>41k</v>
      </c>
      <c r="F69" s="122" t="str">
        <f>IFERROR(__xludf.DUMMYFUNCTION("""COMPUTED_VALUE"""),"Lương Khánh Huyền")</f>
        <v>Lương Khánh Huyền</v>
      </c>
      <c r="G69" s="122">
        <f>IFERROR(__xludf.DUMMYFUNCTION("""COMPUTED_VALUE"""),2001.0)</f>
        <v>2001</v>
      </c>
      <c r="H69" s="122">
        <f>IFERROR(__xludf.DUMMYFUNCTION("""COMPUTED_VALUE"""),1.324448866E9)</f>
        <v>1324448866</v>
      </c>
      <c r="I69" s="122">
        <f>IFERROR(__xludf.DUMMYFUNCTION("""COMPUTED_VALUE"""),9.61056706E8)</f>
        <v>961056706</v>
      </c>
      <c r="J69" s="122" t="str">
        <f>IFERROR(__xludf.DUMMYFUNCTION("""COMPUTED_VALUE"""),"luongkhanhhuyenyb1@gmail.com")</f>
        <v>luongkhanhhuyenyb1@gmail.com</v>
      </c>
      <c r="K69" s="122">
        <f>IFERROR(__xludf.DUMMYFUNCTION("""COMPUTED_VALUE"""),3.7110000948061E13)</f>
        <v>37110000948061</v>
      </c>
      <c r="L69" s="122" t="str">
        <f>IFERROR(__xludf.DUMMYFUNCTION("""COMPUTED_VALUE"""),"Lương Khánh Huyền ")</f>
        <v>Lương Khánh Huyền </v>
      </c>
      <c r="M69" s="122" t="str">
        <f>IFERROR(__xludf.DUMMYFUNCTION("""COMPUTED_VALUE"""),"BIDV")</f>
        <v>BIDV</v>
      </c>
      <c r="N69" s="122" t="str">
        <f>IFERROR(__xludf.DUMMYFUNCTION("""COMPUTED_VALUE"""),"thôn 5 minh lương đoang hùng phú thọ")</f>
        <v>thôn 5 minh lương đoang hùng phú thọ</v>
      </c>
      <c r="O69" s="122" t="str">
        <f>IFERROR(__xludf.DUMMYFUNCTION("""COMPUTED_VALUE"""),"Hiên")</f>
        <v>Hiên</v>
      </c>
      <c r="P69" s="123" t="str">
        <f>IFERROR(__xludf.DUMMYFUNCTION("""COMPUTED_VALUE"""),"Hoa")</f>
        <v>Hoa</v>
      </c>
      <c r="Q69" s="122"/>
      <c r="R69" s="122" t="str">
        <f>IFERROR(__xludf.DUMMYFUNCTION("""COMPUTED_VALUE"""),"INFHUYEN706")</f>
        <v>INFHUYEN706</v>
      </c>
      <c r="S69" s="124" t="str">
        <f>IFERROR(__xludf.DUMMYFUNCTION("""COMPUTED_VALUE"""),"http://yody.vn?affcode=INFHUYEN706")</f>
        <v>http://yody.vn?affcode=INFHUYEN706</v>
      </c>
    </row>
    <row r="70">
      <c r="A70" s="122" t="str">
        <f>IFERROR(__xludf.DUMMYFUNCTION("""COMPUTED_VALUE"""),"INFMUON299")</f>
        <v>INFMUON299</v>
      </c>
      <c r="B70" s="122" t="str">
        <f>IFERROR(__xludf.DUMMYFUNCTION("""COMPUTED_VALUE"""),"Bình An")</f>
        <v>Bình An</v>
      </c>
      <c r="C70" s="124" t="str">
        <f>IFERROR(__xludf.DUMMYFUNCTION("""COMPUTED_VALUE"""),"Fb")</f>
        <v>Fb</v>
      </c>
      <c r="D70" s="122"/>
      <c r="E70" s="122" t="str">
        <f>IFERROR(__xludf.DUMMYFUNCTION("""COMPUTED_VALUE"""),"165k")</f>
        <v>165k</v>
      </c>
      <c r="F70" s="122" t="str">
        <f>IFERROR(__xludf.DUMMYFUNCTION("""COMPUTED_VALUE"""),"Đỗ Thị Muôn")</f>
        <v>Đỗ Thị Muôn</v>
      </c>
      <c r="G70" s="129">
        <f>IFERROR(__xludf.DUMMYFUNCTION("""COMPUTED_VALUE"""),32151.0)</f>
        <v>32151</v>
      </c>
      <c r="H70" s="122" t="str">
        <f>IFERROR(__xludf.DUMMYFUNCTION("""COMPUTED_VALUE"""),"024188001849
")</f>
        <v>024188001849
</v>
      </c>
      <c r="I70" s="122">
        <f>IFERROR(__xludf.DUMMYFUNCTION("""COMPUTED_VALUE"""),9.75214299E8)</f>
        <v>975214299</v>
      </c>
      <c r="J70" s="122" t="str">
        <f>IFERROR(__xludf.DUMMYFUNCTION("""COMPUTED_VALUE"""),"binhandt0901@gmail.com")</f>
        <v>binhandt0901@gmail.com</v>
      </c>
      <c r="K70" s="122">
        <f>IFERROR(__xludf.DUMMYFUNCTION("""COMPUTED_VALUE"""),1.08868753557E11)</f>
        <v>108868753557</v>
      </c>
      <c r="L70" s="122" t="str">
        <f>IFERROR(__xludf.DUMMYFUNCTION("""COMPUTED_VALUE"""),"Đỗ Thị Muôn ")</f>
        <v>Đỗ Thị Muôn </v>
      </c>
      <c r="M70" s="122" t="str">
        <f>IFERROR(__xludf.DUMMYFUNCTION("""COMPUTED_VALUE"""),"Vietinbank")</f>
        <v>Vietinbank</v>
      </c>
      <c r="N70" s="122" t="str">
        <f>IFERROR(__xludf.DUMMYFUNCTION("""COMPUTED_VALUE"""),"Chung cư FLC Đại Mỗ - Nam Từ Liêm - Hà Nội")</f>
        <v>Chung cư FLC Đại Mỗ - Nam Từ Liêm - Hà Nội</v>
      </c>
      <c r="O70" s="122" t="str">
        <f>IFERROR(__xludf.DUMMYFUNCTION("""COMPUTED_VALUE"""),"Hiên")</f>
        <v>Hiên</v>
      </c>
      <c r="P70" s="123" t="str">
        <f>IFERROR(__xludf.DUMMYFUNCTION("""COMPUTED_VALUE"""),"Hoa")</f>
        <v>Hoa</v>
      </c>
      <c r="Q70" s="122"/>
      <c r="R70" s="122" t="str">
        <f>IFERROR(__xludf.DUMMYFUNCTION("""COMPUTED_VALUE"""),"INFMUON299")</f>
        <v>INFMUON299</v>
      </c>
      <c r="S70" s="124" t="str">
        <f>IFERROR(__xludf.DUMMYFUNCTION("""COMPUTED_VALUE"""),"http://yody.vn?affcode=INFMUON299")</f>
        <v>http://yody.vn?affcode=INFMUON299</v>
      </c>
    </row>
    <row r="71">
      <c r="A71" s="122" t="str">
        <f>IFERROR(__xludf.DUMMYFUNCTION("""COMPUTED_VALUE"""),"INFDUNG768")</f>
        <v>INFDUNG768</v>
      </c>
      <c r="B71" s="122" t="str">
        <f>IFERROR(__xludf.DUMMYFUNCTION("""COMPUTED_VALUE"""),"Nguyễn Anh Dũng")</f>
        <v>Nguyễn Anh Dũng</v>
      </c>
      <c r="C71" s="124" t="str">
        <f>IFERROR(__xludf.DUMMYFUNCTION("""COMPUTED_VALUE"""),"Tiktok")</f>
        <v>Tiktok</v>
      </c>
      <c r="D71" s="122"/>
      <c r="E71" s="122" t="str">
        <f>IFERROR(__xludf.DUMMYFUNCTION("""COMPUTED_VALUE"""),"223k")</f>
        <v>223k</v>
      </c>
      <c r="F71" s="122" t="str">
        <f>IFERROR(__xludf.DUMMYFUNCTION("""COMPUTED_VALUE"""),"Nguyễn Anh Dũng")</f>
        <v>Nguyễn Anh Dũng</v>
      </c>
      <c r="G71" s="130">
        <f>IFERROR(__xludf.DUMMYFUNCTION("""COMPUTED_VALUE"""),37205.0)</f>
        <v>37205</v>
      </c>
      <c r="H71" s="122" t="str">
        <f>IFERROR(__xludf.DUMMYFUNCTION("""COMPUTED_VALUE"""),"071106522")</f>
        <v>071106522</v>
      </c>
      <c r="I71" s="122">
        <f>IFERROR(__xludf.DUMMYFUNCTION("""COMPUTED_VALUE"""),3.98869768E8)</f>
        <v>398869768</v>
      </c>
      <c r="J71" s="122" t="str">
        <f>IFERROR(__xludf.DUMMYFUNCTION("""COMPUTED_VALUE"""),"nadung10121@gmail.com")</f>
        <v>nadung10121@gmail.com</v>
      </c>
      <c r="K71" s="122">
        <f>IFERROR(__xludf.DUMMYFUNCTION("""COMPUTED_VALUE"""),1.903686960301E13)</f>
        <v>19036869603010</v>
      </c>
      <c r="L71" s="122" t="str">
        <f>IFERROR(__xludf.DUMMYFUNCTION("""COMPUTED_VALUE"""),"Nguyễn Anh Dũng ")</f>
        <v>Nguyễn Anh Dũng </v>
      </c>
      <c r="M71" s="122" t="str">
        <f>IFERROR(__xludf.DUMMYFUNCTION("""COMPUTED_VALUE"""),"Techcombank")</f>
        <v>Techcombank</v>
      </c>
      <c r="N71" s="122" t="str">
        <f>IFERROR(__xludf.DUMMYFUNCTION("""COMPUTED_VALUE"""),"Số 1 ngõ 328 đường tây mỗ nam từ liêm hà nội")</f>
        <v>Số 1 ngõ 328 đường tây mỗ nam từ liêm hà nội</v>
      </c>
      <c r="O71" s="122" t="str">
        <f>IFERROR(__xludf.DUMMYFUNCTION("""COMPUTED_VALUE"""),"Hiên")</f>
        <v>Hiên</v>
      </c>
      <c r="P71" s="123" t="str">
        <f>IFERROR(__xludf.DUMMYFUNCTION("""COMPUTED_VALUE"""),"Hoa")</f>
        <v>Hoa</v>
      </c>
      <c r="Q71" s="122"/>
      <c r="R71" s="122" t="str">
        <f>IFERROR(__xludf.DUMMYFUNCTION("""COMPUTED_VALUE"""),"INFDUNG768")</f>
        <v>INFDUNG768</v>
      </c>
      <c r="S71" s="124" t="str">
        <f>IFERROR(__xludf.DUMMYFUNCTION("""COMPUTED_VALUE"""),"http://yody.vn?affcode=INFDUNG768")</f>
        <v>http://yody.vn?affcode=INFDUNG768</v>
      </c>
    </row>
    <row r="72">
      <c r="A72" s="122" t="str">
        <f>IFERROR(__xludf.DUMMYFUNCTION("""COMPUTED_VALUE"""),"INFTHANH287")</f>
        <v>INFTHANH287</v>
      </c>
      <c r="B72" s="122" t="str">
        <f>IFERROR(__xludf.DUMMYFUNCTION("""COMPUTED_VALUE"""),"Thành Dương")</f>
        <v>Thành Dương</v>
      </c>
      <c r="C72" s="124" t="str">
        <f>IFERROR(__xludf.DUMMYFUNCTION("""COMPUTED_VALUE"""),"Fb")</f>
        <v>Fb</v>
      </c>
      <c r="D72" s="122"/>
      <c r="E72" s="122" t="str">
        <f>IFERROR(__xludf.DUMMYFUNCTION("""COMPUTED_VALUE"""),"219k")</f>
        <v>219k</v>
      </c>
      <c r="F72" s="122" t="str">
        <f>IFERROR(__xludf.DUMMYFUNCTION("""COMPUTED_VALUE"""),"Dương Thị Thành")</f>
        <v>Dương Thị Thành</v>
      </c>
      <c r="G72" s="129">
        <f>IFERROR(__xludf.DUMMYFUNCTION("""COMPUTED_VALUE"""),31827.0)</f>
        <v>31827</v>
      </c>
      <c r="H72" s="122">
        <f>IFERROR(__xludf.DUMMYFUNCTION("""COMPUTED_VALUE"""),1.21536243E8)</f>
        <v>121536243</v>
      </c>
      <c r="I72" s="122">
        <f>IFERROR(__xludf.DUMMYFUNCTION("""COMPUTED_VALUE"""),9.72190287E8)</f>
        <v>972190287</v>
      </c>
      <c r="J72" s="124" t="str">
        <f>IFERROR(__xludf.DUMMYFUNCTION("""COMPUTED_VALUE"""),"mjsa06@gmail.com")</f>
        <v>mjsa06@gmail.com</v>
      </c>
      <c r="K72" s="122">
        <f>IFERROR(__xludf.DUMMYFUNCTION("""COMPUTED_VALUE"""),7.610111273004E12)</f>
        <v>7610111273004</v>
      </c>
      <c r="L72" s="122" t="str">
        <f>IFERROR(__xludf.DUMMYFUNCTION("""COMPUTED_VALUE"""),"Dương Thị Thành ")</f>
        <v>Dương Thị Thành </v>
      </c>
      <c r="M72" s="122" t="str">
        <f>IFERROR(__xludf.DUMMYFUNCTION("""COMPUTED_VALUE"""),"MB Bank")</f>
        <v>MB Bank</v>
      </c>
      <c r="N72" s="122" t="str">
        <f>IFERROR(__xludf.DUMMYFUNCTION("""COMPUTED_VALUE"""),"Số 9- ngõ 102- Hoà Yên - Thọ Xương - thành phố Bắc Giang")</f>
        <v>Số 9- ngõ 102- Hoà Yên - Thọ Xương - thành phố Bắc Giang</v>
      </c>
      <c r="O72" s="122" t="str">
        <f>IFERROR(__xludf.DUMMYFUNCTION("""COMPUTED_VALUE"""),"Hiên")</f>
        <v>Hiên</v>
      </c>
      <c r="P72" s="123" t="str">
        <f>IFERROR(__xludf.DUMMYFUNCTION("""COMPUTED_VALUE"""),"Hoa")</f>
        <v>Hoa</v>
      </c>
      <c r="Q72" s="122"/>
      <c r="R72" s="122" t="str">
        <f>IFERROR(__xludf.DUMMYFUNCTION("""COMPUTED_VALUE"""),"INFTHANH287")</f>
        <v>INFTHANH287</v>
      </c>
      <c r="S72" s="124" t="str">
        <f>IFERROR(__xludf.DUMMYFUNCTION("""COMPUTED_VALUE"""),"http://yody.vn?affcode=INFTHANH287")</f>
        <v>http://yody.vn?affcode=INFTHANH287</v>
      </c>
    </row>
    <row r="73">
      <c r="A73" s="122" t="str">
        <f>IFERROR(__xludf.DUMMYFUNCTION("""COMPUTED_VALUE"""),"INFTHUY768")</f>
        <v>INFTHUY768</v>
      </c>
      <c r="B73" s="122" t="str">
        <f>IFERROR(__xludf.DUMMYFUNCTION("""COMPUTED_VALUE"""),"Minh Thùy")</f>
        <v>Minh Thùy</v>
      </c>
      <c r="C73" s="124" t="str">
        <f>IFERROR(__xludf.DUMMYFUNCTION("""COMPUTED_VALUE"""),"Fb")</f>
        <v>Fb</v>
      </c>
      <c r="D73" s="122"/>
      <c r="E73" s="122" t="str">
        <f>IFERROR(__xludf.DUMMYFUNCTION("""COMPUTED_VALUE"""),"155k")</f>
        <v>155k</v>
      </c>
      <c r="F73" s="122" t="str">
        <f>IFERROR(__xludf.DUMMYFUNCTION("""COMPUTED_VALUE"""),"Đào Thị Minh Thuỳ")</f>
        <v>Đào Thị Minh Thuỳ</v>
      </c>
      <c r="G73" s="122">
        <f>IFERROR(__xludf.DUMMYFUNCTION("""COMPUTED_VALUE"""),1989.0)</f>
        <v>1989</v>
      </c>
      <c r="H73" s="122">
        <f>IFERROR(__xludf.DUMMYFUNCTION("""COMPUTED_VALUE"""),1.32044056E8)</f>
        <v>132044056</v>
      </c>
      <c r="I73" s="122">
        <f>IFERROR(__xludf.DUMMYFUNCTION("""COMPUTED_VALUE"""),3.87979768E8)</f>
        <v>387979768</v>
      </c>
      <c r="J73" s="122" t="str">
        <f>IFERROR(__xludf.DUMMYFUNCTION("""COMPUTED_VALUE"""),"09thuy@gmail.com")</f>
        <v>09thuy@gmail.com</v>
      </c>
      <c r="K73" s="122">
        <f>IFERROR(__xludf.DUMMYFUNCTION("""COMPUTED_VALUE"""),4.2110000408833E13)</f>
        <v>42110000408833</v>
      </c>
      <c r="L73" s="122" t="str">
        <f>IFERROR(__xludf.DUMMYFUNCTION("""COMPUTED_VALUE"""),"Đào Thị Minh Thùy ")</f>
        <v>Đào Thị Minh Thùy </v>
      </c>
      <c r="M73" s="122" t="str">
        <f>IFERROR(__xludf.DUMMYFUNCTION("""COMPUTED_VALUE"""),"BIDV")</f>
        <v>BIDV</v>
      </c>
      <c r="N73" s="122" t="str">
        <f>IFERROR(__xludf.DUMMYFUNCTION("""COMPUTED_VALUE"""),"số 2, Tiên Sơn, Tiên Cát, Việt Trì, Phú Thọ")</f>
        <v>số 2, Tiên Sơn, Tiên Cát, Việt Trì, Phú Thọ</v>
      </c>
      <c r="O73" s="122" t="str">
        <f>IFERROR(__xludf.DUMMYFUNCTION("""COMPUTED_VALUE"""),"Hiên")</f>
        <v>Hiên</v>
      </c>
      <c r="P73" s="123" t="str">
        <f>IFERROR(__xludf.DUMMYFUNCTION("""COMPUTED_VALUE"""),"Hoa")</f>
        <v>Hoa</v>
      </c>
      <c r="Q73" s="122"/>
      <c r="R73" s="122" t="str">
        <f>IFERROR(__xludf.DUMMYFUNCTION("""COMPUTED_VALUE"""),"INFTHUY768")</f>
        <v>INFTHUY768</v>
      </c>
      <c r="S73" s="124" t="str">
        <f>IFERROR(__xludf.DUMMYFUNCTION("""COMPUTED_VALUE"""),"http://yody.vn?affcode=INFTHUY768")</f>
        <v>http://yody.vn?affcode=INFTHUY768</v>
      </c>
    </row>
    <row r="74">
      <c r="A74" s="122" t="str">
        <f>IFERROR(__xludf.DUMMYFUNCTION("""COMPUTED_VALUE"""),"INFBAC560")</f>
        <v>INFBAC560</v>
      </c>
      <c r="B74" s="122" t="str">
        <f>IFERROR(__xludf.DUMMYFUNCTION("""COMPUTED_VALUE"""),"Nguyễn Hoàng Bắc ")</f>
        <v>Nguyễn Hoàng Bắc </v>
      </c>
      <c r="C74" s="124" t="str">
        <f>IFERROR(__xludf.DUMMYFUNCTION("""COMPUTED_VALUE"""),"Tiktok")</f>
        <v>Tiktok</v>
      </c>
      <c r="D74" s="122"/>
      <c r="E74" s="122" t="str">
        <f>IFERROR(__xludf.DUMMYFUNCTION("""COMPUTED_VALUE"""),"116k")</f>
        <v>116k</v>
      </c>
      <c r="F74" s="122" t="str">
        <f>IFERROR(__xludf.DUMMYFUNCTION("""COMPUTED_VALUE"""),"Nguyễn Hoàng Bắc ")</f>
        <v>Nguyễn Hoàng Bắc </v>
      </c>
      <c r="G74" s="122">
        <f>IFERROR(__xludf.DUMMYFUNCTION("""COMPUTED_VALUE"""),2004.0)</f>
        <v>2004</v>
      </c>
      <c r="H74" s="122">
        <f>IFERROR(__xludf.DUMMYFUNCTION("""COMPUTED_VALUE"""),1.22445792E8)</f>
        <v>122445792</v>
      </c>
      <c r="I74" s="122">
        <f>IFERROR(__xludf.DUMMYFUNCTION("""COMPUTED_VALUE"""),9.2115656E8)</f>
        <v>921156560</v>
      </c>
      <c r="J74" s="124" t="str">
        <f>IFERROR(__xludf.DUMMYFUNCTION("""COMPUTED_VALUE"""),"Luuthetrang@gmail.com")</f>
        <v>Luuthetrang@gmail.com</v>
      </c>
      <c r="K74" s="122">
        <f>IFERROR(__xludf.DUMMYFUNCTION("""COMPUTED_VALUE"""),1.06872824354E11)</f>
        <v>106872824354</v>
      </c>
      <c r="L74" s="122" t="str">
        <f>IFERROR(__xludf.DUMMYFUNCTION("""COMPUTED_VALUE"""),"Nguyễn Hoàng Bắc ")</f>
        <v>Nguyễn Hoàng Bắc </v>
      </c>
      <c r="M74" s="122" t="str">
        <f>IFERROR(__xludf.DUMMYFUNCTION("""COMPUTED_VALUE"""),"Vietinbank")</f>
        <v>Vietinbank</v>
      </c>
      <c r="N74" s="122" t="str">
        <f>IFERROR(__xludf.DUMMYFUNCTION("""COMPUTED_VALUE"""),"Ngã tư thân-Thị Trấn Đồi Ngô-Huyện Lục Nam-Tỉnh Bắc Giang")</f>
        <v>Ngã tư thân-Thị Trấn Đồi Ngô-Huyện Lục Nam-Tỉnh Bắc Giang</v>
      </c>
      <c r="O74" s="122" t="str">
        <f>IFERROR(__xludf.DUMMYFUNCTION("""COMPUTED_VALUE"""),"Hiên")</f>
        <v>Hiên</v>
      </c>
      <c r="P74" s="123" t="str">
        <f>IFERROR(__xludf.DUMMYFUNCTION("""COMPUTED_VALUE"""),"Hoa")</f>
        <v>Hoa</v>
      </c>
      <c r="Q74" s="122"/>
      <c r="R74" s="122" t="str">
        <f>IFERROR(__xludf.DUMMYFUNCTION("""COMPUTED_VALUE"""),"INFBAC560")</f>
        <v>INFBAC560</v>
      </c>
      <c r="S74" s="124" t="str">
        <f>IFERROR(__xludf.DUMMYFUNCTION("""COMPUTED_VALUE"""),"http://yody.vn?affcode=INFBAC560")</f>
        <v>http://yody.vn?affcode=INFBAC560</v>
      </c>
    </row>
    <row r="75">
      <c r="A75" s="122" t="str">
        <f>IFERROR(__xludf.DUMMYFUNCTION("""COMPUTED_VALUE"""),"INFHANH558")</f>
        <v>INFHANH558</v>
      </c>
      <c r="B75" s="122" t="str">
        <f>IFERROR(__xludf.DUMMYFUNCTION("""COMPUTED_VALUE"""),"Vu Thy Hanh")</f>
        <v>Vu Thy Hanh</v>
      </c>
      <c r="C75" s="124" t="str">
        <f>IFERROR(__xludf.DUMMYFUNCTION("""COMPUTED_VALUE"""),"Fb")</f>
        <v>Fb</v>
      </c>
      <c r="D75" s="122"/>
      <c r="E75" s="122" t="str">
        <f>IFERROR(__xludf.DUMMYFUNCTION("""COMPUTED_VALUE"""),"156k")</f>
        <v>156k</v>
      </c>
      <c r="F75" s="122" t="str">
        <f>IFERROR(__xludf.DUMMYFUNCTION("""COMPUTED_VALUE"""),"Vũ Thị Hạnh")</f>
        <v>Vũ Thị Hạnh</v>
      </c>
      <c r="G75" s="122">
        <f>IFERROR(__xludf.DUMMYFUNCTION("""COMPUTED_VALUE"""),1992.0)</f>
        <v>1992</v>
      </c>
      <c r="H75" s="122">
        <f>IFERROR(__xludf.DUMMYFUNCTION("""COMPUTED_VALUE"""),1.01073226E8)</f>
        <v>101073226</v>
      </c>
      <c r="I75" s="122">
        <f>IFERROR(__xludf.DUMMYFUNCTION("""COMPUTED_VALUE"""),7.78358558E8)</f>
        <v>778358558</v>
      </c>
      <c r="J75" s="122" t="str">
        <f>IFERROR(__xludf.DUMMYFUNCTION("""COMPUTED_VALUE"""),"sakura.ha.vt@gmail.com")</f>
        <v>sakura.ha.vt@gmail.com</v>
      </c>
      <c r="K75" s="122" t="str">
        <f>IFERROR(__xludf.DUMMYFUNCTION("""COMPUTED_VALUE"""),"0021000288918
")</f>
        <v>0021000288918
</v>
      </c>
      <c r="L75" s="122" t="str">
        <f>IFERROR(__xludf.DUMMYFUNCTION("""COMPUTED_VALUE"""),"Vũ Thị Hạnh ")</f>
        <v>Vũ Thị Hạnh </v>
      </c>
      <c r="M75" s="122" t="str">
        <f>IFERROR(__xludf.DUMMYFUNCTION("""COMPUTED_VALUE"""),"Vietcombank")</f>
        <v>Vietcombank</v>
      </c>
      <c r="N75" s="122" t="str">
        <f>IFERROR(__xludf.DUMMYFUNCTION("""COMPUTED_VALUE"""),"số 128 Lê Thanh Nghị, Cẩm Trung, Cẩm Phả, Quảng Ninh")</f>
        <v>số 128 Lê Thanh Nghị, Cẩm Trung, Cẩm Phả, Quảng Ninh</v>
      </c>
      <c r="O75" s="122" t="str">
        <f>IFERROR(__xludf.DUMMYFUNCTION("""COMPUTED_VALUE"""),"Hiên")</f>
        <v>Hiên</v>
      </c>
      <c r="P75" s="123" t="str">
        <f>IFERROR(__xludf.DUMMYFUNCTION("""COMPUTED_VALUE"""),"Hoa")</f>
        <v>Hoa</v>
      </c>
      <c r="Q75" s="122"/>
      <c r="R75" s="122" t="str">
        <f>IFERROR(__xludf.DUMMYFUNCTION("""COMPUTED_VALUE"""),"INFHANH558")</f>
        <v>INFHANH558</v>
      </c>
      <c r="S75" s="124" t="str">
        <f>IFERROR(__xludf.DUMMYFUNCTION("""COMPUTED_VALUE"""),"http://yody.vn?affcode=INFHANH558")</f>
        <v>http://yody.vn?affcode=INFHANH558</v>
      </c>
    </row>
    <row r="76">
      <c r="A76" s="122" t="str">
        <f>IFERROR(__xludf.DUMMYFUNCTION("""COMPUTED_VALUE"""),"INFMINH737")</f>
        <v>INFMINH737</v>
      </c>
      <c r="B76" s="122" t="str">
        <f>IFERROR(__xludf.DUMMYFUNCTION("""COMPUTED_VALUE"""),"Lê Xuân Minh")</f>
        <v>Lê Xuân Minh</v>
      </c>
      <c r="C76" s="124" t="str">
        <f>IFERROR(__xludf.DUMMYFUNCTION("""COMPUTED_VALUE"""),"tiktok")</f>
        <v>tiktok</v>
      </c>
      <c r="D76" s="122"/>
      <c r="E76" s="122" t="str">
        <f>IFERROR(__xludf.DUMMYFUNCTION("""COMPUTED_VALUE"""),"87k")</f>
        <v>87k</v>
      </c>
      <c r="F76" s="122" t="str">
        <f>IFERROR(__xludf.DUMMYFUNCTION("""COMPUTED_VALUE"""),"Lê Xuân MInh")</f>
        <v>Lê Xuân MInh</v>
      </c>
      <c r="G76" s="122" t="str">
        <f>IFERROR(__xludf.DUMMYFUNCTION("""COMPUTED_VALUE"""),"30/12/2000")</f>
        <v>30/12/2000</v>
      </c>
      <c r="H76" s="122">
        <f>IFERROR(__xludf.DUMMYFUNCTION("""COMPUTED_VALUE"""),3.8200007354E10)</f>
        <v>38200007354</v>
      </c>
      <c r="I76" s="122">
        <f>IFERROR(__xludf.DUMMYFUNCTION("""COMPUTED_VALUE"""),9.71746737E8)</f>
        <v>971746737</v>
      </c>
      <c r="J76" s="122" t="str">
        <f>IFERROR(__xludf.DUMMYFUNCTION("""COMPUTED_VALUE"""),"lx.minh00@gmail.com
")</f>
        <v>lx.minh00@gmail.com
</v>
      </c>
      <c r="K76" s="122">
        <f>IFERROR(__xludf.DUMMYFUNCTION("""COMPUTED_VALUE"""),1.2310001095077E13)</f>
        <v>12310001095077</v>
      </c>
      <c r="L76" s="122" t="str">
        <f>IFERROR(__xludf.DUMMYFUNCTION("""COMPUTED_VALUE"""),"Lê Xuân Minh")</f>
        <v>Lê Xuân Minh</v>
      </c>
      <c r="M76" s="122" t="str">
        <f>IFERROR(__xludf.DUMMYFUNCTION("""COMPUTED_VALUE"""),"Ngân hàng BIDV chi nhánh Quang Trung Hà Nội")</f>
        <v>Ngân hàng BIDV chi nhánh Quang Trung Hà Nội</v>
      </c>
      <c r="N76" s="122"/>
      <c r="O76" s="122" t="str">
        <f>IFERROR(__xludf.DUMMYFUNCTION("""COMPUTED_VALUE"""),"TRâm")</f>
        <v>TRâm</v>
      </c>
      <c r="P76" s="123" t="str">
        <f>IFERROR(__xludf.DUMMYFUNCTION("""COMPUTED_VALUE"""),"Trâm ")</f>
        <v>Trâm </v>
      </c>
      <c r="Q76" s="122"/>
      <c r="R76" s="122" t="str">
        <f>IFERROR(__xludf.DUMMYFUNCTION("""COMPUTED_VALUE"""),"INFMINH737")</f>
        <v>INFMINH737</v>
      </c>
      <c r="S76" s="124" t="str">
        <f>IFERROR(__xludf.DUMMYFUNCTION("""COMPUTED_VALUE"""),"http://yody.vn?affcode=INFMINH737")</f>
        <v>http://yody.vn?affcode=INFMINH737</v>
      </c>
    </row>
    <row r="77">
      <c r="A77" s="122" t="str">
        <f>IFERROR(__xludf.DUMMYFUNCTION("""COMPUTED_VALUE"""),"INFTHI599")</f>
        <v>INFTHI599</v>
      </c>
      <c r="B77" s="122" t="str">
        <f>IFERROR(__xludf.DUMMYFUNCTION("""COMPUTED_VALUE"""),"Việt Thi")</f>
        <v>Việt Thi</v>
      </c>
      <c r="C77" s="124" t="str">
        <f>IFERROR(__xludf.DUMMYFUNCTION("""COMPUTED_VALUE"""),"tiktok")</f>
        <v>tiktok</v>
      </c>
      <c r="D77" s="122"/>
      <c r="E77" s="122" t="str">
        <f>IFERROR(__xludf.DUMMYFUNCTION("""COMPUTED_VALUE"""),"551k ")</f>
        <v>551k </v>
      </c>
      <c r="F77" s="122" t="str">
        <f>IFERROR(__xludf.DUMMYFUNCTION("""COMPUTED_VALUE"""),"Nguyễn Ngọc Việt Thi")</f>
        <v>Nguyễn Ngọc Việt Thi</v>
      </c>
      <c r="G77" s="126">
        <f>IFERROR(__xludf.DUMMYFUNCTION("""COMPUTED_VALUE"""),38052.0)</f>
        <v>38052</v>
      </c>
      <c r="H77" s="122">
        <f>IFERROR(__xludf.DUMMYFUNCTION("""COMPUTED_VALUE"""),7.9304029032E10)</f>
        <v>79304029032</v>
      </c>
      <c r="I77" s="122">
        <f>IFERROR(__xludf.DUMMYFUNCTION("""COMPUTED_VALUE"""),8.12999599E8)</f>
        <v>812999599</v>
      </c>
      <c r="J77" s="122" t="str">
        <f>IFERROR(__xludf.DUMMYFUNCTION("""COMPUTED_VALUE"""),"vietthip336@gmail.com")</f>
        <v>vietthip336@gmail.com</v>
      </c>
      <c r="K77" s="122">
        <f>IFERROR(__xludf.DUMMYFUNCTION("""COMPUTED_VALUE"""),6.280205683699E12)</f>
        <v>6280205683699</v>
      </c>
      <c r="L77" s="122" t="str">
        <f>IFERROR(__xludf.DUMMYFUNCTION("""COMPUTED_VALUE"""),"NGUYEN NGOC VIET THI")</f>
        <v>NGUYEN NGOC VIET THI</v>
      </c>
      <c r="M77" s="122" t="str">
        <f>IFERROR(__xludf.DUMMYFUNCTION("""COMPUTED_VALUE"""),"Agribank")</f>
        <v>Agribank</v>
      </c>
      <c r="N77" s="122" t="str">
        <f>IFERROR(__xludf.DUMMYFUNCTION("""COMPUTED_VALUE"""),"84, đường 55, Cát Lái, quận 2")</f>
        <v>84, đường 55, Cát Lái, quận 2</v>
      </c>
      <c r="O77" s="122" t="str">
        <f>IFERROR(__xludf.DUMMYFUNCTION("""COMPUTED_VALUE"""),"Trâm")</f>
        <v>Trâm</v>
      </c>
      <c r="P77" s="123" t="str">
        <f>IFERROR(__xludf.DUMMYFUNCTION("""COMPUTED_VALUE"""),"Trâm")</f>
        <v>Trâm</v>
      </c>
      <c r="Q77" s="122"/>
      <c r="R77" s="122" t="str">
        <f>IFERROR(__xludf.DUMMYFUNCTION("""COMPUTED_VALUE"""),"INFTHI599")</f>
        <v>INFTHI599</v>
      </c>
      <c r="S77" s="124" t="str">
        <f>IFERROR(__xludf.DUMMYFUNCTION("""COMPUTED_VALUE"""),"http://yody.vn?affcode=INFTHI599")</f>
        <v>http://yody.vn?affcode=INFTHI599</v>
      </c>
    </row>
    <row r="78">
      <c r="A78" s="122" t="str">
        <f>IFERROR(__xludf.DUMMYFUNCTION("""COMPUTED_VALUE"""),"INFHAI522")</f>
        <v>INFHAI522</v>
      </c>
      <c r="B78" s="122" t="str">
        <f>IFERROR(__xludf.DUMMYFUNCTION("""COMPUTED_VALUE"""),"Hoàng Hải Trần")</f>
        <v>Hoàng Hải Trần</v>
      </c>
      <c r="C78" s="124" t="str">
        <f>IFERROR(__xludf.DUMMYFUNCTION("""COMPUTED_VALUE"""),"tiktok")</f>
        <v>tiktok</v>
      </c>
      <c r="D78" s="122"/>
      <c r="E78" s="122" t="str">
        <f>IFERROR(__xludf.DUMMYFUNCTION("""COMPUTED_VALUE"""),"542,9k")</f>
        <v>542,9k</v>
      </c>
      <c r="F78" s="122" t="str">
        <f>IFERROR(__xludf.DUMMYFUNCTION("""COMPUTED_VALUE"""),"Trần Hoàng Hải ")</f>
        <v>Trần Hoàng Hải </v>
      </c>
      <c r="G78" s="126">
        <f>IFERROR(__xludf.DUMMYFUNCTION("""COMPUTED_VALUE"""),36049.0)</f>
        <v>36049</v>
      </c>
      <c r="H78" s="122">
        <f>IFERROR(__xludf.DUMMYFUNCTION("""COMPUTED_VALUE"""),1.13727873E8)</f>
        <v>113727873</v>
      </c>
      <c r="I78" s="122" t="str">
        <f>IFERROR(__xludf.DUMMYFUNCTION("""COMPUTED_VALUE"""),"0362025522")</f>
        <v>0362025522</v>
      </c>
      <c r="J78" s="122" t="str">
        <f>IFERROR(__xludf.DUMMYFUNCTION("""COMPUTED_VALUE"""),"haitran091198@gmail.com")</f>
        <v>haitran091198@gmail.com</v>
      </c>
      <c r="K78" s="122">
        <f>IFERROR(__xludf.DUMMYFUNCTION("""COMPUTED_VALUE"""),3.618085001E9)</f>
        <v>3618085001</v>
      </c>
      <c r="L78" s="122" t="str">
        <f>IFERROR(__xludf.DUMMYFUNCTION("""COMPUTED_VALUE"""),"Tran Hoang Hai")</f>
        <v>Tran Hoang Hai</v>
      </c>
      <c r="M78" s="122" t="str">
        <f>IFERROR(__xludf.DUMMYFUNCTION("""COMPUTED_VALUE"""),"TP bank ")</f>
        <v>TP bank </v>
      </c>
      <c r="N78" s="122" t="str">
        <f>IFERROR(__xludf.DUMMYFUNCTION("""COMPUTED_VALUE"""),"56 vũ trọng khánh- mộ lao- hà đông - Hà nội")</f>
        <v>56 vũ trọng khánh- mộ lao- hà đông - Hà nội</v>
      </c>
      <c r="O78" s="122" t="str">
        <f>IFERROR(__xludf.DUMMYFUNCTION("""COMPUTED_VALUE"""),"Hoa")</f>
        <v>Hoa</v>
      </c>
      <c r="P78" s="123" t="str">
        <f>IFERROR(__xludf.DUMMYFUNCTION("""COMPUTED_VALUE"""),"Hoa")</f>
        <v>Hoa</v>
      </c>
      <c r="Q78" s="122"/>
      <c r="R78" s="122" t="str">
        <f>IFERROR(__xludf.DUMMYFUNCTION("""COMPUTED_VALUE"""),"INFHAI522")</f>
        <v>INFHAI522</v>
      </c>
      <c r="S78" s="124" t="str">
        <f>IFERROR(__xludf.DUMMYFUNCTION("""COMPUTED_VALUE"""),"http://yody.vn?affcode=INFHAI522")</f>
        <v>http://yody.vn?affcode=INFHAI522</v>
      </c>
    </row>
    <row r="79">
      <c r="A79" s="122" t="str">
        <f>IFERROR(__xludf.DUMMYFUNCTION("""COMPUTED_VALUE"""),"INFHIEU576")</f>
        <v>INFHIEU576</v>
      </c>
      <c r="B79" s="122" t="str">
        <f>IFERROR(__xludf.DUMMYFUNCTION("""COMPUTED_VALUE"""),"Hiếu Shyn")</f>
        <v>Hiếu Shyn</v>
      </c>
      <c r="C79" s="124" t="str">
        <f>IFERROR(__xludf.DUMMYFUNCTION("""COMPUTED_VALUE"""),"tiktok")</f>
        <v>tiktok</v>
      </c>
      <c r="D79" s="122"/>
      <c r="E79" s="122" t="str">
        <f>IFERROR(__xludf.DUMMYFUNCTION("""COMPUTED_VALUE"""),"596k")</f>
        <v>596k</v>
      </c>
      <c r="F79" s="122" t="str">
        <f>IFERROR(__xludf.DUMMYFUNCTION("""COMPUTED_VALUE"""),"Phạm Minh Hiếu")</f>
        <v>Phạm Minh Hiếu</v>
      </c>
      <c r="G79" s="122" t="str">
        <f>IFERROR(__xludf.DUMMYFUNCTION("""COMPUTED_VALUE"""),"25/11/2000")</f>
        <v>25/11/2000</v>
      </c>
      <c r="H79" s="122" t="str">
        <f>IFERROR(__xludf.DUMMYFUNCTION("""COMPUTED_VALUE"""),"001200002807")</f>
        <v>001200002807</v>
      </c>
      <c r="I79" s="122" t="str">
        <f>IFERROR(__xludf.DUMMYFUNCTION("""COMPUTED_VALUE"""),"0865247576")</f>
        <v>0865247576</v>
      </c>
      <c r="J79" s="122" t="str">
        <f>IFERROR(__xludf.DUMMYFUNCTION("""COMPUTED_VALUE"""),"pmhieu251100@gmail.com")</f>
        <v>pmhieu251100@gmail.com</v>
      </c>
      <c r="K79" s="122">
        <f>IFERROR(__xludf.DUMMYFUNCTION("""COMPUTED_VALUE"""),8.840188888668E12)</f>
        <v>8840188888668</v>
      </c>
      <c r="L79" s="122" t="str">
        <f>IFERROR(__xludf.DUMMYFUNCTION("""COMPUTED_VALUE""")," Phạm Minh Hiếu")</f>
        <v> Phạm Minh Hiếu</v>
      </c>
      <c r="M79" s="122" t="str">
        <f>IFERROR(__xludf.DUMMYFUNCTION("""COMPUTED_VALUE"""),"MB Bank ")</f>
        <v>MB Bank </v>
      </c>
      <c r="N79" s="122" t="str">
        <f>IFERROR(__xludf.DUMMYFUNCTION("""COMPUTED_VALUE"""),"Phòng 1218 chung cư The Two Residence Gamuda Gardens - Trần Phú - Hoàng Mai - Hà Nội")</f>
        <v>Phòng 1218 chung cư The Two Residence Gamuda Gardens - Trần Phú - Hoàng Mai - Hà Nội</v>
      </c>
      <c r="O79" s="122" t="str">
        <f>IFERROR(__xludf.DUMMYFUNCTION("""COMPUTED_VALUE"""),"Hoa ")</f>
        <v>Hoa </v>
      </c>
      <c r="P79" s="123" t="str">
        <f>IFERROR(__xludf.DUMMYFUNCTION("""COMPUTED_VALUE"""),"Hoa")</f>
        <v>Hoa</v>
      </c>
      <c r="Q79" s="122"/>
      <c r="R79" s="122" t="str">
        <f>IFERROR(__xludf.DUMMYFUNCTION("""COMPUTED_VALUE"""),"INFHIEU576")</f>
        <v>INFHIEU576</v>
      </c>
      <c r="S79" s="124" t="str">
        <f>IFERROR(__xludf.DUMMYFUNCTION("""COMPUTED_VALUE"""),"http://yody.vn?affcode=INFHIEU576")</f>
        <v>http://yody.vn?affcode=INFHIEU576</v>
      </c>
    </row>
    <row r="80">
      <c r="A80" s="122" t="str">
        <f>IFERROR(__xludf.DUMMYFUNCTION("""COMPUTED_VALUE"""),"INFDUONG426")</f>
        <v>INFDUONG426</v>
      </c>
      <c r="B80" s="122" t="str">
        <f>IFERROR(__xludf.DUMMYFUNCTION("""COMPUTED_VALUE"""),"Ánh Dương")</f>
        <v>Ánh Dương</v>
      </c>
      <c r="C80" s="124" t="str">
        <f>IFERROR(__xludf.DUMMYFUNCTION("""COMPUTED_VALUE"""),"tiktok")</f>
        <v>tiktok</v>
      </c>
      <c r="D80" s="122"/>
      <c r="E80" s="122" t="str">
        <f>IFERROR(__xludf.DUMMYFUNCTION("""COMPUTED_VALUE"""),"977,5k")</f>
        <v>977,5k</v>
      </c>
      <c r="F80" s="122" t="str">
        <f>IFERROR(__xludf.DUMMYFUNCTION("""COMPUTED_VALUE"""),"Nguyễn Ngọc Ánh Dương")</f>
        <v>Nguyễn Ngọc Ánh Dương</v>
      </c>
      <c r="G80" s="122" t="str">
        <f>IFERROR(__xludf.DUMMYFUNCTION("""COMPUTED_VALUE"""),"26/10/2005")</f>
        <v>26/10/2005</v>
      </c>
      <c r="H80" s="122" t="str">
        <f>IFERROR(__xludf.DUMMYFUNCTION("""COMPUTED_VALUE"""),"079205010464")</f>
        <v>079205010464</v>
      </c>
      <c r="I80" s="122" t="str">
        <f>IFERROR(__xludf.DUMMYFUNCTION("""COMPUTED_VALUE"""),"0913487426")</f>
        <v>0913487426</v>
      </c>
      <c r="J80" s="122" t="str">
        <f>IFERROR(__xludf.DUMMYFUNCTION("""COMPUTED_VALUE"""),"anhduongnguyenngoc05@gmail.com")</f>
        <v>anhduongnguyenngoc05@gmail.com</v>
      </c>
      <c r="K80" s="122" t="str">
        <f>IFERROR(__xludf.DUMMYFUNCTION("""COMPUTED_VALUE"""),"6440205618034 - Agribank - Trần Tuấn Kiệt")</f>
        <v>6440205618034 - Agribank - Trần Tuấn Kiệt</v>
      </c>
      <c r="L80" s="122"/>
      <c r="M80" s="122"/>
      <c r="N80" s="122" t="str">
        <f>IFERROR(__xludf.DUMMYFUNCTION("""COMPUTED_VALUE"""),"1008 quốc lộ 1A khu phố 4 phường Tân Tạo quận Bình Tân TP HCM")</f>
        <v>1008 quốc lộ 1A khu phố 4 phường Tân Tạo quận Bình Tân TP HCM</v>
      </c>
      <c r="O80" s="122" t="str">
        <f>IFERROR(__xludf.DUMMYFUNCTION("""COMPUTED_VALUE"""),"Hoa")</f>
        <v>Hoa</v>
      </c>
      <c r="P80" s="123" t="str">
        <f>IFERROR(__xludf.DUMMYFUNCTION("""COMPUTED_VALUE"""),"Hoa")</f>
        <v>Hoa</v>
      </c>
      <c r="Q80" s="122"/>
      <c r="R80" s="122" t="str">
        <f>IFERROR(__xludf.DUMMYFUNCTION("""COMPUTED_VALUE"""),"INFDUONG426")</f>
        <v>INFDUONG426</v>
      </c>
      <c r="S80" s="124" t="str">
        <f>IFERROR(__xludf.DUMMYFUNCTION("""COMPUTED_VALUE"""),"http://yody.vn?affcode=INFDUONG426")</f>
        <v>http://yody.vn?affcode=INFDUONG426</v>
      </c>
    </row>
    <row r="81">
      <c r="A81" s="122" t="str">
        <f>IFERROR(__xludf.DUMMYFUNCTION("""COMPUTED_VALUE"""),"INFHOANG428")</f>
        <v>INFHOANG428</v>
      </c>
      <c r="B81" s="122" t="str">
        <f>IFERROR(__xludf.DUMMYFUNCTION("""COMPUTED_VALUE"""),"Nguyễn Việt Hoàng")</f>
        <v>Nguyễn Việt Hoàng</v>
      </c>
      <c r="C81" s="124" t="str">
        <f>IFERROR(__xludf.DUMMYFUNCTION("""COMPUTED_VALUE"""),"tiktok")</f>
        <v>tiktok</v>
      </c>
      <c r="D81" s="122"/>
      <c r="E81" s="122" t="str">
        <f>IFERROR(__xludf.DUMMYFUNCTION("""COMPUTED_VALUE"""),"100k")</f>
        <v>100k</v>
      </c>
      <c r="F81" s="122" t="str">
        <f>IFERROR(__xludf.DUMMYFUNCTION("""COMPUTED_VALUE"""),"Nguyễn Việt Hoàng")</f>
        <v>Nguyễn Việt Hoàng</v>
      </c>
      <c r="G81" s="122" t="str">
        <f>IFERROR(__xludf.DUMMYFUNCTION("""COMPUTED_VALUE"""),"21/05/2002")</f>
        <v>21/05/2002</v>
      </c>
      <c r="H81" s="122" t="str">
        <f>IFERROR(__xludf.DUMMYFUNCTION("""COMPUTED_VALUE"""),"022202001504")</f>
        <v>022202001504</v>
      </c>
      <c r="I81" s="122" t="str">
        <f>IFERROR(__xludf.DUMMYFUNCTION("""COMPUTED_VALUE"""),"0366999428")</f>
        <v>0366999428</v>
      </c>
      <c r="J81" s="122" t="str">
        <f>IFERROR(__xludf.DUMMYFUNCTION("""COMPUTED_VALUE"""),"Samsung.trainghiem123@gmail.com")</f>
        <v>Samsung.trainghiem123@gmail.com</v>
      </c>
      <c r="K81" s="122">
        <f>IFERROR(__xludf.DUMMYFUNCTION("""COMPUTED_VALUE"""),2.545848901E9)</f>
        <v>2545848901</v>
      </c>
      <c r="L81" s="122" t="str">
        <f>IFERROR(__xludf.DUMMYFUNCTION("""COMPUTED_VALUE"""),"Nguyen Viet Hoang")</f>
        <v>Nguyen Viet Hoang</v>
      </c>
      <c r="M81" s="122" t="str">
        <f>IFERROR(__xludf.DUMMYFUNCTION("""COMPUTED_VALUE"""),"tp bank ")</f>
        <v>tp bank </v>
      </c>
      <c r="N81" s="122" t="str">
        <f>IFERROR(__xludf.DUMMYFUNCTION("""COMPUTED_VALUE"""),"Khu cao ốc phú hoàng anh 1, phước kiển, nhà bè tp hcm")</f>
        <v>Khu cao ốc phú hoàng anh 1, phước kiển, nhà bè tp hcm</v>
      </c>
      <c r="O81" s="122" t="str">
        <f>IFERROR(__xludf.DUMMYFUNCTION("""COMPUTED_VALUE"""),"Hoa")</f>
        <v>Hoa</v>
      </c>
      <c r="P81" s="123" t="str">
        <f>IFERROR(__xludf.DUMMYFUNCTION("""COMPUTED_VALUE"""),"Hoa")</f>
        <v>Hoa</v>
      </c>
      <c r="Q81" s="122"/>
      <c r="R81" s="122" t="str">
        <f>IFERROR(__xludf.DUMMYFUNCTION("""COMPUTED_VALUE"""),"INFHOANG428")</f>
        <v>INFHOANG428</v>
      </c>
      <c r="S81" s="124" t="str">
        <f>IFERROR(__xludf.DUMMYFUNCTION("""COMPUTED_VALUE"""),"http://yody.vn?affcode=INFHOANG428")</f>
        <v>http://yody.vn?affcode=INFHOANG428</v>
      </c>
    </row>
    <row r="82">
      <c r="A82" s="122" t="str">
        <f>IFERROR(__xludf.DUMMYFUNCTION("""COMPUTED_VALUE"""),"INFMY731")</f>
        <v>INFMY731</v>
      </c>
      <c r="B82" s="122" t="str">
        <f>IFERROR(__xludf.DUMMYFUNCTION("""COMPUTED_VALUE"""),"My Mũm Mĩm")</f>
        <v>My Mũm Mĩm</v>
      </c>
      <c r="C82" s="124" t="str">
        <f>IFERROR(__xludf.DUMMYFUNCTION("""COMPUTED_VALUE"""),"tiktok")</f>
        <v>tiktok</v>
      </c>
      <c r="D82" s="122"/>
      <c r="E82" s="122" t="str">
        <f>IFERROR(__xludf.DUMMYFUNCTION("""COMPUTED_VALUE"""),"227,8k")</f>
        <v>227,8k</v>
      </c>
      <c r="F82" s="122" t="str">
        <f>IFERROR(__xludf.DUMMYFUNCTION("""COMPUTED_VALUE"""),"Dương Huyền My")</f>
        <v>Dương Huyền My</v>
      </c>
      <c r="G82" s="122" t="str">
        <f>IFERROR(__xludf.DUMMYFUNCTION("""COMPUTED_VALUE"""),"18/02/1999")</f>
        <v>18/02/1999</v>
      </c>
      <c r="H82" s="122" t="str">
        <f>IFERROR(__xludf.DUMMYFUNCTION("""COMPUTED_VALUE"""),"091903592")</f>
        <v>091903592</v>
      </c>
      <c r="I82" s="122" t="str">
        <f>IFERROR(__xludf.DUMMYFUNCTION("""COMPUTED_VALUE"""),"0365714731")</f>
        <v>0365714731</v>
      </c>
      <c r="J82" s="122" t="str">
        <f>IFERROR(__xludf.DUMMYFUNCTION("""COMPUTED_VALUE"""),"Duonghuyenmy180299@gmail.com")</f>
        <v>Duonghuyenmy180299@gmail.com</v>
      </c>
      <c r="K82" s="122">
        <f>IFERROR(__xludf.DUMMYFUNCTION("""COMPUTED_VALUE"""),8.00180219999E11)</f>
        <v>800180219999</v>
      </c>
      <c r="L82" s="122" t="str">
        <f>IFERROR(__xludf.DUMMYFUNCTION("""COMPUTED_VALUE"""),"duong huyen my")</f>
        <v>duong huyen my</v>
      </c>
      <c r="M82" s="122" t="str">
        <f>IFERROR(__xludf.DUMMYFUNCTION("""COMPUTED_VALUE""")," MB Bank ")</f>
        <v> MB Bank </v>
      </c>
      <c r="N82" s="122" t="str">
        <f>IFERROR(__xludf.DUMMYFUNCTION("""COMPUTED_VALUE"""),"155 cách mạng tháng 8, phường phan đình phùng, thái nguyên")</f>
        <v>155 cách mạng tháng 8, phường phan đình phùng, thái nguyên</v>
      </c>
      <c r="O82" s="122" t="str">
        <f>IFERROR(__xludf.DUMMYFUNCTION("""COMPUTED_VALUE"""),"Hoa")</f>
        <v>Hoa</v>
      </c>
      <c r="P82" s="123" t="str">
        <f>IFERROR(__xludf.DUMMYFUNCTION("""COMPUTED_VALUE"""),"Hoa")</f>
        <v>Hoa</v>
      </c>
      <c r="Q82" s="122"/>
      <c r="R82" s="122" t="str">
        <f>IFERROR(__xludf.DUMMYFUNCTION("""COMPUTED_VALUE"""),"INFMY731")</f>
        <v>INFMY731</v>
      </c>
      <c r="S82" s="124" t="str">
        <f>IFERROR(__xludf.DUMMYFUNCTION("""COMPUTED_VALUE"""),"https://yody.vn/?affcode=INFMY731")</f>
        <v>https://yody.vn/?affcode=INFMY731</v>
      </c>
    </row>
    <row r="83">
      <c r="A83" s="122" t="str">
        <f>IFERROR(__xludf.DUMMYFUNCTION("""COMPUTED_VALUE"""),"INFOANH237")</f>
        <v>INFOANH237</v>
      </c>
      <c r="B83" s="122" t="str">
        <f>IFERROR(__xludf.DUMMYFUNCTION("""COMPUTED_VALUE"""),"Kim Oanh")</f>
        <v>Kim Oanh</v>
      </c>
      <c r="C83" s="124" t="str">
        <f>IFERROR(__xludf.DUMMYFUNCTION("""COMPUTED_VALUE"""),"tiktok")</f>
        <v>tiktok</v>
      </c>
      <c r="D83" s="124" t="str">
        <f>IFERROR(__xludf.DUMMYFUNCTION("""COMPUTED_VALUE"""),"fb")</f>
        <v>fb</v>
      </c>
      <c r="E83" s="122" t="str">
        <f>IFERROR(__xludf.DUMMYFUNCTION("""COMPUTED_VALUE"""),"335,3k / 55,2k")</f>
        <v>335,3k / 55,2k</v>
      </c>
      <c r="F83" s="122" t="str">
        <f>IFERROR(__xludf.DUMMYFUNCTION("""COMPUTED_VALUE"""),"Phạm Thị Kim Oanh")</f>
        <v>Phạm Thị Kim Oanh</v>
      </c>
      <c r="G83" s="122" t="str">
        <f>IFERROR(__xludf.DUMMYFUNCTION("""COMPUTED_VALUE"""),"14/02/1998")</f>
        <v>14/02/1998</v>
      </c>
      <c r="H83" s="122">
        <f>IFERROR(__xludf.DUMMYFUNCTION("""COMPUTED_VALUE"""),2.33252577E8)</f>
        <v>233252577</v>
      </c>
      <c r="I83" s="122" t="str">
        <f>IFERROR(__xludf.DUMMYFUNCTION("""COMPUTED_VALUE"""),"0989622237")</f>
        <v>0989622237</v>
      </c>
      <c r="J83" s="122" t="str">
        <f>IFERROR(__xludf.DUMMYFUNCTION("""COMPUTED_VALUE"""),"Phamoanh03122016@gmail.com")</f>
        <v>Phamoanh03122016@gmail.com</v>
      </c>
      <c r="K83" s="122">
        <f>IFERROR(__xludf.DUMMYFUNCTION("""COMPUTED_VALUE"""),8.32788888E8)</f>
        <v>832788888</v>
      </c>
      <c r="L83" s="122" t="str">
        <f>IFERROR(__xludf.DUMMYFUNCTION("""COMPUTED_VALUE"""),"pham thi kim oanh")</f>
        <v>pham thi kim oanh</v>
      </c>
      <c r="M83" s="122" t="str">
        <f>IFERROR(__xludf.DUMMYFUNCTION("""COMPUTED_VALUE"""),"ACB")</f>
        <v>ACB</v>
      </c>
      <c r="N83" s="122" t="str">
        <f>IFERROR(__xludf.DUMMYFUNCTION("""COMPUTED_VALUE"""),"102/7/5 cống quỳnh p phạm ngũ lão q1")</f>
        <v>102/7/5 cống quỳnh p phạm ngũ lão q1</v>
      </c>
      <c r="O83" s="122" t="str">
        <f>IFERROR(__xludf.DUMMYFUNCTION("""COMPUTED_VALUE"""),"Hoa")</f>
        <v>Hoa</v>
      </c>
      <c r="P83" s="123" t="str">
        <f>IFERROR(__xludf.DUMMYFUNCTION("""COMPUTED_VALUE"""),"Hoa")</f>
        <v>Hoa</v>
      </c>
      <c r="Q83" s="122"/>
      <c r="R83" s="122" t="str">
        <f>IFERROR(__xludf.DUMMYFUNCTION("""COMPUTED_VALUE"""),"INFOANH237")</f>
        <v>INFOANH237</v>
      </c>
      <c r="S83" s="124" t="str">
        <f>IFERROR(__xludf.DUMMYFUNCTION("""COMPUTED_VALUE"""),"http://yody.vn?affcode=INFOANH237")</f>
        <v>http://yody.vn?affcode=INFOANH237</v>
      </c>
    </row>
    <row r="84">
      <c r="A84" s="122" t="str">
        <f>IFERROR(__xludf.DUMMYFUNCTION("""COMPUTED_VALUE"""),"INFDIEM269")</f>
        <v>INFDIEM269</v>
      </c>
      <c r="B84" s="122" t="str">
        <f>IFERROR(__xludf.DUMMYFUNCTION("""COMPUTED_VALUE"""),"Diễm Hồ")</f>
        <v>Diễm Hồ</v>
      </c>
      <c r="C84" s="124" t="str">
        <f>IFERROR(__xludf.DUMMYFUNCTION("""COMPUTED_VALUE"""),"tiktok")</f>
        <v>tiktok</v>
      </c>
      <c r="D84" s="122"/>
      <c r="E84" s="122" t="str">
        <f>IFERROR(__xludf.DUMMYFUNCTION("""COMPUTED_VALUE"""),"97,2k")</f>
        <v>97,2k</v>
      </c>
      <c r="F84" s="122" t="str">
        <f>IFERROR(__xludf.DUMMYFUNCTION("""COMPUTED_VALUE"""),"Hồ Thị Diễm")</f>
        <v>Hồ Thị Diễm</v>
      </c>
      <c r="G84" s="122" t="str">
        <f>IFERROR(__xludf.DUMMYFUNCTION("""COMPUTED_VALUE"""),"20/05/2001")</f>
        <v>20/05/2001</v>
      </c>
      <c r="H84" s="122">
        <f>IFERROR(__xludf.DUMMYFUNCTION("""COMPUTED_VALUE"""),1.22340971E8)</f>
        <v>122340971</v>
      </c>
      <c r="I84" s="122" t="str">
        <f>IFERROR(__xludf.DUMMYFUNCTION("""COMPUTED_VALUE"""),"0354957269")</f>
        <v>0354957269</v>
      </c>
      <c r="J84" s="122" t="str">
        <f>IFERROR(__xludf.DUMMYFUNCTION("""COMPUTED_VALUE"""),"hodiem2001hhbg@gmail.com")</f>
        <v>hodiem2001hhbg@gmail.com</v>
      </c>
      <c r="K84" s="122">
        <f>IFERROR(__xludf.DUMMYFUNCTION("""COMPUTED_VALUE"""),7.31000865016E11)</f>
        <v>731000865016</v>
      </c>
      <c r="L84" s="122" t="str">
        <f>IFERROR(__xludf.DUMMYFUNCTION("""COMPUTED_VALUE"""),"HO THI DIEM")</f>
        <v>HO THI DIEM</v>
      </c>
      <c r="M84" s="122" t="str">
        <f>IFERROR(__xludf.DUMMYFUNCTION("""COMPUTED_VALUE"""),"Vietcombank")</f>
        <v>Vietcombank</v>
      </c>
      <c r="N84" s="122" t="str">
        <f>IFERROR(__xludf.DUMMYFUNCTION("""COMPUTED_VALUE"""),"Đại Thành- Hiệp Hoà- Bắc Giang")</f>
        <v>Đại Thành- Hiệp Hoà- Bắc Giang</v>
      </c>
      <c r="O84" s="122" t="str">
        <f>IFERROR(__xludf.DUMMYFUNCTION("""COMPUTED_VALUE"""),"Hoa")</f>
        <v>Hoa</v>
      </c>
      <c r="P84" s="123" t="str">
        <f>IFERROR(__xludf.DUMMYFUNCTION("""COMPUTED_VALUE"""),"Hoa")</f>
        <v>Hoa</v>
      </c>
      <c r="Q84" s="122"/>
      <c r="R84" s="122" t="str">
        <f>IFERROR(__xludf.DUMMYFUNCTION("""COMPUTED_VALUE"""),"INFDIEM269")</f>
        <v>INFDIEM269</v>
      </c>
      <c r="S84" s="124" t="str">
        <f>IFERROR(__xludf.DUMMYFUNCTION("""COMPUTED_VALUE"""),"http://yody.vn?affcode=INFDIEM269")</f>
        <v>http://yody.vn?affcode=INFDIEM269</v>
      </c>
    </row>
    <row r="85">
      <c r="A85" s="122" t="str">
        <f>IFERROR(__xludf.DUMMYFUNCTION("""COMPUTED_VALUE"""),"INFTUYEN207")</f>
        <v>INFTUYEN207</v>
      </c>
      <c r="B85" s="122" t="str">
        <f>IFERROR(__xludf.DUMMYFUNCTION("""COMPUTED_VALUE"""),"thanhtuyen.118")</f>
        <v>thanhtuyen.118</v>
      </c>
      <c r="C85" s="124" t="str">
        <f>IFERROR(__xludf.DUMMYFUNCTION("""COMPUTED_VALUE"""),"tiktok")</f>
        <v>tiktok</v>
      </c>
      <c r="D85" s="122"/>
      <c r="E85" s="122" t="str">
        <f>IFERROR(__xludf.DUMMYFUNCTION("""COMPUTED_VALUE"""),"434,4k")</f>
        <v>434,4k</v>
      </c>
      <c r="F85" s="122" t="str">
        <f>IFERROR(__xludf.DUMMYFUNCTION("""COMPUTED_VALUE"""),"Nguyễn Thị Thanh Tuyền")</f>
        <v>Nguyễn Thị Thanh Tuyền</v>
      </c>
      <c r="G85" s="126">
        <f>IFERROR(__xludf.DUMMYFUNCTION("""COMPUTED_VALUE"""),36472.0)</f>
        <v>36472</v>
      </c>
      <c r="H85" s="122">
        <f>IFERROR(__xludf.DUMMYFUNCTION("""COMPUTED_VALUE"""),2.4199000744E10)</f>
        <v>24199000744</v>
      </c>
      <c r="I85" s="122" t="str">
        <f>IFERROR(__xludf.DUMMYFUNCTION("""COMPUTED_VALUE"""),"0961339207")</f>
        <v>0961339207</v>
      </c>
      <c r="J85" s="122" t="str">
        <f>IFERROR(__xludf.DUMMYFUNCTION("""COMPUTED_VALUE"""),"NTTTuyen678@gmail.com")</f>
        <v>NTTTuyen678@gmail.com</v>
      </c>
      <c r="K85" s="122">
        <f>IFERROR(__xludf.DUMMYFUNCTION("""COMPUTED_VALUE"""),1.27530367E8)</f>
        <v>127530367</v>
      </c>
      <c r="L85" s="122" t="str">
        <f>IFERROR(__xludf.DUMMYFUNCTION("""COMPUTED_VALUE"""),"TRAN THI VAN")</f>
        <v>TRAN THI VAN</v>
      </c>
      <c r="M85" s="122" t="str">
        <f>IFERROR(__xludf.DUMMYFUNCTION("""COMPUTED_VALUE"""),"VP Bank")</f>
        <v>VP Bank</v>
      </c>
      <c r="N85" s="122" t="str">
        <f>IFERROR(__xludf.DUMMYFUNCTION("""COMPUTED_VALUE"""),"18 ngõ 178/59 cổ nhuế, bắc từ liêm, HN")</f>
        <v>18 ngõ 178/59 cổ nhuế, bắc từ liêm, HN</v>
      </c>
      <c r="O85" s="122"/>
      <c r="P85" s="123" t="str">
        <f>IFERROR(__xludf.DUMMYFUNCTION("""COMPUTED_VALUE"""),"Mến")</f>
        <v>Mến</v>
      </c>
      <c r="Q85" s="122"/>
      <c r="R85" s="122" t="str">
        <f>IFERROR(__xludf.DUMMYFUNCTION("""COMPUTED_VALUE"""),"INFTUYEN207")</f>
        <v>INFTUYEN207</v>
      </c>
      <c r="S85" s="124" t="str">
        <f>IFERROR(__xludf.DUMMYFUNCTION("""COMPUTED_VALUE"""),"https://yody.vn/?affcode=INFTUYEN207")</f>
        <v>https://yody.vn/?affcode=INFTUYEN207</v>
      </c>
    </row>
    <row r="86">
      <c r="A86" s="122" t="str">
        <f>IFERROR(__xludf.DUMMYFUNCTION("""COMPUTED_VALUE"""),"INFHIEN448")</f>
        <v>INFHIEN448</v>
      </c>
      <c r="B86" s="122" t="str">
        <f>IFERROR(__xludf.DUMMYFUNCTION("""COMPUTED_VALUE"""),"hienngao118")</f>
        <v>hienngao118</v>
      </c>
      <c r="C86" s="124" t="str">
        <f>IFERROR(__xludf.DUMMYFUNCTION("""COMPUTED_VALUE"""),"tiktok")</f>
        <v>tiktok</v>
      </c>
      <c r="D86" s="122"/>
      <c r="E86" s="122" t="str">
        <f>IFERROR(__xludf.DUMMYFUNCTION("""COMPUTED_VALUE"""),"941K
")</f>
        <v>941K
</v>
      </c>
      <c r="F86" s="122" t="str">
        <f>IFERROR(__xludf.DUMMYFUNCTION("""COMPUTED_VALUE"""),"Phạm Đức Hiển")</f>
        <v>Phạm Đức Hiển</v>
      </c>
      <c r="G86" s="122" t="str">
        <f>IFERROR(__xludf.DUMMYFUNCTION("""COMPUTED_VALUE"""),"24/09/1995")</f>
        <v>24/09/1995</v>
      </c>
      <c r="H86" s="122">
        <f>IFERROR(__xludf.DUMMYFUNCTION("""COMPUTED_VALUE"""),3.6095000448E10)</f>
        <v>36095000448</v>
      </c>
      <c r="I86" s="122" t="str">
        <f>IFERROR(__xludf.DUMMYFUNCTION("""COMPUTED_VALUE"""),"0964455826")</f>
        <v>0964455826</v>
      </c>
      <c r="J86" s="122" t="str">
        <f>IFERROR(__xludf.DUMMYFUNCTION("""COMPUTED_VALUE"""),"duchien.job@gmail.com")</f>
        <v>duchien.job@gmail.com</v>
      </c>
      <c r="K86" s="122">
        <f>IFERROR(__xludf.DUMMYFUNCTION("""COMPUTED_VALUE"""),1.27530367E8)</f>
        <v>127530367</v>
      </c>
      <c r="L86" s="122" t="str">
        <f>IFERROR(__xludf.DUMMYFUNCTION("""COMPUTED_VALUE"""),"TRAN THI VAN")</f>
        <v>TRAN THI VAN</v>
      </c>
      <c r="M86" s="122" t="str">
        <f>IFERROR(__xludf.DUMMYFUNCTION("""COMPUTED_VALUE"""),"VP Bank")</f>
        <v>VP Bank</v>
      </c>
      <c r="N86" s="122" t="str">
        <f>IFERROR(__xludf.DUMMYFUNCTION("""COMPUTED_VALUE"""),"số nhà 18/ngách 59/ ngõ 178 Cổ Nhuế - Bắc Từ Liêm - Hà Nội")</f>
        <v>số nhà 18/ngách 59/ ngõ 178 Cổ Nhuế - Bắc Từ Liêm - Hà Nội</v>
      </c>
      <c r="O86" s="122"/>
      <c r="P86" s="123" t="str">
        <f>IFERROR(__xludf.DUMMYFUNCTION("""COMPUTED_VALUE"""),"Mến")</f>
        <v>Mến</v>
      </c>
      <c r="Q86" s="122"/>
      <c r="R86" s="122" t="str">
        <f>IFERROR(__xludf.DUMMYFUNCTION("""COMPUTED_VALUE"""),"INFHIEN448")</f>
        <v>INFHIEN448</v>
      </c>
      <c r="S86" s="124" t="str">
        <f>IFERROR(__xludf.DUMMYFUNCTION("""COMPUTED_VALUE"""),"https://yody.vn/?affcode=INFHIEN448")</f>
        <v>https://yody.vn/?affcode=INFHIEN448</v>
      </c>
    </row>
    <row r="87">
      <c r="A87" s="122" t="str">
        <f>IFERROR(__xludf.DUMMYFUNCTION("""COMPUTED_VALUE"""),"INFANH537")</f>
        <v>INFANH537</v>
      </c>
      <c r="B87" s="122" t="str">
        <f>IFERROR(__xludf.DUMMYFUNCTION("""COMPUTED_VALUE"""),"tuanmo.official")</f>
        <v>tuanmo.official</v>
      </c>
      <c r="C87" s="124" t="str">
        <f>IFERROR(__xludf.DUMMYFUNCTION("""COMPUTED_VALUE"""),"tiktok")</f>
        <v>tiktok</v>
      </c>
      <c r="D87" s="122"/>
      <c r="E87" s="122" t="str">
        <f>IFERROR(__xludf.DUMMYFUNCTION("""COMPUTED_VALUE"""),"1.3M")</f>
        <v>1.3M</v>
      </c>
      <c r="F87" s="122" t="str">
        <f>IFERROR(__xludf.DUMMYFUNCTION("""COMPUTED_VALUE"""),"Phạm Tuấn Anh")</f>
        <v>Phạm Tuấn Anh</v>
      </c>
      <c r="G87" s="122" t="str">
        <f>IFERROR(__xludf.DUMMYFUNCTION("""COMPUTED_VALUE"""),"29/11/1996")</f>
        <v>29/11/1996</v>
      </c>
      <c r="H87" s="122">
        <f>IFERROR(__xludf.DUMMYFUNCTION("""COMPUTED_VALUE"""),8.2240935E7)</f>
        <v>82240935</v>
      </c>
      <c r="I87" s="122" t="str">
        <f>IFERROR(__xludf.DUMMYFUNCTION("""COMPUTED_VALUE"""),"0364688537")</f>
        <v>0364688537</v>
      </c>
      <c r="J87" s="122" t="str">
        <f>IFERROR(__xludf.DUMMYFUNCTION("""COMPUTED_VALUE"""),"tuanmo.booking@gmail.com")</f>
        <v>tuanmo.booking@gmail.com</v>
      </c>
      <c r="K87" s="122">
        <f>IFERROR(__xludf.DUMMYFUNCTION("""COMPUTED_VALUE"""),1.27530367E8)</f>
        <v>127530367</v>
      </c>
      <c r="L87" s="122" t="str">
        <f>IFERROR(__xludf.DUMMYFUNCTION("""COMPUTED_VALUE"""),"TRAN THI VAN")</f>
        <v>TRAN THI VAN</v>
      </c>
      <c r="M87" s="122" t="str">
        <f>IFERROR(__xludf.DUMMYFUNCTION("""COMPUTED_VALUE"""),"VP Bank")</f>
        <v>VP Bank</v>
      </c>
      <c r="N87" s="122"/>
      <c r="O87" s="122"/>
      <c r="P87" s="123" t="str">
        <f>IFERROR(__xludf.DUMMYFUNCTION("""COMPUTED_VALUE"""),"Mến")</f>
        <v>Mến</v>
      </c>
      <c r="Q87" s="122"/>
      <c r="R87" s="122" t="str">
        <f>IFERROR(__xludf.DUMMYFUNCTION("""COMPUTED_VALUE"""),"INFANH537")</f>
        <v>INFANH537</v>
      </c>
      <c r="S87" s="124" t="str">
        <f>IFERROR(__xludf.DUMMYFUNCTION("""COMPUTED_VALUE"""),"https://yody.vn/?affcode=INFANH537")</f>
        <v>https://yody.vn/?affcode=INFANH537</v>
      </c>
    </row>
    <row r="88">
      <c r="A88" s="122" t="str">
        <f>IFERROR(__xludf.DUMMYFUNCTION("""COMPUTED_VALUE"""),"INFHOANG458")</f>
        <v>INFHOANG458</v>
      </c>
      <c r="B88" s="122" t="str">
        <f>IFERROR(__xludf.DUMMYFUNCTION("""COMPUTED_VALUE"""),"letrunghoang ")</f>
        <v>letrunghoang </v>
      </c>
      <c r="C88" s="124" t="str">
        <f>IFERROR(__xludf.DUMMYFUNCTION("""COMPUTED_VALUE"""),"tiktok")</f>
        <v>tiktok</v>
      </c>
      <c r="D88" s="122"/>
      <c r="E88" s="122" t="str">
        <f>IFERROR(__xludf.DUMMYFUNCTION("""COMPUTED_VALUE"""),"3,9M")</f>
        <v>3,9M</v>
      </c>
      <c r="F88" s="122" t="str">
        <f>IFERROR(__xludf.DUMMYFUNCTION("""COMPUTED_VALUE"""),"Lê Trung Hoàng")</f>
        <v>Lê Trung Hoàng</v>
      </c>
      <c r="G88" s="126">
        <f>IFERROR(__xludf.DUMMYFUNCTION("""COMPUTED_VALUE"""),36167.0)</f>
        <v>36167</v>
      </c>
      <c r="H88" s="122">
        <f>IFERROR(__xludf.DUMMYFUNCTION("""COMPUTED_VALUE"""),3.6099005458E10)</f>
        <v>36099005458</v>
      </c>
      <c r="I88" s="122" t="str">
        <f>IFERROR(__xludf.DUMMYFUNCTION("""COMPUTED_VALUE"""),"0396815936")</f>
        <v>0396815936</v>
      </c>
      <c r="J88" s="122" t="str">
        <f>IFERROR(__xludf.DUMMYFUNCTION("""COMPUTED_VALUE"""),"letrunghoang010798@gmail.com")</f>
        <v>letrunghoang010798@gmail.com</v>
      </c>
      <c r="K88" s="122">
        <f>IFERROR(__xludf.DUMMYFUNCTION("""COMPUTED_VALUE"""),1.27530367E8)</f>
        <v>127530367</v>
      </c>
      <c r="L88" s="122" t="str">
        <f>IFERROR(__xludf.DUMMYFUNCTION("""COMPUTED_VALUE"""),"TRAN THI VAN")</f>
        <v>TRAN THI VAN</v>
      </c>
      <c r="M88" s="122" t="str">
        <f>IFERROR(__xludf.DUMMYFUNCTION("""COMPUTED_VALUE"""),"VP Bank")</f>
        <v>VP Bank</v>
      </c>
      <c r="N88" s="122"/>
      <c r="O88" s="122"/>
      <c r="P88" s="123" t="str">
        <f>IFERROR(__xludf.DUMMYFUNCTION("""COMPUTED_VALUE"""),"Mến")</f>
        <v>Mến</v>
      </c>
      <c r="Q88" s="122"/>
      <c r="R88" s="122" t="str">
        <f>IFERROR(__xludf.DUMMYFUNCTION("""COMPUTED_VALUE"""),"INFHOANG458")</f>
        <v>INFHOANG458</v>
      </c>
      <c r="S88" s="124" t="str">
        <f>IFERROR(__xludf.DUMMYFUNCTION("""COMPUTED_VALUE"""),"https://yody.vn/?affcode=INFHOANG458")</f>
        <v>https://yody.vn/?affcode=INFHOANG458</v>
      </c>
    </row>
    <row r="89">
      <c r="A89" s="122" t="str">
        <f>IFERROR(__xludf.DUMMYFUNCTION("""COMPUTED_VALUE"""),"INFDUY489")</f>
        <v>INFDUY489</v>
      </c>
      <c r="B89" s="122" t="str">
        <f>IFERROR(__xludf.DUMMYFUNCTION("""COMPUTED_VALUE"""),"baduyyyy")</f>
        <v>baduyyyy</v>
      </c>
      <c r="C89" s="124" t="str">
        <f>IFERROR(__xludf.DUMMYFUNCTION("""COMPUTED_VALUE"""),"tiktok")</f>
        <v>tiktok</v>
      </c>
      <c r="D89" s="122"/>
      <c r="E89" s="122" t="str">
        <f>IFERROR(__xludf.DUMMYFUNCTION("""COMPUTED_VALUE"""),"1,1M")</f>
        <v>1,1M</v>
      </c>
      <c r="F89" s="122" t="str">
        <f>IFERROR(__xludf.DUMMYFUNCTION("""COMPUTED_VALUE"""),"Đoàn Phạm Nhật Duy")</f>
        <v>Đoàn Phạm Nhật Duy</v>
      </c>
      <c r="G89" s="126">
        <f>IFERROR(__xludf.DUMMYFUNCTION("""COMPUTED_VALUE"""),34822.0)</f>
        <v>34822</v>
      </c>
      <c r="H89" s="122">
        <f>IFERROR(__xludf.DUMMYFUNCTION("""COMPUTED_VALUE"""),6.1017859E7)</f>
        <v>61017859</v>
      </c>
      <c r="I89" s="122" t="str">
        <f>IFERROR(__xludf.DUMMYFUNCTION("""COMPUTED_VALUE"""),"0357956489")</f>
        <v>0357956489</v>
      </c>
      <c r="J89" s="122" t="str">
        <f>IFERROR(__xludf.DUMMYFUNCTION("""COMPUTED_VALUE"""),"mrduy95@gmail.com")</f>
        <v>mrduy95@gmail.com</v>
      </c>
      <c r="K89" s="122">
        <f>IFERROR(__xludf.DUMMYFUNCTION("""COMPUTED_VALUE"""),1.27530367E8)</f>
        <v>127530367</v>
      </c>
      <c r="L89" s="122" t="str">
        <f>IFERROR(__xludf.DUMMYFUNCTION("""COMPUTED_VALUE"""),"TRAN THI VAN")</f>
        <v>TRAN THI VAN</v>
      </c>
      <c r="M89" s="122" t="str">
        <f>IFERROR(__xludf.DUMMYFUNCTION("""COMPUTED_VALUE"""),"VP Bank")</f>
        <v>VP Bank</v>
      </c>
      <c r="N89" s="122"/>
      <c r="O89" s="122"/>
      <c r="P89" s="123" t="str">
        <f>IFERROR(__xludf.DUMMYFUNCTION("""COMPUTED_VALUE"""),"Mến")</f>
        <v>Mến</v>
      </c>
      <c r="Q89" s="122"/>
      <c r="R89" s="122" t="str">
        <f>IFERROR(__xludf.DUMMYFUNCTION("""COMPUTED_VALUE"""),"INFDUY489")</f>
        <v>INFDUY489</v>
      </c>
      <c r="S89" s="124" t="str">
        <f>IFERROR(__xludf.DUMMYFUNCTION("""COMPUTED_VALUE"""),"https://yody.vn/?affcode=INFDUY489")</f>
        <v>https://yody.vn/?affcode=INFDUY489</v>
      </c>
    </row>
    <row r="90">
      <c r="A90" s="122" t="str">
        <f>IFERROR(__xludf.DUMMYFUNCTION("""COMPUTED_VALUE"""),"INFMEN819")</f>
        <v>INFMEN819</v>
      </c>
      <c r="B90" s="122" t="str">
        <f>IFERROR(__xludf.DUMMYFUNCTION("""COMPUTED_VALUE"""),"meous99")</f>
        <v>meous99</v>
      </c>
      <c r="C90" s="124" t="str">
        <f>IFERROR(__xludf.DUMMYFUNCTION("""COMPUTED_VALUE"""),"tiktok")</f>
        <v>tiktok</v>
      </c>
      <c r="D90" s="122"/>
      <c r="E90" s="122" t="str">
        <f>IFERROR(__xludf.DUMMYFUNCTION("""COMPUTED_VALUE"""),"2.3M")</f>
        <v>2.3M</v>
      </c>
      <c r="F90" s="122" t="str">
        <f>IFERROR(__xludf.DUMMYFUNCTION("""COMPUTED_VALUE"""),"Lê Thị Mến")</f>
        <v>Lê Thị Mến</v>
      </c>
      <c r="G90" s="126">
        <f>IFERROR(__xludf.DUMMYFUNCTION("""COMPUTED_VALUE"""),36286.0)</f>
        <v>36286</v>
      </c>
      <c r="H90" s="122">
        <f>IFERROR(__xludf.DUMMYFUNCTION("""COMPUTED_VALUE"""),3.8199009417E10)</f>
        <v>38199009417</v>
      </c>
      <c r="I90" s="122" t="str">
        <f>IFERROR(__xludf.DUMMYFUNCTION("""COMPUTED_VALUE"""),"0386198819")</f>
        <v>0386198819</v>
      </c>
      <c r="J90" s="122" t="str">
        <f>IFERROR(__xludf.DUMMYFUNCTION("""COMPUTED_VALUE"""),"Hongmen520@gmail.com")</f>
        <v>Hongmen520@gmail.com</v>
      </c>
      <c r="K90" s="122">
        <f>IFERROR(__xludf.DUMMYFUNCTION("""COMPUTED_VALUE"""),1.27530367E8)</f>
        <v>127530367</v>
      </c>
      <c r="L90" s="122" t="str">
        <f>IFERROR(__xludf.DUMMYFUNCTION("""COMPUTED_VALUE"""),"TRAN THI VAN")</f>
        <v>TRAN THI VAN</v>
      </c>
      <c r="M90" s="122" t="str">
        <f>IFERROR(__xludf.DUMMYFUNCTION("""COMPUTED_VALUE"""),"VP Bank")</f>
        <v>VP Bank</v>
      </c>
      <c r="N90" s="122"/>
      <c r="O90" s="122"/>
      <c r="P90" s="123" t="str">
        <f>IFERROR(__xludf.DUMMYFUNCTION("""COMPUTED_VALUE"""),"Mến")</f>
        <v>Mến</v>
      </c>
      <c r="Q90" s="122"/>
      <c r="R90" s="122" t="str">
        <f>IFERROR(__xludf.DUMMYFUNCTION("""COMPUTED_VALUE"""),"INFMEN819")</f>
        <v>INFMEN819</v>
      </c>
      <c r="S90" s="124" t="str">
        <f>IFERROR(__xludf.DUMMYFUNCTION("""COMPUTED_VALUE"""),"https://yody.vn/?affcode=INFMEN819")</f>
        <v>https://yody.vn/?affcode=INFMEN819</v>
      </c>
    </row>
    <row r="91">
      <c r="A91" s="122" t="str">
        <f>IFERROR(__xludf.DUMMYFUNCTION("""COMPUTED_VALUE"""),"INFTHANH071")</f>
        <v>INFTHANH071</v>
      </c>
      <c r="B91" s="122" t="str">
        <f>IFERROR(__xludf.DUMMYFUNCTION("""COMPUTED_VALUE"""),"thanhdolphin03082000")</f>
        <v>thanhdolphin03082000</v>
      </c>
      <c r="C91" s="124" t="str">
        <f>IFERROR(__xludf.DUMMYFUNCTION("""COMPUTED_VALUE"""),"tiktok")</f>
        <v>tiktok</v>
      </c>
      <c r="D91" s="122"/>
      <c r="E91" s="122" t="str">
        <f>IFERROR(__xludf.DUMMYFUNCTION("""COMPUTED_VALUE"""),"800k")</f>
        <v>800k</v>
      </c>
      <c r="F91" s="122" t="str">
        <f>IFERROR(__xludf.DUMMYFUNCTION("""COMPUTED_VALUE"""),"Đoàn Bùi Quốc Thành")</f>
        <v>Đoàn Bùi Quốc Thành</v>
      </c>
      <c r="G91" s="126">
        <f>IFERROR(__xludf.DUMMYFUNCTION("""COMPUTED_VALUE"""),36593.0)</f>
        <v>36593</v>
      </c>
      <c r="H91" s="122">
        <f>IFERROR(__xludf.DUMMYFUNCTION("""COMPUTED_VALUE"""),1.7200000071E10)</f>
        <v>17200000071</v>
      </c>
      <c r="I91" s="122" t="str">
        <f>IFERROR(__xludf.DUMMYFUNCTION("""COMPUTED_VALUE"""),"0988518382")</f>
        <v>0988518382</v>
      </c>
      <c r="J91" s="122" t="str">
        <f>IFERROR(__xludf.DUMMYFUNCTION("""COMPUTED_VALUE"""),"doanquocthanh03082000@gmail.com")</f>
        <v>doanquocthanh03082000@gmail.com</v>
      </c>
      <c r="K91" s="122">
        <f>IFERROR(__xludf.DUMMYFUNCTION("""COMPUTED_VALUE"""),1.27530367E8)</f>
        <v>127530367</v>
      </c>
      <c r="L91" s="122" t="str">
        <f>IFERROR(__xludf.DUMMYFUNCTION("""COMPUTED_VALUE"""),"TRAN THI VAN")</f>
        <v>TRAN THI VAN</v>
      </c>
      <c r="M91" s="122" t="str">
        <f>IFERROR(__xludf.DUMMYFUNCTION("""COMPUTED_VALUE"""),"VP Bank")</f>
        <v>VP Bank</v>
      </c>
      <c r="N91" s="122"/>
      <c r="O91" s="122"/>
      <c r="P91" s="123" t="str">
        <f>IFERROR(__xludf.DUMMYFUNCTION("""COMPUTED_VALUE"""),"Mến")</f>
        <v>Mến</v>
      </c>
      <c r="Q91" s="122"/>
      <c r="R91" s="122" t="str">
        <f>IFERROR(__xludf.DUMMYFUNCTION("""COMPUTED_VALUE"""),"INFTHANH071")</f>
        <v>INFTHANH071</v>
      </c>
      <c r="S91" s="124" t="str">
        <f>IFERROR(__xludf.DUMMYFUNCTION("""COMPUTED_VALUE"""),"https://yody.vn/?affcode=INFTHANH071")</f>
        <v>https://yody.vn/?affcode=INFTHANH071</v>
      </c>
    </row>
    <row r="92">
      <c r="A92" s="122" t="str">
        <f>IFERROR(__xludf.DUMMYFUNCTION("""COMPUTED_VALUE"""),"INFTUAN899")</f>
        <v>INFTUAN899</v>
      </c>
      <c r="B92" s="122" t="str">
        <f>IFERROR(__xludf.DUMMYFUNCTION("""COMPUTED_VALUE"""),"tuan_bo  ")</f>
        <v>tuan_bo  </v>
      </c>
      <c r="C92" s="124" t="str">
        <f>IFERROR(__xludf.DUMMYFUNCTION("""COMPUTED_VALUE"""),"tiktok")</f>
        <v>tiktok</v>
      </c>
      <c r="D92" s="122"/>
      <c r="E92" s="122" t="str">
        <f>IFERROR(__xludf.DUMMYFUNCTION("""COMPUTED_VALUE"""),"3M")</f>
        <v>3M</v>
      </c>
      <c r="F92" s="122" t="str">
        <f>IFERROR(__xludf.DUMMYFUNCTION("""COMPUTED_VALUE"""),"Phạm Anh Tuấn")</f>
        <v>Phạm Anh Tuấn</v>
      </c>
      <c r="G92" s="122" t="str">
        <f>IFERROR(__xludf.DUMMYFUNCTION("""COMPUTED_VALUE"""),"18/8/2000")</f>
        <v>18/8/2000</v>
      </c>
      <c r="H92" s="122">
        <f>IFERROR(__xludf.DUMMYFUNCTION("""COMPUTED_VALUE"""),1.4200000284E10)</f>
        <v>14200000284</v>
      </c>
      <c r="I92" s="122" t="str">
        <f>IFERROR(__xludf.DUMMYFUNCTION("""COMPUTED_VALUE"""),"0961428899")</f>
        <v>0961428899</v>
      </c>
      <c r="J92" s="122" t="str">
        <f>IFERROR(__xludf.DUMMYFUNCTION("""COMPUTED_VALUE"""),"Tuanpham1808k@gmail.com")</f>
        <v>Tuanpham1808k@gmail.com</v>
      </c>
      <c r="K92" s="122">
        <f>IFERROR(__xludf.DUMMYFUNCTION("""COMPUTED_VALUE"""),1.27530367E8)</f>
        <v>127530367</v>
      </c>
      <c r="L92" s="122" t="str">
        <f>IFERROR(__xludf.DUMMYFUNCTION("""COMPUTED_VALUE"""),"TRAN THI VAN")</f>
        <v>TRAN THI VAN</v>
      </c>
      <c r="M92" s="122" t="str">
        <f>IFERROR(__xludf.DUMMYFUNCTION("""COMPUTED_VALUE"""),"VP Bank")</f>
        <v>VP Bank</v>
      </c>
      <c r="N92" s="122"/>
      <c r="O92" s="122"/>
      <c r="P92" s="123" t="str">
        <f>IFERROR(__xludf.DUMMYFUNCTION("""COMPUTED_VALUE"""),"Mến")</f>
        <v>Mến</v>
      </c>
      <c r="Q92" s="122"/>
      <c r="R92" s="122" t="str">
        <f>IFERROR(__xludf.DUMMYFUNCTION("""COMPUTED_VALUE"""),"INFTUAN899")</f>
        <v>INFTUAN899</v>
      </c>
      <c r="S92" s="124" t="str">
        <f>IFERROR(__xludf.DUMMYFUNCTION("""COMPUTED_VALUE"""),"https://yody.vn/?affcode=INFTUAN899")</f>
        <v>https://yody.vn/?affcode=INFTUAN899</v>
      </c>
    </row>
    <row r="93">
      <c r="A93" s="122" t="str">
        <f>IFERROR(__xludf.DUMMYFUNCTION("""COMPUTED_VALUE"""),"INFQUYNH688")</f>
        <v>INFQUYNH688</v>
      </c>
      <c r="B93" s="122" t="str">
        <f>IFERROR(__xludf.DUMMYFUNCTION("""COMPUTED_VALUE"""),"quynh2001")</f>
        <v>quynh2001</v>
      </c>
      <c r="C93" s="124" t="str">
        <f>IFERROR(__xludf.DUMMYFUNCTION("""COMPUTED_VALUE"""),"tiktok")</f>
        <v>tiktok</v>
      </c>
      <c r="D93" s="122"/>
      <c r="E93" s="122" t="str">
        <f>IFERROR(__xludf.DUMMYFUNCTION("""COMPUTED_VALUE"""),"3,5M")</f>
        <v>3,5M</v>
      </c>
      <c r="F93" s="122" t="str">
        <f>IFERROR(__xludf.DUMMYFUNCTION("""COMPUTED_VALUE"""),"Đào Thị Quỳnh")</f>
        <v>Đào Thị Quỳnh</v>
      </c>
      <c r="G93" s="126">
        <f>IFERROR(__xludf.DUMMYFUNCTION("""COMPUTED_VALUE"""),37146.0)</f>
        <v>37146</v>
      </c>
      <c r="H93" s="122">
        <f>IFERROR(__xludf.DUMMYFUNCTION("""COMPUTED_VALUE"""),2.2301003001E10)</f>
        <v>22301003001</v>
      </c>
      <c r="I93" s="122" t="str">
        <f>IFERROR(__xludf.DUMMYFUNCTION("""COMPUTED_VALUE"""),"0927922688")</f>
        <v>0927922688</v>
      </c>
      <c r="J93" s="122" t="str">
        <f>IFERROR(__xludf.DUMMYFUNCTION("""COMPUTED_VALUE"""),"dapquynhys@gmail.com")</f>
        <v>dapquynhys@gmail.com</v>
      </c>
      <c r="K93" s="122">
        <f>IFERROR(__xludf.DUMMYFUNCTION("""COMPUTED_VALUE"""),1.27530367E8)</f>
        <v>127530367</v>
      </c>
      <c r="L93" s="122" t="str">
        <f>IFERROR(__xludf.DUMMYFUNCTION("""COMPUTED_VALUE"""),"TRAN THI VAN")</f>
        <v>TRAN THI VAN</v>
      </c>
      <c r="M93" s="122" t="str">
        <f>IFERROR(__xludf.DUMMYFUNCTION("""COMPUTED_VALUE"""),"VP Bank")</f>
        <v>VP Bank</v>
      </c>
      <c r="N93" s="122"/>
      <c r="O93" s="122"/>
      <c r="P93" s="123" t="str">
        <f>IFERROR(__xludf.DUMMYFUNCTION("""COMPUTED_VALUE"""),"Mến")</f>
        <v>Mến</v>
      </c>
      <c r="Q93" s="122"/>
      <c r="R93" s="122" t="str">
        <f>IFERROR(__xludf.DUMMYFUNCTION("""COMPUTED_VALUE"""),"INFQUYNH688")</f>
        <v>INFQUYNH688</v>
      </c>
      <c r="S93" s="124" t="str">
        <f>IFERROR(__xludf.DUMMYFUNCTION("""COMPUTED_VALUE"""),"https://yody.vn/?affcode=INFQUYNH688")</f>
        <v>https://yody.vn/?affcode=INFQUYNH688</v>
      </c>
    </row>
    <row r="94">
      <c r="A94" s="122" t="str">
        <f>IFERROR(__xludf.DUMMYFUNCTION("""COMPUTED_VALUE"""),"INFDUONG685")</f>
        <v>INFDUONG685</v>
      </c>
      <c r="B94" s="122" t="str">
        <f>IFERROR(__xludf.DUMMYFUNCTION("""COMPUTED_VALUE"""),"xuanduong_0403")</f>
        <v>xuanduong_0403</v>
      </c>
      <c r="C94" s="124" t="str">
        <f>IFERROR(__xludf.DUMMYFUNCTION("""COMPUTED_VALUE"""),"tiktok")</f>
        <v>tiktok</v>
      </c>
      <c r="D94" s="122"/>
      <c r="E94" s="122" t="str">
        <f>IFERROR(__xludf.DUMMYFUNCTION("""COMPUTED_VALUE"""),"1,4M")</f>
        <v>1,4M</v>
      </c>
      <c r="F94" s="122" t="str">
        <f>IFERROR(__xludf.DUMMYFUNCTION("""COMPUTED_VALUE"""),"Đinh Xuân Dương")</f>
        <v>Đinh Xuân Dương</v>
      </c>
      <c r="G94" s="126">
        <f>IFERROR(__xludf.DUMMYFUNCTION("""COMPUTED_VALUE"""),36984.0)</f>
        <v>36984</v>
      </c>
      <c r="H94" s="122">
        <f>IFERROR(__xludf.DUMMYFUNCTION("""COMPUTED_VALUE"""),3.6201005066E10)</f>
        <v>36201005066</v>
      </c>
      <c r="I94" s="122" t="str">
        <f>IFERROR(__xludf.DUMMYFUNCTION("""COMPUTED_VALUE"""),"03785533685")</f>
        <v>03785533685</v>
      </c>
      <c r="J94" s="122" t="str">
        <f>IFERROR(__xludf.DUMMYFUNCTION("""COMPUTED_VALUE"""),"dinhxuanduong2688@gmail.com")</f>
        <v>dinhxuanduong2688@gmail.com</v>
      </c>
      <c r="K94" s="122">
        <f>IFERROR(__xludf.DUMMYFUNCTION("""COMPUTED_VALUE"""),1.27530367E8)</f>
        <v>127530367</v>
      </c>
      <c r="L94" s="122" t="str">
        <f>IFERROR(__xludf.DUMMYFUNCTION("""COMPUTED_VALUE"""),"TRAN THI VAN")</f>
        <v>TRAN THI VAN</v>
      </c>
      <c r="M94" s="122" t="str">
        <f>IFERROR(__xludf.DUMMYFUNCTION("""COMPUTED_VALUE"""),"VP Bank")</f>
        <v>VP Bank</v>
      </c>
      <c r="N94" s="122"/>
      <c r="O94" s="122"/>
      <c r="P94" s="123" t="str">
        <f>IFERROR(__xludf.DUMMYFUNCTION("""COMPUTED_VALUE"""),"Mến")</f>
        <v>Mến</v>
      </c>
      <c r="Q94" s="122"/>
      <c r="R94" s="122" t="str">
        <f>IFERROR(__xludf.DUMMYFUNCTION("""COMPUTED_VALUE"""),"INFDUONG685")</f>
        <v>INFDUONG685</v>
      </c>
      <c r="S94" s="124" t="str">
        <f>IFERROR(__xludf.DUMMYFUNCTION("""COMPUTED_VALUE"""),"https://yody.vn/?affcode=INFDUONG685")</f>
        <v>https://yody.vn/?affcode=INFDUONG685</v>
      </c>
    </row>
    <row r="95">
      <c r="A95" s="122" t="str">
        <f>IFERROR(__xludf.DUMMYFUNCTION("""COMPUTED_VALUE"""),"INFNHAT557")</f>
        <v>INFNHAT557</v>
      </c>
      <c r="B95" s="122" t="str">
        <f>IFERROR(__xludf.DUMMYFUNCTION("""COMPUTED_VALUE"""),"minhnhatdzvcl")</f>
        <v>minhnhatdzvcl</v>
      </c>
      <c r="C95" s="124" t="str">
        <f>IFERROR(__xludf.DUMMYFUNCTION("""COMPUTED_VALUE"""),"tiktok")</f>
        <v>tiktok</v>
      </c>
      <c r="D95" s="122"/>
      <c r="E95" s="122" t="str">
        <f>IFERROR(__xludf.DUMMYFUNCTION("""COMPUTED_VALUE"""),"518.4K")</f>
        <v>518.4K</v>
      </c>
      <c r="F95" s="122" t="str">
        <f>IFERROR(__xludf.DUMMYFUNCTION("""COMPUTED_VALUE"""),"Lê Minh Nhật")</f>
        <v>Lê Minh Nhật</v>
      </c>
      <c r="G95" s="125">
        <f>IFERROR(__xludf.DUMMYFUNCTION("""COMPUTED_VALUE"""),37380.0)</f>
        <v>37380</v>
      </c>
      <c r="H95" s="122">
        <f>IFERROR(__xludf.DUMMYFUNCTION("""COMPUTED_VALUE"""),3.6202005341E10)</f>
        <v>36202005341</v>
      </c>
      <c r="I95" s="122" t="str">
        <f>IFERROR(__xludf.DUMMYFUNCTION("""COMPUTED_VALUE"""),"0942350557")</f>
        <v>0942350557</v>
      </c>
      <c r="J95" s="122" t="str">
        <f>IFERROR(__xludf.DUMMYFUNCTION("""COMPUTED_VALUE"""),"minhnhatdzvcl123@gmail.com")</f>
        <v>minhnhatdzvcl123@gmail.com</v>
      </c>
      <c r="K95" s="122">
        <f>IFERROR(__xludf.DUMMYFUNCTION("""COMPUTED_VALUE"""),1.27530367E8)</f>
        <v>127530367</v>
      </c>
      <c r="L95" s="122" t="str">
        <f>IFERROR(__xludf.DUMMYFUNCTION("""COMPUTED_VALUE"""),"TRAN THI VAN")</f>
        <v>TRAN THI VAN</v>
      </c>
      <c r="M95" s="122" t="str">
        <f>IFERROR(__xludf.DUMMYFUNCTION("""COMPUTED_VALUE"""),"VP Bank")</f>
        <v>VP Bank</v>
      </c>
      <c r="N95" s="122"/>
      <c r="O95" s="122"/>
      <c r="P95" s="123" t="str">
        <f>IFERROR(__xludf.DUMMYFUNCTION("""COMPUTED_VALUE"""),"Mến")</f>
        <v>Mến</v>
      </c>
      <c r="Q95" s="122"/>
      <c r="R95" s="122" t="str">
        <f>IFERROR(__xludf.DUMMYFUNCTION("""COMPUTED_VALUE"""),"INFNHAT557")</f>
        <v>INFNHAT557</v>
      </c>
      <c r="S95" s="124" t="str">
        <f>IFERROR(__xludf.DUMMYFUNCTION("""COMPUTED_VALUE"""),"https://yody.vn/?affcode=INFNHAT557")</f>
        <v>https://yody.vn/?affcode=INFNHAT557</v>
      </c>
    </row>
    <row r="96">
      <c r="A96" s="122" t="str">
        <f>IFERROR(__xludf.DUMMYFUNCTION("""COMPUTED_VALUE"""),"INFTRANG535")</f>
        <v>INFTRANG535</v>
      </c>
      <c r="B96" s="122" t="str">
        <f>IFERROR(__xludf.DUMMYFUNCTION("""COMPUTED_VALUE"""),"tieu_ngao")</f>
        <v>tieu_ngao</v>
      </c>
      <c r="C96" s="124" t="str">
        <f>IFERROR(__xludf.DUMMYFUNCTION("""COMPUTED_VALUE"""),"tiktok")</f>
        <v>tiktok</v>
      </c>
      <c r="D96" s="122"/>
      <c r="E96" s="122" t="str">
        <f>IFERROR(__xludf.DUMMYFUNCTION("""COMPUTED_VALUE"""),"1,8M")</f>
        <v>1,8M</v>
      </c>
      <c r="F96" s="122" t="str">
        <f>IFERROR(__xludf.DUMMYFUNCTION("""COMPUTED_VALUE"""),"Phan Thị Trang")</f>
        <v>Phan Thị Trang</v>
      </c>
      <c r="G96" s="122" t="str">
        <f>IFERROR(__xludf.DUMMYFUNCTION("""COMPUTED_VALUE"""),"19/07/1998")</f>
        <v>19/07/1998</v>
      </c>
      <c r="H96" s="122">
        <f>IFERROR(__xludf.DUMMYFUNCTION("""COMPUTED_VALUE"""),3.4198002496E10)</f>
        <v>34198002496</v>
      </c>
      <c r="I96" s="122" t="str">
        <f>IFERROR(__xludf.DUMMYFUNCTION("""COMPUTED_VALUE"""),"0376211535")</f>
        <v>0376211535</v>
      </c>
      <c r="J96" s="122" t="str">
        <f>IFERROR(__xludf.DUMMYFUNCTION("""COMPUTED_VALUE"""),"caooyeuu190798@gmail.com")</f>
        <v>caooyeuu190798@gmail.com</v>
      </c>
      <c r="K96" s="122">
        <f>IFERROR(__xludf.DUMMYFUNCTION("""COMPUTED_VALUE"""),1.27530367E8)</f>
        <v>127530367</v>
      </c>
      <c r="L96" s="122" t="str">
        <f>IFERROR(__xludf.DUMMYFUNCTION("""COMPUTED_VALUE"""),"TRAN THI VAN")</f>
        <v>TRAN THI VAN</v>
      </c>
      <c r="M96" s="122" t="str">
        <f>IFERROR(__xludf.DUMMYFUNCTION("""COMPUTED_VALUE"""),"VP Bank")</f>
        <v>VP Bank</v>
      </c>
      <c r="N96" s="122"/>
      <c r="O96" s="122"/>
      <c r="P96" s="123" t="str">
        <f>IFERROR(__xludf.DUMMYFUNCTION("""COMPUTED_VALUE"""),"Mến")</f>
        <v>Mến</v>
      </c>
      <c r="Q96" s="122"/>
      <c r="R96" s="122" t="str">
        <f>IFERROR(__xludf.DUMMYFUNCTION("""COMPUTED_VALUE"""),"INFTRANG535")</f>
        <v>INFTRANG535</v>
      </c>
      <c r="S96" s="124" t="str">
        <f>IFERROR(__xludf.DUMMYFUNCTION("""COMPUTED_VALUE"""),"https://yody.vn/?affcode=INFTRANG535")</f>
        <v>https://yody.vn/?affcode=INFTRANG535</v>
      </c>
    </row>
    <row r="97">
      <c r="A97" s="122" t="str">
        <f>IFERROR(__xludf.DUMMYFUNCTION("""COMPUTED_VALUE"""),"INFHUONG558")</f>
        <v>INFHUONG558</v>
      </c>
      <c r="B97" s="122" t="str">
        <f>IFERROR(__xludf.DUMMYFUNCTION("""COMPUTED_VALUE"""),"huongmin_")</f>
        <v>huongmin_</v>
      </c>
      <c r="C97" s="124" t="str">
        <f>IFERROR(__xludf.DUMMYFUNCTION("""COMPUTED_VALUE"""),"tiktok")</f>
        <v>tiktok</v>
      </c>
      <c r="D97" s="122"/>
      <c r="E97" s="122" t="str">
        <f>IFERROR(__xludf.DUMMYFUNCTION("""COMPUTED_VALUE"""),"978.9K")</f>
        <v>978.9K</v>
      </c>
      <c r="F97" s="122" t="str">
        <f>IFERROR(__xludf.DUMMYFUNCTION("""COMPUTED_VALUE"""),"Vũ Thu Hường")</f>
        <v>Vũ Thu Hường</v>
      </c>
      <c r="G97" s="122" t="str">
        <f>IFERROR(__xludf.DUMMYFUNCTION("""COMPUTED_VALUE"""),"29/09/2002")</f>
        <v>29/09/2002</v>
      </c>
      <c r="H97" s="122">
        <f>IFERROR(__xludf.DUMMYFUNCTION("""COMPUTED_VALUE"""),1.25977078E8)</f>
        <v>125977078</v>
      </c>
      <c r="I97" s="122" t="str">
        <f>IFERROR(__xludf.DUMMYFUNCTION("""COMPUTED_VALUE"""),"0989010558")</f>
        <v>0989010558</v>
      </c>
      <c r="J97" s="122" t="str">
        <f>IFERROR(__xludf.DUMMYFUNCTION("""COMPUTED_VALUE"""),"vuhuongg002@gmail.com")</f>
        <v>vuhuongg002@gmail.com</v>
      </c>
      <c r="K97" s="122">
        <f>IFERROR(__xludf.DUMMYFUNCTION("""COMPUTED_VALUE"""),1.27530367E8)</f>
        <v>127530367</v>
      </c>
      <c r="L97" s="122" t="str">
        <f>IFERROR(__xludf.DUMMYFUNCTION("""COMPUTED_VALUE"""),"TRAN THI VAN")</f>
        <v>TRAN THI VAN</v>
      </c>
      <c r="M97" s="122" t="str">
        <f>IFERROR(__xludf.DUMMYFUNCTION("""COMPUTED_VALUE"""),"VP Bank")</f>
        <v>VP Bank</v>
      </c>
      <c r="N97" s="122"/>
      <c r="O97" s="122"/>
      <c r="P97" s="123" t="str">
        <f>IFERROR(__xludf.DUMMYFUNCTION("""COMPUTED_VALUE"""),"Mến")</f>
        <v>Mến</v>
      </c>
      <c r="Q97" s="122"/>
      <c r="R97" s="122" t="str">
        <f>IFERROR(__xludf.DUMMYFUNCTION("""COMPUTED_VALUE"""),"INFHUONG558")</f>
        <v>INFHUONG558</v>
      </c>
      <c r="S97" s="124" t="str">
        <f>IFERROR(__xludf.DUMMYFUNCTION("""COMPUTED_VALUE"""),"https://yody.vn/?affcode=INFHUONG558")</f>
        <v>https://yody.vn/?affcode=INFHUONG558</v>
      </c>
    </row>
    <row r="98">
      <c r="A98" s="122" t="str">
        <f>IFERROR(__xludf.DUMMYFUNCTION("""COMPUTED_VALUE"""),"INFQUYEN983")</f>
        <v>INFQUYEN983</v>
      </c>
      <c r="B98" s="122" t="str">
        <f>IFERROR(__xludf.DUMMYFUNCTION("""COMPUTED_VALUE"""),"kmquyen2002")</f>
        <v>kmquyen2002</v>
      </c>
      <c r="C98" s="124" t="str">
        <f>IFERROR(__xludf.DUMMYFUNCTION("""COMPUTED_VALUE"""),"tiktok")</f>
        <v>tiktok</v>
      </c>
      <c r="D98" s="122"/>
      <c r="E98" s="122" t="str">
        <f>IFERROR(__xludf.DUMMYFUNCTION("""COMPUTED_VALUE"""),"4M")</f>
        <v>4M</v>
      </c>
      <c r="F98" s="122" t="str">
        <f>IFERROR(__xludf.DUMMYFUNCTION("""COMPUTED_VALUE"""),"Nguyễn Kim Mạnh Quyền")</f>
        <v>Nguyễn Kim Mạnh Quyền</v>
      </c>
      <c r="G98" s="128">
        <f>IFERROR(__xludf.DUMMYFUNCTION("""COMPUTED_VALUE"""),37292.0)</f>
        <v>37292</v>
      </c>
      <c r="H98" s="122">
        <f>IFERROR(__xludf.DUMMYFUNCTION("""COMPUTED_VALUE"""),3.6202008121E10)</f>
        <v>36202008121</v>
      </c>
      <c r="I98" s="122" t="str">
        <f>IFERROR(__xludf.DUMMYFUNCTION("""COMPUTED_VALUE"""),"0888436983")</f>
        <v>0888436983</v>
      </c>
      <c r="J98" s="122" t="str">
        <f>IFERROR(__xludf.DUMMYFUNCTION("""COMPUTED_VALUE"""),"kimmanhquyen@gmail.com")</f>
        <v>kimmanhquyen@gmail.com</v>
      </c>
      <c r="K98" s="122">
        <f>IFERROR(__xludf.DUMMYFUNCTION("""COMPUTED_VALUE"""),1.27530367E8)</f>
        <v>127530367</v>
      </c>
      <c r="L98" s="122" t="str">
        <f>IFERROR(__xludf.DUMMYFUNCTION("""COMPUTED_VALUE"""),"TRAN THI VAN")</f>
        <v>TRAN THI VAN</v>
      </c>
      <c r="M98" s="122" t="str">
        <f>IFERROR(__xludf.DUMMYFUNCTION("""COMPUTED_VALUE"""),"VP Bank")</f>
        <v>VP Bank</v>
      </c>
      <c r="N98" s="122"/>
      <c r="O98" s="122"/>
      <c r="P98" s="123" t="str">
        <f>IFERROR(__xludf.DUMMYFUNCTION("""COMPUTED_VALUE"""),"Mến")</f>
        <v>Mến</v>
      </c>
      <c r="Q98" s="122"/>
      <c r="R98" s="122" t="str">
        <f>IFERROR(__xludf.DUMMYFUNCTION("""COMPUTED_VALUE"""),"INFQUYEN983")</f>
        <v>INFQUYEN983</v>
      </c>
      <c r="S98" s="124" t="str">
        <f>IFERROR(__xludf.DUMMYFUNCTION("""COMPUTED_VALUE"""),"https://yody.vn/?affcode=INFQUYEN983")</f>
        <v>https://yody.vn/?affcode=INFQUYEN983</v>
      </c>
    </row>
    <row r="99">
      <c r="A99" s="122" t="str">
        <f>IFERROR(__xludf.DUMMYFUNCTION("""COMPUTED_VALUE"""),"INFDONG741")</f>
        <v>INFDONG741</v>
      </c>
      <c r="B99" s="122" t="str">
        <f>IFERROR(__xludf.DUMMYFUNCTION("""COMPUTED_VALUE"""),"hoangtiendong")</f>
        <v>hoangtiendong</v>
      </c>
      <c r="C99" s="124" t="str">
        <f>IFERROR(__xludf.DUMMYFUNCTION("""COMPUTED_VALUE"""),"tiktok")</f>
        <v>tiktok</v>
      </c>
      <c r="D99" s="122"/>
      <c r="E99" s="122" t="str">
        <f>IFERROR(__xludf.DUMMYFUNCTION("""COMPUTED_VALUE"""),"1,1M")</f>
        <v>1,1M</v>
      </c>
      <c r="F99" s="122" t="str">
        <f>IFERROR(__xludf.DUMMYFUNCTION("""COMPUTED_VALUE"""),"Hoàng Tiến Đông")</f>
        <v>Hoàng Tiến Đông</v>
      </c>
      <c r="G99" s="122" t="str">
        <f>IFERROR(__xludf.DUMMYFUNCTION("""COMPUTED_VALUE"""),"22/11/1999")</f>
        <v>22/11/1999</v>
      </c>
      <c r="H99" s="122">
        <f>IFERROR(__xludf.DUMMYFUNCTION("""COMPUTED_VALUE"""),1.09903255E8)</f>
        <v>109903255</v>
      </c>
      <c r="I99" s="122" t="str">
        <f>IFERROR(__xludf.DUMMYFUNCTION("""COMPUTED_VALUE"""),"0354561741")</f>
        <v>0354561741</v>
      </c>
      <c r="J99" s="122" t="str">
        <f>IFERROR(__xludf.DUMMYFUNCTION("""COMPUTED_VALUE"""),"tiendong99vip@gmail.com")</f>
        <v>tiendong99vip@gmail.com</v>
      </c>
      <c r="K99" s="122">
        <f>IFERROR(__xludf.DUMMYFUNCTION("""COMPUTED_VALUE"""),1.27530367E8)</f>
        <v>127530367</v>
      </c>
      <c r="L99" s="122" t="str">
        <f>IFERROR(__xludf.DUMMYFUNCTION("""COMPUTED_VALUE"""),"TRAN THI VAN")</f>
        <v>TRAN THI VAN</v>
      </c>
      <c r="M99" s="122" t="str">
        <f>IFERROR(__xludf.DUMMYFUNCTION("""COMPUTED_VALUE"""),"VP Bank")</f>
        <v>VP Bank</v>
      </c>
      <c r="N99" s="122"/>
      <c r="O99" s="122"/>
      <c r="P99" s="123" t="str">
        <f>IFERROR(__xludf.DUMMYFUNCTION("""COMPUTED_VALUE"""),"Mến")</f>
        <v>Mến</v>
      </c>
      <c r="Q99" s="122"/>
      <c r="R99" s="122" t="str">
        <f>IFERROR(__xludf.DUMMYFUNCTION("""COMPUTED_VALUE"""),"INFDONG741")</f>
        <v>INFDONG741</v>
      </c>
      <c r="S99" s="124" t="str">
        <f>IFERROR(__xludf.DUMMYFUNCTION("""COMPUTED_VALUE"""),"https://yody.vn/?affcode=INFDONG741")</f>
        <v>https://yody.vn/?affcode=INFDONG741</v>
      </c>
    </row>
    <row r="100">
      <c r="A100" s="122" t="str">
        <f>IFERROR(__xludf.DUMMYFUNCTION("""COMPUTED_VALUE"""),"INFPHUONG332")</f>
        <v>INFPHUONG332</v>
      </c>
      <c r="B100" s="122" t="str">
        <f>IFERROR(__xludf.DUMMYFUNCTION("""COMPUTED_VALUE"""),"vuhphuong")</f>
        <v>vuhphuong</v>
      </c>
      <c r="C100" s="124" t="str">
        <f>IFERROR(__xludf.DUMMYFUNCTION("""COMPUTED_VALUE"""),"tiktok")</f>
        <v>tiktok</v>
      </c>
      <c r="D100" s="122"/>
      <c r="E100" s="122" t="str">
        <f>IFERROR(__xludf.DUMMYFUNCTION("""COMPUTED_VALUE"""),"1,3M")</f>
        <v>1,3M</v>
      </c>
      <c r="F100" s="122" t="str">
        <f>IFERROR(__xludf.DUMMYFUNCTION("""COMPUTED_VALUE"""),"Vũ Hoài Phương")</f>
        <v>Vũ Hoài Phương</v>
      </c>
      <c r="G100" s="122" t="str">
        <f>IFERROR(__xludf.DUMMYFUNCTION("""COMPUTED_VALUE"""),"14/09/1997")</f>
        <v>14/09/1997</v>
      </c>
      <c r="H100" s="122">
        <f>IFERROR(__xludf.DUMMYFUNCTION("""COMPUTED_VALUE"""),1.097029222E9)</f>
        <v>1097029222</v>
      </c>
      <c r="I100" s="122" t="str">
        <f>IFERROR(__xludf.DUMMYFUNCTION("""COMPUTED_VALUE"""),"0368337322")</f>
        <v>0368337322</v>
      </c>
      <c r="J100" s="122" t="str">
        <f>IFERROR(__xludf.DUMMYFUNCTION("""COMPUTED_VALUE"""),"Mikeyvu97@gmail.com")</f>
        <v>Mikeyvu97@gmail.com</v>
      </c>
      <c r="K100" s="122">
        <f>IFERROR(__xludf.DUMMYFUNCTION("""COMPUTED_VALUE"""),1.27530367E8)</f>
        <v>127530367</v>
      </c>
      <c r="L100" s="122" t="str">
        <f>IFERROR(__xludf.DUMMYFUNCTION("""COMPUTED_VALUE"""),"TRAN THI VAN")</f>
        <v>TRAN THI VAN</v>
      </c>
      <c r="M100" s="122" t="str">
        <f>IFERROR(__xludf.DUMMYFUNCTION("""COMPUTED_VALUE"""),"VP Bank")</f>
        <v>VP Bank</v>
      </c>
      <c r="N100" s="122"/>
      <c r="O100" s="122"/>
      <c r="P100" s="123" t="str">
        <f>IFERROR(__xludf.DUMMYFUNCTION("""COMPUTED_VALUE"""),"Mến")</f>
        <v>Mến</v>
      </c>
      <c r="Q100" s="122"/>
      <c r="R100" s="122" t="str">
        <f>IFERROR(__xludf.DUMMYFUNCTION("""COMPUTED_VALUE"""),"INFPHUONG332")</f>
        <v>INFPHUONG332</v>
      </c>
      <c r="S100" s="124" t="str">
        <f>IFERROR(__xludf.DUMMYFUNCTION("""COMPUTED_VALUE"""),"https://yody.vn/?affcode=INFPHUONG332")</f>
        <v>https://yody.vn/?affcode=INFPHUONG332</v>
      </c>
    </row>
    <row r="101">
      <c r="A101" s="122" t="str">
        <f>IFERROR(__xludf.DUMMYFUNCTION("""COMPUTED_VALUE"""),"INFHOANG524")</f>
        <v>INFHOANG524</v>
      </c>
      <c r="B101" s="122" t="str">
        <f>IFERROR(__xludf.DUMMYFUNCTION("""COMPUTED_VALUE"""),"nhathoanghon")</f>
        <v>nhathoanghon</v>
      </c>
      <c r="C101" s="124" t="str">
        <f>IFERROR(__xludf.DUMMYFUNCTION("""COMPUTED_VALUE"""),"tiktok")</f>
        <v>tiktok</v>
      </c>
      <c r="D101" s="122"/>
      <c r="E101" s="122" t="str">
        <f>IFERROR(__xludf.DUMMYFUNCTION("""COMPUTED_VALUE"""),"957.9K
")</f>
        <v>957.9K
</v>
      </c>
      <c r="F101" s="122" t="str">
        <f>IFERROR(__xludf.DUMMYFUNCTION("""COMPUTED_VALUE"""),"Nguyễn Nhật Hoàng ")</f>
        <v>Nguyễn Nhật Hoàng </v>
      </c>
      <c r="G101" s="122" t="str">
        <f>IFERROR(__xludf.DUMMYFUNCTION("""COMPUTED_VALUE"""),"23/12/2001")</f>
        <v>23/12/2001</v>
      </c>
      <c r="H101" s="122">
        <f>IFERROR(__xludf.DUMMYFUNCTION("""COMPUTED_VALUE"""),4.6201000186E10)</f>
        <v>46201000186</v>
      </c>
      <c r="I101" s="122" t="str">
        <f>IFERROR(__xludf.DUMMYFUNCTION("""COMPUTED_VALUE"""),"0965226524")</f>
        <v>0965226524</v>
      </c>
      <c r="J101" s="122" t="str">
        <f>IFERROR(__xludf.DUMMYFUNCTION("""COMPUTED_VALUE"""),"hoangdz231201@gmail.com")</f>
        <v>hoangdz231201@gmail.com</v>
      </c>
      <c r="K101" s="122">
        <f>IFERROR(__xludf.DUMMYFUNCTION("""COMPUTED_VALUE"""),1.27530367E8)</f>
        <v>127530367</v>
      </c>
      <c r="L101" s="122" t="str">
        <f>IFERROR(__xludf.DUMMYFUNCTION("""COMPUTED_VALUE"""),"TRAN THI VAN")</f>
        <v>TRAN THI VAN</v>
      </c>
      <c r="M101" s="122" t="str">
        <f>IFERROR(__xludf.DUMMYFUNCTION("""COMPUTED_VALUE"""),"VP Bank")</f>
        <v>VP Bank</v>
      </c>
      <c r="N101" s="122"/>
      <c r="O101" s="122"/>
      <c r="P101" s="123" t="str">
        <f>IFERROR(__xludf.DUMMYFUNCTION("""COMPUTED_VALUE"""),"Mến")</f>
        <v>Mến</v>
      </c>
      <c r="Q101" s="122"/>
      <c r="R101" s="122" t="str">
        <f>IFERROR(__xludf.DUMMYFUNCTION("""COMPUTED_VALUE"""),"INFHOANG524")</f>
        <v>INFHOANG524</v>
      </c>
      <c r="S101" s="124" t="str">
        <f>IFERROR(__xludf.DUMMYFUNCTION("""COMPUTED_VALUE"""),"https://yody.vn/?affcode=INFHOANG524")</f>
        <v>https://yody.vn/?affcode=INFHOANG524</v>
      </c>
    </row>
    <row r="102">
      <c r="A102" s="122" t="str">
        <f>IFERROR(__xludf.DUMMYFUNCTION("""COMPUTED_VALUE"""),"INFVAN215")</f>
        <v>INFVAN215</v>
      </c>
      <c r="B102" s="122" t="str">
        <f>IFERROR(__xludf.DUMMYFUNCTION("""COMPUTED_VALUE"""),"vansat97")</f>
        <v>vansat97</v>
      </c>
      <c r="C102" s="124" t="str">
        <f>IFERROR(__xludf.DUMMYFUNCTION("""COMPUTED_VALUE"""),"tiktok")</f>
        <v>tiktok</v>
      </c>
      <c r="D102" s="122"/>
      <c r="E102" s="122" t="str">
        <f>IFERROR(__xludf.DUMMYFUNCTION("""COMPUTED_VALUE"""),"1M")</f>
        <v>1M</v>
      </c>
      <c r="F102" s="122" t="str">
        <f>IFERROR(__xludf.DUMMYFUNCTION("""COMPUTED_VALUE"""),"Trần Thị Vân")</f>
        <v>Trần Thị Vân</v>
      </c>
      <c r="G102" s="122" t="str">
        <f>IFERROR(__xludf.DUMMYFUNCTION("""COMPUTED_VALUE"""),"28/03/1997")</f>
        <v>28/03/1997</v>
      </c>
      <c r="H102" s="122">
        <f>IFERROR(__xludf.DUMMYFUNCTION("""COMPUTED_VALUE"""),1.25777785E8)</f>
        <v>125777785</v>
      </c>
      <c r="I102" s="122" t="str">
        <f>IFERROR(__xludf.DUMMYFUNCTION("""COMPUTED_VALUE"""),"0355755215")</f>
        <v>0355755215</v>
      </c>
      <c r="J102" s="122" t="str">
        <f>IFERROR(__xludf.DUMMYFUNCTION("""COMPUTED_VALUE"""),"Vanngoyeu@gmail.com")</f>
        <v>Vanngoyeu@gmail.com</v>
      </c>
      <c r="K102" s="122">
        <f>IFERROR(__xludf.DUMMYFUNCTION("""COMPUTED_VALUE"""),1.27530367E8)</f>
        <v>127530367</v>
      </c>
      <c r="L102" s="122" t="str">
        <f>IFERROR(__xludf.DUMMYFUNCTION("""COMPUTED_VALUE"""),"TRAN THI VAN")</f>
        <v>TRAN THI VAN</v>
      </c>
      <c r="M102" s="122" t="str">
        <f>IFERROR(__xludf.DUMMYFUNCTION("""COMPUTED_VALUE"""),"VP Bank")</f>
        <v>VP Bank</v>
      </c>
      <c r="N102" s="122"/>
      <c r="O102" s="122"/>
      <c r="P102" s="123" t="str">
        <f>IFERROR(__xludf.DUMMYFUNCTION("""COMPUTED_VALUE"""),"Mến")</f>
        <v>Mến</v>
      </c>
      <c r="Q102" s="122"/>
      <c r="R102" s="122" t="str">
        <f>IFERROR(__xludf.DUMMYFUNCTION("""COMPUTED_VALUE"""),"INFVAN215")</f>
        <v>INFVAN215</v>
      </c>
      <c r="S102" s="124" t="str">
        <f>IFERROR(__xludf.DUMMYFUNCTION("""COMPUTED_VALUE"""),"https://yody.vn/?affcode=INFVAN215")</f>
        <v>https://yody.vn/?affcode=INFVAN215</v>
      </c>
    </row>
    <row r="103">
      <c r="A103" s="122" t="str">
        <f>IFERROR(__xludf.DUMMYFUNCTION("""COMPUTED_VALUE"""),"INFTRANG007")</f>
        <v>INFTRANG007</v>
      </c>
      <c r="B103" s="122" t="str">
        <f>IFERROR(__xludf.DUMMYFUNCTION("""COMPUTED_VALUE"""),"bechangg2003")</f>
        <v>bechangg2003</v>
      </c>
      <c r="C103" s="124" t="str">
        <f>IFERROR(__xludf.DUMMYFUNCTION("""COMPUTED_VALUE"""),"tiktok")</f>
        <v>tiktok</v>
      </c>
      <c r="D103" s="122"/>
      <c r="E103" s="122" t="str">
        <f>IFERROR(__xludf.DUMMYFUNCTION("""COMPUTED_VALUE"""),"400k")</f>
        <v>400k</v>
      </c>
      <c r="F103" s="122" t="str">
        <f>IFERROR(__xludf.DUMMYFUNCTION("""COMPUTED_VALUE"""),"Đỗ Thị Huyền Trang")</f>
        <v>Đỗ Thị Huyền Trang</v>
      </c>
      <c r="G103" s="122" t="str">
        <f>IFERROR(__xludf.DUMMYFUNCTION("""COMPUTED_VALUE"""),"17/08/2003")</f>
        <v>17/08/2003</v>
      </c>
      <c r="H103" s="122" t="str">
        <f>IFERROR(__xludf.DUMMYFUNCTION("""COMPUTED_VALUE"""),"031303004115")</f>
        <v>031303004115</v>
      </c>
      <c r="I103" s="122" t="str">
        <f>IFERROR(__xludf.DUMMYFUNCTION("""COMPUTED_VALUE"""),"0339372007")</f>
        <v>0339372007</v>
      </c>
      <c r="J103" s="122" t="str">
        <f>IFERROR(__xludf.DUMMYFUNCTION("""COMPUTED_VALUE"""),"Trangcaooyeuu190798@gmail.com")</f>
        <v>Trangcaooyeuu190798@gmail.com</v>
      </c>
      <c r="K103" s="122">
        <f>IFERROR(__xludf.DUMMYFUNCTION("""COMPUTED_VALUE"""),1.27530367E8)</f>
        <v>127530367</v>
      </c>
      <c r="L103" s="122" t="str">
        <f>IFERROR(__xludf.DUMMYFUNCTION("""COMPUTED_VALUE"""),"TRAN THI VAN")</f>
        <v>TRAN THI VAN</v>
      </c>
      <c r="M103" s="122" t="str">
        <f>IFERROR(__xludf.DUMMYFUNCTION("""COMPUTED_VALUE"""),"VP Bank")</f>
        <v>VP Bank</v>
      </c>
      <c r="N103" s="122" t="str">
        <f>IFERROR(__xludf.DUMMYFUNCTION("""COMPUTED_VALUE"""),"Số 36 ngõ 394 Mỹ Đình - Hà Nội")</f>
        <v>Số 36 ngõ 394 Mỹ Đình - Hà Nội</v>
      </c>
      <c r="O103" s="122"/>
      <c r="P103" s="123" t="str">
        <f>IFERROR(__xludf.DUMMYFUNCTION("""COMPUTED_VALUE"""),"Mến")</f>
        <v>Mến</v>
      </c>
      <c r="Q103" s="122"/>
      <c r="R103" s="122" t="str">
        <f>IFERROR(__xludf.DUMMYFUNCTION("""COMPUTED_VALUE"""),"INFTRANG007")</f>
        <v>INFTRANG007</v>
      </c>
      <c r="S103" s="124" t="str">
        <f>IFERROR(__xludf.DUMMYFUNCTION("""COMPUTED_VALUE"""),"https://yody.vn/?affcode=INFTRANG007")</f>
        <v>https://yody.vn/?affcode=INFTRANG007</v>
      </c>
    </row>
    <row r="104">
      <c r="A104" s="122" t="str">
        <f>IFERROR(__xludf.DUMMYFUNCTION("""COMPUTED_VALUE"""),"INFANH789")</f>
        <v>INFANH789</v>
      </c>
      <c r="B104" s="122" t="str">
        <f>IFERROR(__xludf.DUMMYFUNCTION("""COMPUTED_VALUE"""),"huynh4nhh")</f>
        <v>huynh4nhh</v>
      </c>
      <c r="C104" s="124" t="str">
        <f>IFERROR(__xludf.DUMMYFUNCTION("""COMPUTED_VALUE"""),"tiktok")</f>
        <v>tiktok</v>
      </c>
      <c r="D104" s="122"/>
      <c r="E104" s="122" t="str">
        <f>IFERROR(__xludf.DUMMYFUNCTION("""COMPUTED_VALUE"""),"345k")</f>
        <v>345k</v>
      </c>
      <c r="F104" s="122" t="str">
        <f>IFERROR(__xludf.DUMMYFUNCTION("""COMPUTED_VALUE"""),"Mai Thị Huỳnh anh")</f>
        <v>Mai Thị Huỳnh anh</v>
      </c>
      <c r="G104" s="126">
        <f>IFERROR(__xludf.DUMMYFUNCTION("""COMPUTED_VALUE"""),36408.0)</f>
        <v>36408</v>
      </c>
      <c r="H104" s="122">
        <f>IFERROR(__xludf.DUMMYFUNCTION("""COMPUTED_VALUE"""),2.25937616E8)</f>
        <v>225937616</v>
      </c>
      <c r="I104" s="122" t="str">
        <f>IFERROR(__xludf.DUMMYFUNCTION("""COMPUTED_VALUE"""),"0775076789")</f>
        <v>0775076789</v>
      </c>
      <c r="J104" s="122" t="str">
        <f>IFERROR(__xludf.DUMMYFUNCTION("""COMPUTED_VALUE"""),"huynhanh5999@gmail.com")</f>
        <v>huynhanh5999@gmail.com</v>
      </c>
      <c r="K104" s="122">
        <f>IFERROR(__xludf.DUMMYFUNCTION("""COMPUTED_VALUE"""),1.27530367E8)</f>
        <v>127530367</v>
      </c>
      <c r="L104" s="122" t="str">
        <f>IFERROR(__xludf.DUMMYFUNCTION("""COMPUTED_VALUE"""),"TRAN THI VAN")</f>
        <v>TRAN THI VAN</v>
      </c>
      <c r="M104" s="122" t="str">
        <f>IFERROR(__xludf.DUMMYFUNCTION("""COMPUTED_VALUE"""),"VP Bank")</f>
        <v>VP Bank</v>
      </c>
      <c r="N104" s="122" t="str">
        <f>IFERROR(__xludf.DUMMYFUNCTION("""COMPUTED_VALUE"""),"s106 Vinhome smart city
")</f>
        <v>s106 Vinhome smart city
</v>
      </c>
      <c r="O104" s="122"/>
      <c r="P104" s="123" t="str">
        <f>IFERROR(__xludf.DUMMYFUNCTION("""COMPUTED_VALUE"""),"Mến")</f>
        <v>Mến</v>
      </c>
      <c r="Q104" s="122"/>
      <c r="R104" s="122" t="str">
        <f>IFERROR(__xludf.DUMMYFUNCTION("""COMPUTED_VALUE"""),"INFANH789")</f>
        <v>INFANH789</v>
      </c>
      <c r="S104" s="124" t="str">
        <f>IFERROR(__xludf.DUMMYFUNCTION("""COMPUTED_VALUE"""),"https://yody.vn/?affcode=INFANH789")</f>
        <v>https://yody.vn/?affcode=INFANH789</v>
      </c>
    </row>
    <row r="105">
      <c r="A105" s="122" t="str">
        <f>IFERROR(__xludf.DUMMYFUNCTION("""COMPUTED_VALUE"""),"INFHUONG005")</f>
        <v>INFHUONG005</v>
      </c>
      <c r="B105" s="122" t="str">
        <f>IFERROR(__xludf.DUMMYFUNCTION("""COMPUTED_VALUE"""),"
podaynhe")</f>
        <v>
podaynhe</v>
      </c>
      <c r="C105" s="124" t="str">
        <f>IFERROR(__xludf.DUMMYFUNCTION("""COMPUTED_VALUE"""),"TIKTOK")</f>
        <v>TIKTOK</v>
      </c>
      <c r="D105" s="122"/>
      <c r="E105" s="122" t="str">
        <f>IFERROR(__xludf.DUMMYFUNCTION("""COMPUTED_VALUE"""),"813.3K")</f>
        <v>813.3K</v>
      </c>
      <c r="F105" s="122" t="str">
        <f>IFERROR(__xludf.DUMMYFUNCTION("""COMPUTED_VALUE""")," Nguyễn Ngọc Lan Hương")</f>
        <v> Nguyễn Ngọc Lan Hương</v>
      </c>
      <c r="G105" s="126">
        <f>IFERROR(__xludf.DUMMYFUNCTION("""COMPUTED_VALUE"""),38605.0)</f>
        <v>38605</v>
      </c>
      <c r="H105" s="122">
        <f>IFERROR(__xludf.DUMMYFUNCTION("""COMPUTED_VALUE"""),1.305010048E9)</f>
        <v>1305010048</v>
      </c>
      <c r="I105" s="122" t="str">
        <f>IFERROR(__xludf.DUMMYFUNCTION("""COMPUTED_VALUE"""),"0344862005")</f>
        <v>0344862005</v>
      </c>
      <c r="J105" s="122" t="str">
        <f>IFERROR(__xludf.DUMMYFUNCTION("""COMPUTED_VALUE"""),"huongnguyen091005@gmail.com")</f>
        <v>huongnguyen091005@gmail.com</v>
      </c>
      <c r="K105" s="122">
        <f>IFERROR(__xludf.DUMMYFUNCTION("""COMPUTED_VALUE"""),1.27530367E8)</f>
        <v>127530367</v>
      </c>
      <c r="L105" s="122" t="str">
        <f>IFERROR(__xludf.DUMMYFUNCTION("""COMPUTED_VALUE"""),"TRAN THI VAN")</f>
        <v>TRAN THI VAN</v>
      </c>
      <c r="M105" s="122" t="str">
        <f>IFERROR(__xludf.DUMMYFUNCTION("""COMPUTED_VALUE"""),"VP Bank")</f>
        <v>VP Bank</v>
      </c>
      <c r="N105" s="122" t="str">
        <f>IFERROR(__xludf.DUMMYFUNCTION("""COMPUTED_VALUE"""),"26 Chùa Hà, Quan Hoa, Cầu Giấy, Hà Nội ")</f>
        <v>26 Chùa Hà, Quan Hoa, Cầu Giấy, Hà Nội </v>
      </c>
      <c r="O105" s="122"/>
      <c r="P105" s="123" t="str">
        <f>IFERROR(__xludf.DUMMYFUNCTION("""COMPUTED_VALUE"""),"Mến")</f>
        <v>Mến</v>
      </c>
      <c r="Q105" s="122"/>
      <c r="R105" s="122" t="str">
        <f>IFERROR(__xludf.DUMMYFUNCTION("""COMPUTED_VALUE"""),"INFHUONG005")</f>
        <v>INFHUONG005</v>
      </c>
      <c r="S105" s="124" t="str">
        <f>IFERROR(__xludf.DUMMYFUNCTION("""COMPUTED_VALUE"""),"https://yody.vn/?affcode=INFHUONG005")</f>
        <v>https://yody.vn/?affcode=INFHUONG005</v>
      </c>
    </row>
    <row r="106">
      <c r="A106" s="122" t="str">
        <f>IFERROR(__xludf.DUMMYFUNCTION("""COMPUTED_VALUE"""),"INFHIEN866")</f>
        <v>INFHIEN866</v>
      </c>
      <c r="B106" s="122" t="str">
        <f>IFERROR(__xludf.DUMMYFUNCTION("""COMPUTED_VALUE"""),"thuonghienn")</f>
        <v>thuonghienn</v>
      </c>
      <c r="C106" s="124" t="str">
        <f>IFERROR(__xludf.DUMMYFUNCTION("""COMPUTED_VALUE"""),"TIKTOK")</f>
        <v>TIKTOK</v>
      </c>
      <c r="D106" s="122"/>
      <c r="E106" s="122" t="str">
        <f>IFERROR(__xludf.DUMMYFUNCTION("""COMPUTED_VALUE"""),"355.5K
")</f>
        <v>355.5K
</v>
      </c>
      <c r="F106" s="122" t="str">
        <f>IFERROR(__xludf.DUMMYFUNCTION("""COMPUTED_VALUE"""),"Phạm Hoàng Thương Hiền")</f>
        <v>Phạm Hoàng Thương Hiền</v>
      </c>
      <c r="G106" s="122" t="str">
        <f>IFERROR(__xludf.DUMMYFUNCTION("""COMPUTED_VALUE"""),"19/11/1996")</f>
        <v>19/11/1996</v>
      </c>
      <c r="H106" s="122">
        <f>IFERROR(__xludf.DUMMYFUNCTION("""COMPUTED_VALUE"""),1.01227589E8)</f>
        <v>101227589</v>
      </c>
      <c r="I106" s="122" t="str">
        <f>IFERROR(__xludf.DUMMYFUNCTION("""COMPUTED_VALUE"""),"0918508866")</f>
        <v>0918508866</v>
      </c>
      <c r="J106" s="122" t="str">
        <f>IFERROR(__xludf.DUMMYFUNCTION("""COMPUTED_VALUE"""),"Thuonghienn@gmail.com")</f>
        <v>Thuonghienn@gmail.com</v>
      </c>
      <c r="K106" s="122">
        <f>IFERROR(__xludf.DUMMYFUNCTION("""COMPUTED_VALUE"""),1.27530367E8)</f>
        <v>127530367</v>
      </c>
      <c r="L106" s="122" t="str">
        <f>IFERROR(__xludf.DUMMYFUNCTION("""COMPUTED_VALUE"""),"TRAN THI VAN")</f>
        <v>TRAN THI VAN</v>
      </c>
      <c r="M106" s="122" t="str">
        <f>IFERROR(__xludf.DUMMYFUNCTION("""COMPUTED_VALUE"""),"VP Bank")</f>
        <v>VP Bank</v>
      </c>
      <c r="N106" s="122" t="str">
        <f>IFERROR(__xludf.DUMMYFUNCTION("""COMPUTED_VALUE"""),"S106 Vinhome smart city Tây Mỗ, Nam Từ Liêm, Hà Nội")</f>
        <v>S106 Vinhome smart city Tây Mỗ, Nam Từ Liêm, Hà Nội</v>
      </c>
      <c r="O106" s="122"/>
      <c r="P106" s="123" t="str">
        <f>IFERROR(__xludf.DUMMYFUNCTION("""COMPUTED_VALUE"""),"Mến")</f>
        <v>Mến</v>
      </c>
      <c r="Q106" s="122"/>
      <c r="R106" s="122" t="str">
        <f>IFERROR(__xludf.DUMMYFUNCTION("""COMPUTED_VALUE"""),"INFHIEN866")</f>
        <v>INFHIEN866</v>
      </c>
      <c r="S106" s="124" t="str">
        <f>IFERROR(__xludf.DUMMYFUNCTION("""COMPUTED_VALUE"""),"https://yody.vn/?affcode=INFHIEN866")</f>
        <v>https://yody.vn/?affcode=INFHIEN866</v>
      </c>
    </row>
    <row r="107">
      <c r="A107" s="122" t="str">
        <f>IFERROR(__xludf.DUMMYFUNCTION("""COMPUTED_VALUE"""),"INFHUYEN889")</f>
        <v>INFHUYEN889</v>
      </c>
      <c r="B107" s="122" t="str">
        <f>IFERROR(__xludf.DUMMYFUNCTION("""COMPUTED_VALUE"""),"Nguyễn Thanh Huyền")</f>
        <v>Nguyễn Thanh Huyền</v>
      </c>
      <c r="C107" s="124" t="str">
        <f>IFERROR(__xludf.DUMMYFUNCTION("""COMPUTED_VALUE"""),"Fb")</f>
        <v>Fb</v>
      </c>
      <c r="D107" s="122"/>
      <c r="E107" s="122" t="str">
        <f>IFERROR(__xludf.DUMMYFUNCTION("""COMPUTED_VALUE"""),"258k")</f>
        <v>258k</v>
      </c>
      <c r="F107" s="122" t="str">
        <f>IFERROR(__xludf.DUMMYFUNCTION("""COMPUTED_VALUE"""),"Nguyễn Thanh Huyền")</f>
        <v>Nguyễn Thanh Huyền</v>
      </c>
      <c r="G107" s="122">
        <f>IFERROR(__xludf.DUMMYFUNCTION("""COMPUTED_VALUE"""),1981.0)</f>
        <v>1981</v>
      </c>
      <c r="H107" s="122">
        <f>IFERROR(__xludf.DUMMYFUNCTION("""COMPUTED_VALUE"""),1.21355654E8)</f>
        <v>121355654</v>
      </c>
      <c r="I107" s="122">
        <f>IFERROR(__xludf.DUMMYFUNCTION("""COMPUTED_VALUE"""),9.04177889E8)</f>
        <v>904177889</v>
      </c>
      <c r="J107" s="122" t="str">
        <f>IFERROR(__xludf.DUMMYFUNCTION("""COMPUTED_VALUE"""),"thanhhuyen.bg81@gmail.com")</f>
        <v>thanhhuyen.bg81@gmail.com</v>
      </c>
      <c r="K107" s="122">
        <f>IFERROR(__xludf.DUMMYFUNCTION("""COMPUTED_VALUE"""),1.9032361721888E13)</f>
        <v>19032361721888</v>
      </c>
      <c r="L107" s="122" t="str">
        <f>IFERROR(__xludf.DUMMYFUNCTION("""COMPUTED_VALUE"""),"Nguyen Thanh Huyen ")</f>
        <v>Nguyen Thanh Huyen </v>
      </c>
      <c r="M107" s="122" t="str">
        <f>IFERROR(__xludf.DUMMYFUNCTION("""COMPUTED_VALUE"""),"Techcombank")</f>
        <v>Techcombank</v>
      </c>
      <c r="N107" s="122" t="str">
        <f>IFERROR(__xludf.DUMMYFUNCTION("""COMPUTED_VALUE"""),"Chung cư Bách Việt, phường Dĩnh Kế.Tp.Bắc Giang")</f>
        <v>Chung cư Bách Việt, phường Dĩnh Kế.Tp.Bắc Giang</v>
      </c>
      <c r="O107" s="122"/>
      <c r="P107" s="123" t="str">
        <f>IFERROR(__xludf.DUMMYFUNCTION("""COMPUTED_VALUE"""),"Hoa")</f>
        <v>Hoa</v>
      </c>
      <c r="Q107" s="122"/>
      <c r="R107" s="122" t="str">
        <f>IFERROR(__xludf.DUMMYFUNCTION("""COMPUTED_VALUE"""),"INFHUYEN889")</f>
        <v>INFHUYEN889</v>
      </c>
      <c r="S107" s="124" t="str">
        <f>IFERROR(__xludf.DUMMYFUNCTION("""COMPUTED_VALUE"""),"http://yody.vn?affcode=INFHUYEN889")</f>
        <v>http://yody.vn?affcode=INFHUYEN889</v>
      </c>
    </row>
    <row r="108">
      <c r="A108" s="122" t="str">
        <f>IFERROR(__xludf.DUMMYFUNCTION("""COMPUTED_VALUE"""),"INFDUC356")</f>
        <v>INFDUC356</v>
      </c>
      <c r="B108" s="122" t="str">
        <f>IFERROR(__xludf.DUMMYFUNCTION("""COMPUTED_VALUE"""),"Đức và My")</f>
        <v>Đức và My</v>
      </c>
      <c r="C108" s="124" t="str">
        <f>IFERROR(__xludf.DUMMYFUNCTION("""COMPUTED_VALUE"""),"tiktok")</f>
        <v>tiktok</v>
      </c>
      <c r="D108" s="122"/>
      <c r="E108" s="122" t="str">
        <f>IFERROR(__xludf.DUMMYFUNCTION("""COMPUTED_VALUE"""),"50,3k")</f>
        <v>50,3k</v>
      </c>
      <c r="F108" s="122" t="str">
        <f>IFERROR(__xludf.DUMMYFUNCTION("""COMPUTED_VALUE"""),"Nguyễn Duy Đức")</f>
        <v>Nguyễn Duy Đức</v>
      </c>
      <c r="G108" s="126">
        <f>IFERROR(__xludf.DUMMYFUNCTION("""COMPUTED_VALUE"""),37294.0)</f>
        <v>37294</v>
      </c>
      <c r="H108" s="122" t="str">
        <f>IFERROR(__xludf.DUMMYFUNCTION("""COMPUTED_VALUE"""),"001202004556")</f>
        <v>001202004556</v>
      </c>
      <c r="I108" s="122" t="str">
        <f>IFERROR(__xludf.DUMMYFUNCTION("""COMPUTED_VALUE"""),"0343395356")</f>
        <v>0343395356</v>
      </c>
      <c r="J108" s="122" t="str">
        <f>IFERROR(__xludf.DUMMYFUNCTION("""COMPUTED_VALUE"""),"ducvamybusiness@gmail.com")</f>
        <v>ducvamybusiness@gmail.com</v>
      </c>
      <c r="K108" s="122">
        <f>IFERROR(__xludf.DUMMYFUNCTION("""COMPUTED_VALUE"""),1.9032465811889E13)</f>
        <v>19032465811889</v>
      </c>
      <c r="L108" s="122" t="str">
        <f>IFERROR(__xludf.DUMMYFUNCTION("""COMPUTED_VALUE"""),"Nguyen Duy Duc")</f>
        <v>Nguyen Duy Duc</v>
      </c>
      <c r="M108" s="122" t="str">
        <f>IFERROR(__xludf.DUMMYFUNCTION("""COMPUTED_VALUE"""),"Techcombank  ")</f>
        <v>Techcombank  </v>
      </c>
      <c r="N108" s="122" t="str">
        <f>IFERROR(__xludf.DUMMYFUNCTION("""COMPUTED_VALUE"""),"Giải Phóng, Thanh Xuân, Hà Nội")</f>
        <v>Giải Phóng, Thanh Xuân, Hà Nội</v>
      </c>
      <c r="O108" s="122" t="str">
        <f>IFERROR(__xludf.DUMMYFUNCTION("""COMPUTED_VALUE"""),"Hoa")</f>
        <v>Hoa</v>
      </c>
      <c r="P108" s="123" t="str">
        <f>IFERROR(__xludf.DUMMYFUNCTION("""COMPUTED_VALUE"""),"Hoa")</f>
        <v>Hoa</v>
      </c>
      <c r="Q108" s="122"/>
      <c r="R108" s="122" t="str">
        <f>IFERROR(__xludf.DUMMYFUNCTION("""COMPUTED_VALUE"""),"INFDUC356")</f>
        <v>INFDUC356</v>
      </c>
      <c r="S108" s="124" t="str">
        <f>IFERROR(__xludf.DUMMYFUNCTION("""COMPUTED_VALUE"""),"http://yody.vn?affcode=INFDUC356")</f>
        <v>http://yody.vn?affcode=INFDUC356</v>
      </c>
    </row>
    <row r="109">
      <c r="A109" s="122" t="str">
        <f>IFERROR(__xludf.DUMMYFUNCTION("""COMPUTED_VALUE"""),"INFTRANG994")</f>
        <v>INFTRANG994</v>
      </c>
      <c r="B109" s="122" t="str">
        <f>IFERROR(__xludf.DUMMYFUNCTION("""COMPUTED_VALUE"""),"Trang Rừng")</f>
        <v>Trang Rừng</v>
      </c>
      <c r="C109" s="124" t="str">
        <f>IFERROR(__xludf.DUMMYFUNCTION("""COMPUTED_VALUE"""),"tiktok")</f>
        <v>tiktok</v>
      </c>
      <c r="D109" s="122"/>
      <c r="E109" s="122" t="str">
        <f>IFERROR(__xludf.DUMMYFUNCTION("""COMPUTED_VALUE"""),"1,2M")</f>
        <v>1,2M</v>
      </c>
      <c r="F109" s="122" t="str">
        <f>IFERROR(__xludf.DUMMYFUNCTION("""COMPUTED_VALUE"""),"Nguyễn Thị Thu Trang")</f>
        <v>Nguyễn Thị Thu Trang</v>
      </c>
      <c r="G109" s="122" t="str">
        <f>IFERROR(__xludf.DUMMYFUNCTION("""COMPUTED_VALUE"""),"20/08/2001")</f>
        <v>20/08/2001</v>
      </c>
      <c r="H109" s="122" t="str">
        <f>IFERROR(__xludf.DUMMYFUNCTION("""COMPUTED_VALUE"""),"033301006688")</f>
        <v>033301006688</v>
      </c>
      <c r="I109" s="122" t="str">
        <f>IFERROR(__xludf.DUMMYFUNCTION("""COMPUTED_VALUE"""),"0356356994")</f>
        <v>0356356994</v>
      </c>
      <c r="J109" s="122" t="str">
        <f>IFERROR(__xludf.DUMMYFUNCTION("""COMPUTED_VALUE"""),"Hihitrang2008@gmail.com")</f>
        <v>Hihitrang2008@gmail.com</v>
      </c>
      <c r="K109" s="122">
        <f>IFERROR(__xludf.DUMMYFUNCTION("""COMPUTED_VALUE"""),2.29331345E8)</f>
        <v>229331345</v>
      </c>
      <c r="L109" s="122" t="str">
        <f>IFERROR(__xludf.DUMMYFUNCTION("""COMPUTED_VALUE"""),"Nguyen Thi Thu Trang")</f>
        <v>Nguyen Thi Thu Trang</v>
      </c>
      <c r="M109" s="122" t="str">
        <f>IFERROR(__xludf.DUMMYFUNCTION("""COMPUTED_VALUE"""),"VP bank ")</f>
        <v>VP bank </v>
      </c>
      <c r="N109" s="122" t="str">
        <f>IFERROR(__xludf.DUMMYFUNCTION("""COMPUTED_VALUE"""),"Ninh Dương, Móng Cái Quảng Ninh")</f>
        <v>Ninh Dương, Móng Cái Quảng Ninh</v>
      </c>
      <c r="O109" s="122" t="str">
        <f>IFERROR(__xludf.DUMMYFUNCTION("""COMPUTED_VALUE"""),"Hoa")</f>
        <v>Hoa</v>
      </c>
      <c r="P109" s="123" t="str">
        <f>IFERROR(__xludf.DUMMYFUNCTION("""COMPUTED_VALUE"""),"Hoa")</f>
        <v>Hoa</v>
      </c>
      <c r="Q109" s="122"/>
      <c r="R109" s="122" t="str">
        <f>IFERROR(__xludf.DUMMYFUNCTION("""COMPUTED_VALUE"""),"INFTRANG994")</f>
        <v>INFTRANG994</v>
      </c>
      <c r="S109" s="124" t="str">
        <f>IFERROR(__xludf.DUMMYFUNCTION("""COMPUTED_VALUE"""),"http://yody.vn?affcode=INFTRANG994")</f>
        <v>http://yody.vn?affcode=INFTRANG994</v>
      </c>
    </row>
    <row r="110">
      <c r="A110" s="122" t="str">
        <f>IFERROR(__xludf.DUMMYFUNCTION("""COMPUTED_VALUE"""),"INFTHU885")</f>
        <v>INFTHU885</v>
      </c>
      <c r="B110" s="122" t="str">
        <f>IFERROR(__xludf.DUMMYFUNCTION("""COMPUTED_VALUE"""),"Thu Pin")</f>
        <v>Thu Pin</v>
      </c>
      <c r="C110" s="124" t="str">
        <f>IFERROR(__xludf.DUMMYFUNCTION("""COMPUTED_VALUE"""),"tiktok")</f>
        <v>tiktok</v>
      </c>
      <c r="D110" s="122"/>
      <c r="E110" s="122" t="str">
        <f>IFERROR(__xludf.DUMMYFUNCTION("""COMPUTED_VALUE"""),"565,7k")</f>
        <v>565,7k</v>
      </c>
      <c r="F110" s="122" t="str">
        <f>IFERROR(__xludf.DUMMYFUNCTION("""COMPUTED_VALUE"""),"Nguyễn Thị Thu")</f>
        <v>Nguyễn Thị Thu</v>
      </c>
      <c r="G110" s="126">
        <f>IFERROR(__xludf.DUMMYFUNCTION("""COMPUTED_VALUE"""),36900.0)</f>
        <v>36900</v>
      </c>
      <c r="H110" s="122" t="str">
        <f>IFERROR(__xludf.DUMMYFUNCTION("""COMPUTED_VALUE"""),"034301001473")</f>
        <v>034301001473</v>
      </c>
      <c r="I110" s="122" t="str">
        <f>IFERROR(__xludf.DUMMYFUNCTION("""COMPUTED_VALUE"""),"0375433885")</f>
        <v>0375433885</v>
      </c>
      <c r="J110" s="122" t="str">
        <f>IFERROR(__xludf.DUMMYFUNCTION("""COMPUTED_VALUE"""),"nguyenthithu2001kt@gmail.com")</f>
        <v>nguyenthithu2001kt@gmail.com</v>
      </c>
      <c r="K110" s="122">
        <f>IFERROR(__xludf.DUMMYFUNCTION("""COMPUTED_VALUE"""),4.711000158292E13)</f>
        <v>47110001582920</v>
      </c>
      <c r="L110" s="122" t="str">
        <f>IFERROR(__xludf.DUMMYFUNCTION("""COMPUTED_VALUE"""),"Nguyen Thi Thu")</f>
        <v>Nguyen Thi Thu</v>
      </c>
      <c r="M110" s="122" t="str">
        <f>IFERROR(__xludf.DUMMYFUNCTION("""COMPUTED_VALUE"""),"BIDV  ")</f>
        <v>BIDV  </v>
      </c>
      <c r="N110" s="122" t="str">
        <f>IFERROR(__xludf.DUMMYFUNCTION("""COMPUTED_VALUE"""),"Kiều trai- minh tân-hưng hà-thái bình")</f>
        <v>Kiều trai- minh tân-hưng hà-thái bình</v>
      </c>
      <c r="O110" s="122" t="str">
        <f>IFERROR(__xludf.DUMMYFUNCTION("""COMPUTED_VALUE"""),"Hoa")</f>
        <v>Hoa</v>
      </c>
      <c r="P110" s="123" t="str">
        <f>IFERROR(__xludf.DUMMYFUNCTION("""COMPUTED_VALUE"""),"Hoa")</f>
        <v>Hoa</v>
      </c>
      <c r="Q110" s="122"/>
      <c r="R110" s="122" t="str">
        <f>IFERROR(__xludf.DUMMYFUNCTION("""COMPUTED_VALUE"""),"INFTHU885")</f>
        <v>INFTHU885</v>
      </c>
      <c r="S110" s="124" t="str">
        <f>IFERROR(__xludf.DUMMYFUNCTION("""COMPUTED_VALUE"""),"http://yody.vn?affcode=INFTHU885")</f>
        <v>http://yody.vn?affcode=INFTHU885</v>
      </c>
    </row>
    <row r="111">
      <c r="A111" s="122" t="str">
        <f>IFERROR(__xludf.DUMMYFUNCTION("""COMPUTED_VALUE"""),"INFPHONG346")</f>
        <v>INFPHONG346</v>
      </c>
      <c r="B111" s="122" t="str">
        <f>IFERROR(__xludf.DUMMYFUNCTION("""COMPUTED_VALUE"""),"Nguyễn Bá Phong")</f>
        <v>Nguyễn Bá Phong</v>
      </c>
      <c r="C111" s="124" t="str">
        <f>IFERROR(__xludf.DUMMYFUNCTION("""COMPUTED_VALUE"""),"Tiktok")</f>
        <v>Tiktok</v>
      </c>
      <c r="D111" s="122"/>
      <c r="E111" s="122" t="str">
        <f>IFERROR(__xludf.DUMMYFUNCTION("""COMPUTED_VALUE"""),"301,7")</f>
        <v>301,7</v>
      </c>
      <c r="F111" s="122" t="str">
        <f>IFERROR(__xludf.DUMMYFUNCTION("""COMPUTED_VALUE"""),"Nguyễn Bá Phong")</f>
        <v>Nguyễn Bá Phong</v>
      </c>
      <c r="G111" s="122">
        <f>IFERROR(__xludf.DUMMYFUNCTION("""COMPUTED_VALUE"""),1999.0)</f>
        <v>1999</v>
      </c>
      <c r="H111" s="122">
        <f>IFERROR(__xludf.DUMMYFUNCTION("""COMPUTED_VALUE"""),1.87823923E8)</f>
        <v>187823923</v>
      </c>
      <c r="I111" s="122">
        <f>IFERROR(__xludf.DUMMYFUNCTION("""COMPUTED_VALUE"""),3.82106346E8)</f>
        <v>382106346</v>
      </c>
      <c r="J111" s="122" t="str">
        <f>IFERROR(__xludf.DUMMYFUNCTION("""COMPUTED_VALUE"""),"Maimaiyeuemnhuthe099@gmail.com")</f>
        <v>Maimaiyeuemnhuthe099@gmail.com</v>
      </c>
      <c r="K111" s="122">
        <f>IFERROR(__xludf.DUMMYFUNCTION("""COMPUTED_VALUE"""),1.9033482702011E13)</f>
        <v>19033482702011</v>
      </c>
      <c r="L111" s="122" t="str">
        <f>IFERROR(__xludf.DUMMYFUNCTION("""COMPUTED_VALUE"""),"Nguyễn Bá Phong ")</f>
        <v>Nguyễn Bá Phong </v>
      </c>
      <c r="M111" s="122" t="str">
        <f>IFERROR(__xludf.DUMMYFUNCTION("""COMPUTED_VALUE"""),"Techcombank")</f>
        <v>Techcombank</v>
      </c>
      <c r="N111" s="122" t="str">
        <f>IFERROR(__xludf.DUMMYFUNCTION("""COMPUTED_VALUE"""),"Số 23 đường Bạch Mai phường Cầu Dền quận Hai Bà Trưng Hà Nội")</f>
        <v>Số 23 đường Bạch Mai phường Cầu Dền quận Hai Bà Trưng Hà Nội</v>
      </c>
      <c r="O111" s="122" t="str">
        <f>IFERROR(__xludf.DUMMYFUNCTION("""COMPUTED_VALUE"""),"Hiên")</f>
        <v>Hiên</v>
      </c>
      <c r="P111" s="123" t="str">
        <f>IFERROR(__xludf.DUMMYFUNCTION("""COMPUTED_VALUE"""),"Hoa")</f>
        <v>Hoa</v>
      </c>
      <c r="Q111" s="122"/>
      <c r="R111" s="122" t="str">
        <f>IFERROR(__xludf.DUMMYFUNCTION("""COMPUTED_VALUE"""),"INFPHONG346")</f>
        <v>INFPHONG346</v>
      </c>
      <c r="S111" s="124" t="str">
        <f>IFERROR(__xludf.DUMMYFUNCTION("""COMPUTED_VALUE"""),"http://yody.vn?affcode=INFPHONG346")</f>
        <v>http://yody.vn?affcode=INFPHONG346</v>
      </c>
    </row>
    <row r="112">
      <c r="A112" s="122" t="str">
        <f>IFERROR(__xludf.DUMMYFUNCTION("""COMPUTED_VALUE"""),"INFTHY605")</f>
        <v>INFTHY605</v>
      </c>
      <c r="B112" s="122" t="str">
        <f>IFERROR(__xludf.DUMMYFUNCTION("""COMPUTED_VALUE"""),"Đông Thy")</f>
        <v>Đông Thy</v>
      </c>
      <c r="C112" s="124" t="str">
        <f>IFERROR(__xludf.DUMMYFUNCTION("""COMPUTED_VALUE"""),"tiktok")</f>
        <v>tiktok</v>
      </c>
      <c r="D112" s="124" t="str">
        <f>IFERROR(__xludf.DUMMYFUNCTION("""COMPUTED_VALUE"""),"fb")</f>
        <v>fb</v>
      </c>
      <c r="E112" s="122" t="str">
        <f>IFERROR(__xludf.DUMMYFUNCTION("""COMPUTED_VALUE"""),"122,6k / 49,6k")</f>
        <v>122,6k / 49,6k</v>
      </c>
      <c r="F112" s="122" t="str">
        <f>IFERROR(__xludf.DUMMYFUNCTION("""COMPUTED_VALUE"""),"Nguyễn Thị Đông Thy")</f>
        <v>Nguyễn Thị Đông Thy</v>
      </c>
      <c r="G112" s="125">
        <f>IFERROR(__xludf.DUMMYFUNCTION("""COMPUTED_VALUE"""),38635.0)</f>
        <v>38635</v>
      </c>
      <c r="H112" s="122"/>
      <c r="I112" s="122" t="str">
        <f>IFERROR(__xludf.DUMMYFUNCTION("""COMPUTED_VALUE"""),"0777455605")</f>
        <v>0777455605</v>
      </c>
      <c r="J112" s="122" t="str">
        <f>IFERROR(__xludf.DUMMYFUNCTION("""COMPUTED_VALUE"""),"dongthy1304@gmail.com")</f>
        <v>dongthy1304@gmail.com</v>
      </c>
      <c r="K112" s="122">
        <f>IFERROR(__xludf.DUMMYFUNCTION("""COMPUTED_VALUE"""),7.76613042003E11)</f>
        <v>776613042003</v>
      </c>
      <c r="L112" s="122" t="str">
        <f>IFERROR(__xludf.DUMMYFUNCTION("""COMPUTED_VALUE"""),"NGO THIEN VIEN ")</f>
        <v>NGO THIEN VIEN </v>
      </c>
      <c r="M112" s="122" t="str">
        <f>IFERROR(__xludf.DUMMYFUNCTION("""COMPUTED_VALUE"""),"MB BANK")</f>
        <v>MB BANK</v>
      </c>
      <c r="N112" s="122" t="str">
        <f>IFERROR(__xludf.DUMMYFUNCTION("""COMPUTED_VALUE"""),"K156 Nguyễn Phan Vinh Sơn Trà Đà Nẵng")</f>
        <v>K156 Nguyễn Phan Vinh Sơn Trà Đà Nẵng</v>
      </c>
      <c r="O112" s="122" t="str">
        <f>IFERROR(__xludf.DUMMYFUNCTION("""COMPUTED_VALUE"""),"Hoa")</f>
        <v>Hoa</v>
      </c>
      <c r="P112" s="123" t="str">
        <f>IFERROR(__xludf.DUMMYFUNCTION("""COMPUTED_VALUE"""),"Hoa")</f>
        <v>Hoa</v>
      </c>
      <c r="Q112" s="122"/>
      <c r="R112" s="122" t="str">
        <f>IFERROR(__xludf.DUMMYFUNCTION("""COMPUTED_VALUE"""),"INFTHY605")</f>
        <v>INFTHY605</v>
      </c>
      <c r="S112" s="124" t="str">
        <f>IFERROR(__xludf.DUMMYFUNCTION("""COMPUTED_VALUE"""),"http://yody.vn?affcode=INFTHY605")</f>
        <v>http://yody.vn?affcode=INFTHY605</v>
      </c>
    </row>
    <row r="113">
      <c r="A113" s="122" t="str">
        <f>IFERROR(__xludf.DUMMYFUNCTION("""COMPUTED_VALUE"""),"INFVI950")</f>
        <v>INFVI950</v>
      </c>
      <c r="B113" s="122" t="str">
        <f>IFERROR(__xludf.DUMMYFUNCTION("""COMPUTED_VALUE"""),"Cẩu Lương Mỗi Ngày")</f>
        <v>Cẩu Lương Mỗi Ngày</v>
      </c>
      <c r="C113" s="124" t="str">
        <f>IFERROR(__xludf.DUMMYFUNCTION("""COMPUTED_VALUE"""),"tiktok")</f>
        <v>tiktok</v>
      </c>
      <c r="D113" s="122"/>
      <c r="E113" s="122" t="str">
        <f>IFERROR(__xludf.DUMMYFUNCTION("""COMPUTED_VALUE"""),"355,7k")</f>
        <v>355,7k</v>
      </c>
      <c r="F113" s="122" t="str">
        <f>IFERROR(__xludf.DUMMYFUNCTION("""COMPUTED_VALUE"""),"Tăng Yến Vi")</f>
        <v>Tăng Yến Vi</v>
      </c>
      <c r="G113" s="122" t="str">
        <f>IFERROR(__xludf.DUMMYFUNCTION("""COMPUTED_VALUE"""),"19/02/2000")</f>
        <v>19/02/2000</v>
      </c>
      <c r="H113" s="122" t="str">
        <f>IFERROR(__xludf.DUMMYFUNCTION("""COMPUTED_VALUE"""),"022300001882")</f>
        <v>022300001882</v>
      </c>
      <c r="I113" s="122" t="str">
        <f>IFERROR(__xludf.DUMMYFUNCTION("""COMPUTED_VALUE"""),"0987985950")</f>
        <v>0987985950</v>
      </c>
      <c r="J113" s="122" t="str">
        <f>IFERROR(__xludf.DUMMYFUNCTION("""COMPUTED_VALUE"""),"trantruonng9@gmail.com ")</f>
        <v>trantruonng9@gmail.com </v>
      </c>
      <c r="K113" s="122" t="str">
        <f>IFERROR(__xludf.DUMMYFUNCTION("""COMPUTED_VALUE"""),"19035582500011 ")</f>
        <v>19035582500011 </v>
      </c>
      <c r="L113" s="122" t="str">
        <f>IFERROR(__xludf.DUMMYFUNCTION("""COMPUTED_VALUE"""),"Tang Yen Vi ")</f>
        <v>Tang Yen Vi </v>
      </c>
      <c r="M113" s="122" t="str">
        <f>IFERROR(__xludf.DUMMYFUNCTION("""COMPUTED_VALUE"""),"Techcombank chi nhánh Hoàng Gia")</f>
        <v>Techcombank chi nhánh Hoàng Gia</v>
      </c>
      <c r="N113" s="122" t="str">
        <f>IFERROR(__xludf.DUMMYFUNCTION("""COMPUTED_VALUE"""),"LK06, dự án Belleville, đường Mạc Thái Tổ, Cầu Giấy, Hà Nội")</f>
        <v>LK06, dự án Belleville, đường Mạc Thái Tổ, Cầu Giấy, Hà Nội</v>
      </c>
      <c r="O113" s="122" t="str">
        <f>IFERROR(__xludf.DUMMYFUNCTION("""COMPUTED_VALUE"""),"Hoa")</f>
        <v>Hoa</v>
      </c>
      <c r="P113" s="123" t="str">
        <f>IFERROR(__xludf.DUMMYFUNCTION("""COMPUTED_VALUE"""),"Hoa")</f>
        <v>Hoa</v>
      </c>
      <c r="Q113" s="122"/>
      <c r="R113" s="122" t="str">
        <f>IFERROR(__xludf.DUMMYFUNCTION("""COMPUTED_VALUE"""),"INFVI950")</f>
        <v>INFVI950</v>
      </c>
      <c r="S113" s="124" t="str">
        <f>IFERROR(__xludf.DUMMYFUNCTION("""COMPUTED_VALUE"""),"https://yody.vn/?affcode=INFVI950")</f>
        <v>https://yody.vn/?affcode=INFVI950</v>
      </c>
    </row>
    <row r="114">
      <c r="A114" s="122" t="str">
        <f>IFERROR(__xludf.DUMMYFUNCTION("""COMPUTED_VALUE"""),"INFTHU737")</f>
        <v>INFTHU737</v>
      </c>
      <c r="B114" s="122" t="str">
        <f>IFERROR(__xludf.DUMMYFUNCTION("""COMPUTED_VALUE"""),"Thư Lê")</f>
        <v>Thư Lê</v>
      </c>
      <c r="C114" s="124" t="str">
        <f>IFERROR(__xludf.DUMMYFUNCTION("""COMPUTED_VALUE"""),"tiktok")</f>
        <v>tiktok</v>
      </c>
      <c r="D114" s="122"/>
      <c r="E114" s="122" t="str">
        <f>IFERROR(__xludf.DUMMYFUNCTION("""COMPUTED_VALUE"""),"119,1k")</f>
        <v>119,1k</v>
      </c>
      <c r="F114" s="122" t="str">
        <f>IFERROR(__xludf.DUMMYFUNCTION("""COMPUTED_VALUE"""),"Lê Thị Minh Thư")</f>
        <v>Lê Thị Minh Thư</v>
      </c>
      <c r="G114" s="126">
        <f>IFERROR(__xludf.DUMMYFUNCTION("""COMPUTED_VALUE"""),38049.0)</f>
        <v>38049</v>
      </c>
      <c r="H114" s="122" t="str">
        <f>IFERROR(__xludf.DUMMYFUNCTION("""COMPUTED_VALUE"""),"060304001283")</f>
        <v>060304001283</v>
      </c>
      <c r="I114" s="122" t="str">
        <f>IFERROR(__xludf.DUMMYFUNCTION("""COMPUTED_VALUE"""),"0373312737")</f>
        <v>0373312737</v>
      </c>
      <c r="J114" s="122" t="str">
        <f>IFERROR(__xludf.DUMMYFUNCTION("""COMPUTED_VALUE"""),"thuthu03032004@gmail.com")</f>
        <v>thuthu03032004@gmail.com</v>
      </c>
      <c r="K114" s="122">
        <f>IFERROR(__xludf.DUMMYFUNCTION("""COMPUTED_VALUE"""),1.02872834131E11)</f>
        <v>102872834131</v>
      </c>
      <c r="L114" s="122" t="str">
        <f>IFERROR(__xludf.DUMMYFUNCTION("""COMPUTED_VALUE"""),"Le thi minh thu")</f>
        <v>Le thi minh thu</v>
      </c>
      <c r="M114" s="122" t="str">
        <f>IFERROR(__xludf.DUMMYFUNCTION("""COMPUTED_VALUE"""),"vietinbank")</f>
        <v>vietinbank</v>
      </c>
      <c r="N114" s="122" t="str">
        <f>IFERROR(__xludf.DUMMYFUNCTION("""COMPUTED_VALUE"""),"26/Nguyễn Trãi/ Thị Trấn Thuận Nam/ Huyện Hàm Thuận Nam/ Bình Thuận")</f>
        <v>26/Nguyễn Trãi/ Thị Trấn Thuận Nam/ Huyện Hàm Thuận Nam/ Bình Thuận</v>
      </c>
      <c r="O114" s="122" t="str">
        <f>IFERROR(__xludf.DUMMYFUNCTION("""COMPUTED_VALUE"""),"Hoa")</f>
        <v>Hoa</v>
      </c>
      <c r="P114" s="123" t="str">
        <f>IFERROR(__xludf.DUMMYFUNCTION("""COMPUTED_VALUE"""),"Hoa")</f>
        <v>Hoa</v>
      </c>
      <c r="Q114" s="122"/>
      <c r="R114" s="122" t="str">
        <f>IFERROR(__xludf.DUMMYFUNCTION("""COMPUTED_VALUE"""),"INFTHU737")</f>
        <v>INFTHU737</v>
      </c>
      <c r="S114" s="124" t="str">
        <f>IFERROR(__xludf.DUMMYFUNCTION("""COMPUTED_VALUE"""),"https://yody.vn/?affcode=INFTHU737")</f>
        <v>https://yody.vn/?affcode=INFTHU737</v>
      </c>
    </row>
    <row r="115">
      <c r="A115" s="122" t="str">
        <f>IFERROR(__xludf.DUMMYFUNCTION("""COMPUTED_VALUE"""),"INFTHAO312")</f>
        <v>INFTHAO312</v>
      </c>
      <c r="B115" s="122" t="str">
        <f>IFERROR(__xludf.DUMMYFUNCTION("""COMPUTED_VALUE"""),"Thảo Choé")</f>
        <v>Thảo Choé</v>
      </c>
      <c r="C115" s="124" t="str">
        <f>IFERROR(__xludf.DUMMYFUNCTION("""COMPUTED_VALUE"""),"tiktok")</f>
        <v>tiktok</v>
      </c>
      <c r="D115" s="122"/>
      <c r="E115" s="122" t="str">
        <f>IFERROR(__xludf.DUMMYFUNCTION("""COMPUTED_VALUE"""),"618,3k")</f>
        <v>618,3k</v>
      </c>
      <c r="F115" s="122" t="str">
        <f>IFERROR(__xludf.DUMMYFUNCTION("""COMPUTED_VALUE"""),"Đào Văn Thảo")</f>
        <v>Đào Văn Thảo</v>
      </c>
      <c r="G115" s="122" t="str">
        <f>IFERROR(__xludf.DUMMYFUNCTION("""COMPUTED_VALUE"""),"14/02/1996")</f>
        <v>14/02/1996</v>
      </c>
      <c r="H115" s="122" t="str">
        <f>IFERROR(__xludf.DUMMYFUNCTION("""COMPUTED_VALUE"""),"001096018363")</f>
        <v>001096018363</v>
      </c>
      <c r="I115" s="122" t="str">
        <f>IFERROR(__xludf.DUMMYFUNCTION("""COMPUTED_VALUE"""),"0988993312")</f>
        <v>0988993312</v>
      </c>
      <c r="J115" s="122" t="str">
        <f>IFERROR(__xludf.DUMMYFUNCTION("""COMPUTED_VALUE"""),"Daovanthao95@gmail.com")</f>
        <v>Daovanthao95@gmail.com</v>
      </c>
      <c r="K115" s="122">
        <f>IFERROR(__xludf.DUMMYFUNCTION("""COMPUTED_VALUE"""),1.903503852401E13)</f>
        <v>19035038524010</v>
      </c>
      <c r="L115" s="122" t="str">
        <f>IFERROR(__xludf.DUMMYFUNCTION("""COMPUTED_VALUE"""),"dao van thao")</f>
        <v>dao van thao</v>
      </c>
      <c r="M115" s="122" t="str">
        <f>IFERROR(__xludf.DUMMYFUNCTION("""COMPUTED_VALUE"""),"Techcombank")</f>
        <v>Techcombank</v>
      </c>
      <c r="N115" s="122" t="str">
        <f>IFERROR(__xludf.DUMMYFUNCTION("""COMPUTED_VALUE"""),"121 quan hoa - cầu giấy - hà nội")</f>
        <v>121 quan hoa - cầu giấy - hà nội</v>
      </c>
      <c r="O115" s="122" t="str">
        <f>IFERROR(__xludf.DUMMYFUNCTION("""COMPUTED_VALUE"""),"Hoa")</f>
        <v>Hoa</v>
      </c>
      <c r="P115" s="123" t="str">
        <f>IFERROR(__xludf.DUMMYFUNCTION("""COMPUTED_VALUE"""),"Hoa")</f>
        <v>Hoa</v>
      </c>
      <c r="Q115" s="122"/>
      <c r="R115" s="122" t="str">
        <f>IFERROR(__xludf.DUMMYFUNCTION("""COMPUTED_VALUE"""),"INFTHAO312")</f>
        <v>INFTHAO312</v>
      </c>
      <c r="S115" s="124" t="str">
        <f>IFERROR(__xludf.DUMMYFUNCTION("""COMPUTED_VALUE"""),"https://yody.vn/?affcode=INFTHAO312")</f>
        <v>https://yody.vn/?affcode=INFTHAO312</v>
      </c>
    </row>
    <row r="116">
      <c r="A116" s="122" t="str">
        <f>IFERROR(__xludf.DUMMYFUNCTION("""COMPUTED_VALUE"""),"INFVI930")</f>
        <v>INFVI930</v>
      </c>
      <c r="B116" s="122" t="str">
        <f>IFERROR(__xludf.DUMMYFUNCTION("""COMPUTED_VALUE"""),"Nguoidepvaquaivat")</f>
        <v>Nguoidepvaquaivat</v>
      </c>
      <c r="C116" s="124" t="str">
        <f>IFERROR(__xludf.DUMMYFUNCTION("""COMPUTED_VALUE"""),"tiktok")</f>
        <v>tiktok</v>
      </c>
      <c r="D116" s="122"/>
      <c r="E116" s="122" t="str">
        <f>IFERROR(__xludf.DUMMYFUNCTION("""COMPUTED_VALUE"""),"658,1k")</f>
        <v>658,1k</v>
      </c>
      <c r="F116" s="122" t="str">
        <f>IFERROR(__xludf.DUMMYFUNCTION("""COMPUTED_VALUE"""),"Lê Hà Vi")</f>
        <v>Lê Hà Vi</v>
      </c>
      <c r="G116" s="125">
        <f>IFERROR(__xludf.DUMMYFUNCTION("""COMPUTED_VALUE"""),38333.0)</f>
        <v>38333</v>
      </c>
      <c r="H116" s="122" t="str">
        <f>IFERROR(__xludf.DUMMYFUNCTION("""COMPUTED_VALUE"""),"001304025310")</f>
        <v>001304025310</v>
      </c>
      <c r="I116" s="122" t="str">
        <f>IFERROR(__xludf.DUMMYFUNCTION("""COMPUTED_VALUE"""),"0984431930")</f>
        <v>0984431930</v>
      </c>
      <c r="J116" s="122" t="str">
        <f>IFERROR(__xludf.DUMMYFUNCTION("""COMPUTED_VALUE"""),"lehavi12122004@gmail.com")</f>
        <v>lehavi12122004@gmail.com</v>
      </c>
      <c r="K116" s="122">
        <f>IFERROR(__xludf.DUMMYFUNCTION("""COMPUTED_VALUE"""),9.8443193E8)</f>
        <v>984431930</v>
      </c>
      <c r="L116" s="122" t="str">
        <f>IFERROR(__xludf.DUMMYFUNCTION("""COMPUTED_VALUE"""),"Lê Hà Vi")</f>
        <v>Lê Hà Vi</v>
      </c>
      <c r="M116" s="122" t="str">
        <f>IFERROR(__xludf.DUMMYFUNCTION("""COMPUTED_VALUE"""),"mb bank")</f>
        <v>mb bank</v>
      </c>
      <c r="N116" s="122" t="str">
        <f>IFERROR(__xludf.DUMMYFUNCTION("""COMPUTED_VALUE"""),"22 ngách 36 ngõ thịnh quang quận đống đa hà nội")</f>
        <v>22 ngách 36 ngõ thịnh quang quận đống đa hà nội</v>
      </c>
      <c r="O116" s="122" t="str">
        <f>IFERROR(__xludf.DUMMYFUNCTION("""COMPUTED_VALUE"""),"Hoa")</f>
        <v>Hoa</v>
      </c>
      <c r="P116" s="123" t="str">
        <f>IFERROR(__xludf.DUMMYFUNCTION("""COMPUTED_VALUE"""),"Hoa")</f>
        <v>Hoa</v>
      </c>
      <c r="Q116" s="122"/>
      <c r="R116" s="122" t="str">
        <f>IFERROR(__xludf.DUMMYFUNCTION("""COMPUTED_VALUE"""),"INFVI930")</f>
        <v>INFVI930</v>
      </c>
      <c r="S116" s="124" t="str">
        <f>IFERROR(__xludf.DUMMYFUNCTION("""COMPUTED_VALUE"""),"http://yody.vn?affcode=INFVI930")</f>
        <v>http://yody.vn?affcode=INFVI930</v>
      </c>
    </row>
    <row r="117">
      <c r="A117" s="122" t="str">
        <f>IFERROR(__xludf.DUMMYFUNCTION("""COMPUTED_VALUE"""),"INFTRUNG517")</f>
        <v>INFTRUNG517</v>
      </c>
      <c r="B117" s="122" t="str">
        <f>IFERROR(__xludf.DUMMYFUNCTION("""COMPUTED_VALUE"""),"Trần Trung ")</f>
        <v>Trần Trung </v>
      </c>
      <c r="C117" s="124" t="str">
        <f>IFERROR(__xludf.DUMMYFUNCTION("""COMPUTED_VALUE"""),"Tiktok")</f>
        <v>Tiktok</v>
      </c>
      <c r="D117" s="122"/>
      <c r="E117" s="122" t="str">
        <f>IFERROR(__xludf.DUMMYFUNCTION("""COMPUTED_VALUE"""),"3,6M")</f>
        <v>3,6M</v>
      </c>
      <c r="F117" s="122" t="str">
        <f>IFERROR(__xludf.DUMMYFUNCTION("""COMPUTED_VALUE"""),"Trần Kim Trung")</f>
        <v>Trần Kim Trung</v>
      </c>
      <c r="G117" s="122">
        <f>IFERROR(__xludf.DUMMYFUNCTION("""COMPUTED_VALUE"""),2000.0)</f>
        <v>2000</v>
      </c>
      <c r="H117" s="122">
        <f>IFERROR(__xludf.DUMMYFUNCTION("""COMPUTED_VALUE"""),2.72703099E8)</f>
        <v>272703099</v>
      </c>
      <c r="I117" s="122">
        <f>IFERROR(__xludf.DUMMYFUNCTION("""COMPUTED_VALUE"""),9.01365517E8)</f>
        <v>901365517</v>
      </c>
      <c r="J117" s="122" t="str">
        <f>IFERROR(__xludf.DUMMYFUNCTION("""COMPUTED_VALUE"""),"tran74012@gmail.com")</f>
        <v>tran74012@gmail.com</v>
      </c>
      <c r="K117" s="122">
        <f>IFERROR(__xludf.DUMMYFUNCTION("""COMPUTED_VALUE"""),1.05873079029E11)</f>
        <v>105873079029</v>
      </c>
      <c r="L117" s="122" t="str">
        <f>IFERROR(__xludf.DUMMYFUNCTION("""COMPUTED_VALUE"""),"Trần Kim Trung ")</f>
        <v>Trần Kim Trung </v>
      </c>
      <c r="M117" s="122" t="str">
        <f>IFERROR(__xludf.DUMMYFUNCTION("""COMPUTED_VALUE"""),"Vietinbank")</f>
        <v>Vietinbank</v>
      </c>
      <c r="N117" s="122" t="str">
        <f>IFERROR(__xludf.DUMMYFUNCTION("""COMPUTED_VALUE"""),"Đồng Nai")</f>
        <v>Đồng Nai</v>
      </c>
      <c r="O117" s="122" t="str">
        <f>IFERROR(__xludf.DUMMYFUNCTION("""COMPUTED_VALUE"""),"Hiên")</f>
        <v>Hiên</v>
      </c>
      <c r="P117" s="123" t="str">
        <f>IFERROR(__xludf.DUMMYFUNCTION("""COMPUTED_VALUE"""),"Hiên")</f>
        <v>Hiên</v>
      </c>
      <c r="Q117" s="122"/>
      <c r="R117" s="122" t="str">
        <f>IFERROR(__xludf.DUMMYFUNCTION("""COMPUTED_VALUE"""),"INFTRUNG517")</f>
        <v>INFTRUNG517</v>
      </c>
      <c r="S117" s="124" t="str">
        <f>IFERROR(__xludf.DUMMYFUNCTION("""COMPUTED_VALUE"""),"http://yody.vn?affcode=INFTRUNG517")</f>
        <v>http://yody.vn?affcode=INFTRUNG517</v>
      </c>
    </row>
    <row r="118">
      <c r="A118" s="122" t="str">
        <f>IFERROR(__xludf.DUMMYFUNCTION("""COMPUTED_VALUE"""),"INFANH454")</f>
        <v>INFANH454</v>
      </c>
      <c r="B118" s="122" t="str">
        <f>IFERROR(__xludf.DUMMYFUNCTION("""COMPUTED_VALUE"""),"Nguyễn Thượng Van Anh")</f>
        <v>Nguyễn Thượng Van Anh</v>
      </c>
      <c r="C118" s="124" t="str">
        <f>IFERROR(__xludf.DUMMYFUNCTION("""COMPUTED_VALUE"""),"Tiktok")</f>
        <v>Tiktok</v>
      </c>
      <c r="D118" s="122"/>
      <c r="E118" s="122" t="str">
        <f>IFERROR(__xludf.DUMMYFUNCTION("""COMPUTED_VALUE"""),"271k")</f>
        <v>271k</v>
      </c>
      <c r="F118" s="122" t="str">
        <f>IFERROR(__xludf.DUMMYFUNCTION("""COMPUTED_VALUE"""),"Nguyễn Thượng Vân Anh")</f>
        <v>Nguyễn Thượng Vân Anh</v>
      </c>
      <c r="G118" s="122">
        <f>IFERROR(__xludf.DUMMYFUNCTION("""COMPUTED_VALUE"""),2003.0)</f>
        <v>2003</v>
      </c>
      <c r="H118" s="122">
        <f>IFERROR(__xludf.DUMMYFUNCTION("""COMPUTED_VALUE"""),2.12900908E8)</f>
        <v>212900908</v>
      </c>
      <c r="I118" s="122">
        <f>IFERROR(__xludf.DUMMYFUNCTION("""COMPUTED_VALUE"""),7.62790454E8)</f>
        <v>762790454</v>
      </c>
      <c r="J118" s="122" t="str">
        <f>IFERROR(__xludf.DUMMYFUNCTION("""COMPUTED_VALUE"""),"nguyenthuongvananh3@gmail.com")</f>
        <v>nguyenthuongvananh3@gmail.com</v>
      </c>
      <c r="K118" s="122">
        <f>IFERROR(__xludf.DUMMYFUNCTION("""COMPUTED_VALUE"""),4.502205172782E12)</f>
        <v>4502205172782</v>
      </c>
      <c r="L118" s="122" t="str">
        <f>IFERROR(__xludf.DUMMYFUNCTION("""COMPUTED_VALUE"""),"Nguyen Thuong Van Anh")</f>
        <v>Nguyen Thuong Van Anh</v>
      </c>
      <c r="M118" s="122" t="str">
        <f>IFERROR(__xludf.DUMMYFUNCTION("""COMPUTED_VALUE"""),"Agribank")</f>
        <v>Agribank</v>
      </c>
      <c r="N118" s="122" t="str">
        <f>IFERROR(__xludf.DUMMYFUNCTION("""COMPUTED_VALUE"""),"xã Đức hoà huyện mộ Đức tỉnh quãng Ngãi")</f>
        <v>xã Đức hoà huyện mộ Đức tỉnh quãng Ngãi</v>
      </c>
      <c r="O118" s="122" t="str">
        <f>IFERROR(__xludf.DUMMYFUNCTION("""COMPUTED_VALUE"""),"Hiên")</f>
        <v>Hiên</v>
      </c>
      <c r="P118" s="123" t="str">
        <f>IFERROR(__xludf.DUMMYFUNCTION("""COMPUTED_VALUE"""),"Hiên")</f>
        <v>Hiên</v>
      </c>
      <c r="Q118" s="122"/>
      <c r="R118" s="122" t="str">
        <f>IFERROR(__xludf.DUMMYFUNCTION("""COMPUTED_VALUE"""),"INFANH454")</f>
        <v>INFANH454</v>
      </c>
      <c r="S118" s="124" t="str">
        <f>IFERROR(__xludf.DUMMYFUNCTION("""COMPUTED_VALUE"""),"http://yody.vn?affcode=INFANH454")</f>
        <v>http://yody.vn?affcode=INFANH454</v>
      </c>
    </row>
    <row r="119">
      <c r="A119" s="122" t="str">
        <f>IFERROR(__xludf.DUMMYFUNCTION("""COMPUTED_VALUE"""),"INFNGUYEN444")</f>
        <v>INFNGUYEN444</v>
      </c>
      <c r="B119" s="122" t="str">
        <f>IFERROR(__xludf.DUMMYFUNCTION("""COMPUTED_VALUE"""),"Neyun")</f>
        <v>Neyun</v>
      </c>
      <c r="C119" s="124" t="str">
        <f>IFERROR(__xludf.DUMMYFUNCTION("""COMPUTED_VALUE"""),"tiktok")</f>
        <v>tiktok</v>
      </c>
      <c r="D119" s="122"/>
      <c r="E119" s="122" t="str">
        <f>IFERROR(__xludf.DUMMYFUNCTION("""COMPUTED_VALUE"""),"227,6k")</f>
        <v>227,6k</v>
      </c>
      <c r="F119" s="122" t="str">
        <f>IFERROR(__xludf.DUMMYFUNCTION("""COMPUTED_VALUE"""),"Bùi Mạnh Nguyên")</f>
        <v>Bùi Mạnh Nguyên</v>
      </c>
      <c r="G119" s="122" t="str">
        <f>IFERROR(__xludf.DUMMYFUNCTION("""COMPUTED_VALUE"""),"25/05/1998")</f>
        <v>25/05/1998</v>
      </c>
      <c r="H119" s="122" t="str">
        <f>IFERROR(__xludf.DUMMYFUNCTION("""COMPUTED_VALUE"""),"050985090")</f>
        <v>050985090</v>
      </c>
      <c r="I119" s="122" t="str">
        <f>IFERROR(__xludf.DUMMYFUNCTION("""COMPUTED_VALUE"""),"0326628444")</f>
        <v>0326628444</v>
      </c>
      <c r="J119" s="122" t="str">
        <f>IFERROR(__xludf.DUMMYFUNCTION("""COMPUTED_VALUE"""),"nguyenmanh12yc@gmail.com")</f>
        <v>nguyenmanh12yc@gmail.com</v>
      </c>
      <c r="K119" s="122">
        <f>IFERROR(__xludf.DUMMYFUNCTION("""COMPUTED_VALUE"""),1.4078107E7)</f>
        <v>14078107</v>
      </c>
      <c r="L119" s="122" t="str">
        <f>IFERROR(__xludf.DUMMYFUNCTION("""COMPUTED_VALUE"""),"BUI MANH NGUYEN")</f>
        <v>BUI MANH NGUYEN</v>
      </c>
      <c r="M119" s="122" t="str">
        <f>IFERROR(__xludf.DUMMYFUNCTION("""COMPUTED_VALUE"""),"ACB")</f>
        <v>ACB</v>
      </c>
      <c r="N119" s="122" t="str">
        <f>IFERROR(__xludf.DUMMYFUNCTION("""COMPUTED_VALUE"""),"125/2 hòa hưng-p12-q10-HCM")</f>
        <v>125/2 hòa hưng-p12-q10-HCM</v>
      </c>
      <c r="O119" s="122" t="str">
        <f>IFERROR(__xludf.DUMMYFUNCTION("""COMPUTED_VALUE"""),"Hoa")</f>
        <v>Hoa</v>
      </c>
      <c r="P119" s="123" t="str">
        <f>IFERROR(__xludf.DUMMYFUNCTION("""COMPUTED_VALUE"""),"Hoa")</f>
        <v>Hoa</v>
      </c>
      <c r="Q119" s="122"/>
      <c r="R119" s="122" t="str">
        <f>IFERROR(__xludf.DUMMYFUNCTION("""COMPUTED_VALUE"""),"INFNGUYEN444")</f>
        <v>INFNGUYEN444</v>
      </c>
      <c r="S119" s="124" t="str">
        <f>IFERROR(__xludf.DUMMYFUNCTION("""COMPUTED_VALUE"""),"http://yody.vn?affcode=INFNGUYEN444")</f>
        <v>http://yody.vn?affcode=INFNGUYEN444</v>
      </c>
    </row>
    <row r="120">
      <c r="A120" s="122" t="str">
        <f>IFERROR(__xludf.DUMMYFUNCTION("""COMPUTED_VALUE"""),"INFYEN691")</f>
        <v>INFYEN691</v>
      </c>
      <c r="B120" s="122" t="str">
        <f>IFERROR(__xludf.DUMMYFUNCTION("""COMPUTED_VALUE"""),"Dương và Yến")</f>
        <v>Dương và Yến</v>
      </c>
      <c r="C120" s="124" t="str">
        <f>IFERROR(__xludf.DUMMYFUNCTION("""COMPUTED_VALUE"""),"Tiktok")</f>
        <v>Tiktok</v>
      </c>
      <c r="D120" s="122"/>
      <c r="E120" s="122" t="str">
        <f>IFERROR(__xludf.DUMMYFUNCTION("""COMPUTED_VALUE"""),"591k")</f>
        <v>591k</v>
      </c>
      <c r="F120" s="122" t="str">
        <f>IFERROR(__xludf.DUMMYFUNCTION("""COMPUTED_VALUE"""),"Trịnh Thị Hoàng Yến")</f>
        <v>Trịnh Thị Hoàng Yến</v>
      </c>
      <c r="G120" s="122"/>
      <c r="H120" s="122" t="str">
        <f>IFERROR(__xludf.DUMMYFUNCTION("""COMPUTED_VALUE"""),"038302011027")</f>
        <v>038302011027</v>
      </c>
      <c r="I120" s="122">
        <f>IFERROR(__xludf.DUMMYFUNCTION("""COMPUTED_VALUE"""),9.45945691E8)</f>
        <v>945945691</v>
      </c>
      <c r="J120" s="122" t="str">
        <f>IFERROR(__xludf.DUMMYFUNCTION("""COMPUTED_VALUE"""),"Huouvatho2407@gmail.com")</f>
        <v>Huouvatho2407@gmail.com</v>
      </c>
      <c r="K120" s="122">
        <f>IFERROR(__xludf.DUMMYFUNCTION("""COMPUTED_VALUE"""),1.03869757302E11)</f>
        <v>103869757302</v>
      </c>
      <c r="L120" s="122" t="str">
        <f>IFERROR(__xludf.DUMMYFUNCTION("""COMPUTED_VALUE"""),"TRINH THI THANH HUYEN")</f>
        <v>TRINH THI THANH HUYEN</v>
      </c>
      <c r="M120" s="122" t="str">
        <f>IFERROR(__xludf.DUMMYFUNCTION("""COMPUTED_VALUE"""),"Vietinbank")</f>
        <v>Vietinbank</v>
      </c>
      <c r="N120" s="122" t="str">
        <f>IFERROR(__xludf.DUMMYFUNCTION("""COMPUTED_VALUE"""),"08 Lê Phụ , phường đông sơn , thành phố Thanh Hoá , tỉnh Thanh Hoá")</f>
        <v>08 Lê Phụ , phường đông sơn , thành phố Thanh Hoá , tỉnh Thanh Hoá</v>
      </c>
      <c r="O120" s="122" t="str">
        <f>IFERROR(__xludf.DUMMYFUNCTION("""COMPUTED_VALUE"""),"Hiên ")</f>
        <v>Hiên </v>
      </c>
      <c r="P120" s="123" t="str">
        <f>IFERROR(__xludf.DUMMYFUNCTION("""COMPUTED_VALUE"""),"MẾN")</f>
        <v>MẾN</v>
      </c>
      <c r="Q120" s="122"/>
      <c r="R120" s="122" t="str">
        <f>IFERROR(__xludf.DUMMYFUNCTION("""COMPUTED_VALUE"""),"INFYEN691")</f>
        <v>INFYEN691</v>
      </c>
      <c r="S120" s="124" t="str">
        <f>IFERROR(__xludf.DUMMYFUNCTION("""COMPUTED_VALUE"""),"http://yody.vn?affcode=INFYEN691")</f>
        <v>http://yody.vn?affcode=INFYEN691</v>
      </c>
    </row>
    <row r="121">
      <c r="A121" s="122" t="str">
        <f>IFERROR(__xludf.DUMMYFUNCTION("""COMPUTED_VALUE"""),"INFMY943")</f>
        <v>INFMY943</v>
      </c>
      <c r="B121" s="122" t="str">
        <f>IFERROR(__xludf.DUMMYFUNCTION("""COMPUTED_VALUE"""),"My Lê")</f>
        <v>My Lê</v>
      </c>
      <c r="C121" s="124" t="str">
        <f>IFERROR(__xludf.DUMMYFUNCTION("""COMPUTED_VALUE"""),"tiktok")</f>
        <v>tiktok</v>
      </c>
      <c r="D121" s="122"/>
      <c r="E121" s="122" t="str">
        <f>IFERROR(__xludf.DUMMYFUNCTION("""COMPUTED_VALUE"""),"592,3k")</f>
        <v>592,3k</v>
      </c>
      <c r="F121" s="122" t="str">
        <f>IFERROR(__xludf.DUMMYFUNCTION("""COMPUTED_VALUE"""),"Lê Thị Trà My")</f>
        <v>Lê Thị Trà My</v>
      </c>
      <c r="G121" s="126">
        <f>IFERROR(__xludf.DUMMYFUNCTION("""COMPUTED_VALUE"""),35340.0)</f>
        <v>35340</v>
      </c>
      <c r="H121" s="122" t="str">
        <f>IFERROR(__xludf.DUMMYFUNCTION("""COMPUTED_VALUE"""),"038196003999")</f>
        <v>038196003999</v>
      </c>
      <c r="I121" s="122" t="str">
        <f>IFERROR(__xludf.DUMMYFUNCTION("""COMPUTED_VALUE"""),"0974976943")</f>
        <v>0974976943</v>
      </c>
      <c r="J121" s="122" t="str">
        <f>IFERROR(__xludf.DUMMYFUNCTION("""COMPUTED_VALUE"""),"Lethitramy.qtvp14a@gmail.com")</f>
        <v>Lethitramy.qtvp14a@gmail.com</v>
      </c>
      <c r="K121" s="122"/>
      <c r="L121" s="122"/>
      <c r="M121" s="122"/>
      <c r="N121" s="122" t="str">
        <f>IFERROR(__xludf.DUMMYFUNCTION("""COMPUTED_VALUE"""),"Toà 3B, Khu Đô thị Handi Resco Phạm Văn Đồng, Hà Nội")</f>
        <v>Toà 3B, Khu Đô thị Handi Resco Phạm Văn Đồng, Hà Nội</v>
      </c>
      <c r="O121" s="122" t="str">
        <f>IFERROR(__xludf.DUMMYFUNCTION("""COMPUTED_VALUE"""),"Hoa")</f>
        <v>Hoa</v>
      </c>
      <c r="P121" s="123" t="str">
        <f>IFERROR(__xludf.DUMMYFUNCTION("""COMPUTED_VALUE"""),"Hoa")</f>
        <v>Hoa</v>
      </c>
      <c r="Q121" s="122"/>
      <c r="R121" s="122" t="str">
        <f>IFERROR(__xludf.DUMMYFUNCTION("""COMPUTED_VALUE"""),"INFMY943")</f>
        <v>INFMY943</v>
      </c>
      <c r="S121" s="124" t="str">
        <f>IFERROR(__xludf.DUMMYFUNCTION("""COMPUTED_VALUE"""),"http://yody.vn?affcode=INFMY943")</f>
        <v>http://yody.vn?affcode=INFMY943</v>
      </c>
    </row>
    <row r="122">
      <c r="A122" s="122" t="str">
        <f>IFERROR(__xludf.DUMMYFUNCTION("""COMPUTED_VALUE"""),"INFTHAO257")</f>
        <v>INFTHAO257</v>
      </c>
      <c r="B122" s="122" t="str">
        <f>IFERROR(__xludf.DUMMYFUNCTION("""COMPUTED_VALUE"""),"Đinh Trang Thảo")</f>
        <v>Đinh Trang Thảo</v>
      </c>
      <c r="C122" s="124" t="str">
        <f>IFERROR(__xludf.DUMMYFUNCTION("""COMPUTED_VALUE"""),"tiktok")</f>
        <v>tiktok</v>
      </c>
      <c r="D122" s="122" t="str">
        <f>IFERROR(__xludf.DUMMYFUNCTION("""COMPUTED_VALUE"""),"ins /
fb")</f>
        <v>ins /
fb</v>
      </c>
      <c r="E122" s="122" t="str">
        <f>IFERROR(__xludf.DUMMYFUNCTION("""COMPUTED_VALUE"""),"5,6M /  911k/ 104,6k ")</f>
        <v>5,6M /  911k/ 104,6k </v>
      </c>
      <c r="F122" s="122" t="str">
        <f>IFERROR(__xludf.DUMMYFUNCTION("""COMPUTED_VALUE"""),"Đinh Thị Thảo")</f>
        <v>Đinh Thị Thảo</v>
      </c>
      <c r="G122" s="122" t="str">
        <f>IFERROR(__xludf.DUMMYFUNCTION("""COMPUTED_VALUE"""),"25/10/2003")</f>
        <v>25/10/2003</v>
      </c>
      <c r="H122" s="122" t="str">
        <f>IFERROR(__xludf.DUMMYFUNCTION("""COMPUTED_VALUE"""),"037303005338")</f>
        <v>037303005338</v>
      </c>
      <c r="I122" s="122" t="str">
        <f>IFERROR(__xludf.DUMMYFUNCTION("""COMPUTED_VALUE"""),"0966640257")</f>
        <v>0966640257</v>
      </c>
      <c r="J122" s="122" t="str">
        <f>IFERROR(__xludf.DUMMYFUNCTION("""COMPUTED_VALUE"""),"Dinhthithao25102003@gmail.com")</f>
        <v>Dinhthithao25102003@gmail.com</v>
      </c>
      <c r="K122" s="122">
        <f>IFERROR(__xludf.DUMMYFUNCTION("""COMPUTED_VALUE"""),4.8310000710707E13)</f>
        <v>48310000710707</v>
      </c>
      <c r="L122" s="122" t="str">
        <f>IFERROR(__xludf.DUMMYFUNCTION("""COMPUTED_VALUE"""),"ĐINH THỊ THẢO")</f>
        <v>ĐINH THỊ THẢO</v>
      </c>
      <c r="M122" s="122" t="str">
        <f>IFERROR(__xludf.DUMMYFUNCTION("""COMPUTED_VALUE"""),"BIDV")</f>
        <v>BIDV</v>
      </c>
      <c r="N122" s="122" t="str">
        <f>IFERROR(__xludf.DUMMYFUNCTION("""COMPUTED_VALUE"""),"Xóm 3 Phương Đông, xã Gia Thanh, huyện Gia Viễn, Ninh Bình")</f>
        <v>Xóm 3 Phương Đông, xã Gia Thanh, huyện Gia Viễn, Ninh Bình</v>
      </c>
      <c r="O122" s="122" t="str">
        <f>IFERROR(__xludf.DUMMYFUNCTION("""COMPUTED_VALUE"""),"Hoa")</f>
        <v>Hoa</v>
      </c>
      <c r="P122" s="123" t="str">
        <f>IFERROR(__xludf.DUMMYFUNCTION("""COMPUTED_VALUE"""),"Hoa")</f>
        <v>Hoa</v>
      </c>
      <c r="Q122" s="122"/>
      <c r="R122" s="122" t="str">
        <f>IFERROR(__xludf.DUMMYFUNCTION("""COMPUTED_VALUE"""),"INFTHAO257")</f>
        <v>INFTHAO257</v>
      </c>
      <c r="S122" s="124" t="str">
        <f>IFERROR(__xludf.DUMMYFUNCTION("""COMPUTED_VALUE"""),"https://yody.vn/?affcode=INFTHAO257")</f>
        <v>https://yody.vn/?affcode=INFTHAO257</v>
      </c>
    </row>
    <row r="123">
      <c r="A123" s="122" t="str">
        <f>IFERROR(__xludf.DUMMYFUNCTION("""COMPUTED_VALUE"""),"INFANH172")</f>
        <v>INFANH172</v>
      </c>
      <c r="B123" s="122" t="str">
        <f>IFERROR(__xludf.DUMMYFUNCTION("""COMPUTED_VALUE"""),"Phương Anh")</f>
        <v>Phương Anh</v>
      </c>
      <c r="C123" s="124" t="str">
        <f>IFERROR(__xludf.DUMMYFUNCTION("""COMPUTED_VALUE"""),"Tiktok")</f>
        <v>Tiktok</v>
      </c>
      <c r="D123" s="122"/>
      <c r="E123" s="122" t="str">
        <f>IFERROR(__xludf.DUMMYFUNCTION("""COMPUTED_VALUE"""),"387k")</f>
        <v>387k</v>
      </c>
      <c r="F123" s="122" t="str">
        <f>IFERROR(__xludf.DUMMYFUNCTION("""COMPUTED_VALUE"""),"Nguyễn Thị Phương Anh")</f>
        <v>Nguyễn Thị Phương Anh</v>
      </c>
      <c r="G123" s="122" t="str">
        <f>IFERROR(__xludf.DUMMYFUNCTION("""COMPUTED_VALUE"""),"26/04/1999")</f>
        <v>26/04/1999</v>
      </c>
      <c r="H123" s="122">
        <f>IFERROR(__xludf.DUMMYFUNCTION("""COMPUTED_VALUE"""),1.87824365E8)</f>
        <v>187824365</v>
      </c>
      <c r="I123" s="122">
        <f>IFERROR(__xludf.DUMMYFUNCTION("""COMPUTED_VALUE"""),3.72920172E8)</f>
        <v>372920172</v>
      </c>
      <c r="J123" s="122" t="str">
        <f>IFERROR(__xludf.DUMMYFUNCTION("""COMPUTED_VALUE"""),"Phuonganhmad123@gmail.com")</f>
        <v>Phuonganhmad123@gmail.com</v>
      </c>
      <c r="K123" s="122">
        <f>IFERROR(__xludf.DUMMYFUNCTION("""COMPUTED_VALUE"""),1.9036731761014E13)</f>
        <v>19036731761014</v>
      </c>
      <c r="L123" s="122" t="str">
        <f>IFERROR(__xludf.DUMMYFUNCTION("""COMPUTED_VALUE"""),"Nguyễn Thị Phương Anh")</f>
        <v>Nguyễn Thị Phương Anh</v>
      </c>
      <c r="M123" s="122" t="str">
        <f>IFERROR(__xludf.DUMMYFUNCTION("""COMPUTED_VALUE"""),"Techcombank")</f>
        <v>Techcombank</v>
      </c>
      <c r="N123" s="122" t="str">
        <f>IFERROR(__xludf.DUMMYFUNCTION("""COMPUTED_VALUE"""),"Xóm 1- Xuân Sơn- Đô lương- nghệ An")</f>
        <v>Xóm 1- Xuân Sơn- Đô lương- nghệ An</v>
      </c>
      <c r="O123" s="122" t="str">
        <f>IFERROR(__xludf.DUMMYFUNCTION("""COMPUTED_VALUE"""),"Hiên ")</f>
        <v>Hiên </v>
      </c>
      <c r="P123" s="123" t="str">
        <f>IFERROR(__xludf.DUMMYFUNCTION("""COMPUTED_VALUE"""),"mẾN")</f>
        <v>mẾN</v>
      </c>
      <c r="Q123" s="122"/>
      <c r="R123" s="122" t="str">
        <f>IFERROR(__xludf.DUMMYFUNCTION("""COMPUTED_VALUE"""),"INFANH172")</f>
        <v>INFANH172</v>
      </c>
      <c r="S123" s="124" t="str">
        <f>IFERROR(__xludf.DUMMYFUNCTION("""COMPUTED_VALUE"""),"http://yody.vn?affcode=INFANH172")</f>
        <v>http://yody.vn?affcode=INFANH172</v>
      </c>
    </row>
    <row r="124">
      <c r="A124" s="122" t="str">
        <f>IFERROR(__xludf.DUMMYFUNCTION("""COMPUTED_VALUE"""),"INFHUONG7035")</f>
        <v>INFHUONG7035</v>
      </c>
      <c r="B124" s="122" t="str">
        <f>IFERROR(__xludf.DUMMYFUNCTION("""COMPUTED_VALUE"""),"nqhunn")</f>
        <v>nqhunn</v>
      </c>
      <c r="C124" s="124" t="str">
        <f>IFERROR(__xludf.DUMMYFUNCTION("""COMPUTED_VALUE"""),"tiktok")</f>
        <v>tiktok</v>
      </c>
      <c r="D124" s="122"/>
      <c r="E124" s="122" t="str">
        <f>IFERROR(__xludf.DUMMYFUNCTION("""COMPUTED_VALUE"""),"633k")</f>
        <v>633k</v>
      </c>
      <c r="F124" s="122" t="str">
        <f>IFERROR(__xludf.DUMMYFUNCTION("""COMPUTED_VALUE"""),"Nguyễn Thị Quỳnh Hương")</f>
        <v>Nguyễn Thị Quỳnh Hương</v>
      </c>
      <c r="G124" s="125">
        <f>IFERROR(__xludf.DUMMYFUNCTION("""COMPUTED_VALUE"""),36840.0)</f>
        <v>36840</v>
      </c>
      <c r="H124" s="122" t="str">
        <f>IFERROR(__xludf.DUMMYFUNCTION("""COMPUTED_VALUE"""),"038300001792")</f>
        <v>038300001792</v>
      </c>
      <c r="I124" s="131" t="str">
        <f>IFERROR(__xludf.DUMMYFUNCTION("""COMPUTED_VALUE"""),"0795297035")</f>
        <v>0795297035</v>
      </c>
      <c r="J124" s="122" t="str">
        <f>IFERROR(__xludf.DUMMYFUNCTION("""COMPUTED_VALUE"""),"nqhuong767@gmail.com")</f>
        <v>nqhuong767@gmail.com</v>
      </c>
      <c r="K124" s="122"/>
      <c r="L124" s="122"/>
      <c r="M124" s="122"/>
      <c r="N124" s="122"/>
      <c r="O124" s="122"/>
      <c r="P124" s="123" t="str">
        <f>IFERROR(__xludf.DUMMYFUNCTION("""COMPUTED_VALUE"""),"Trâm")</f>
        <v>Trâm</v>
      </c>
      <c r="Q124" s="122"/>
      <c r="R124" s="122" t="str">
        <f>IFERROR(__xludf.DUMMYFUNCTION("""COMPUTED_VALUE"""),"INFHUONG7035")</f>
        <v>INFHUONG7035</v>
      </c>
      <c r="S124" s="124" t="str">
        <f>IFERROR(__xludf.DUMMYFUNCTION("""COMPUTED_VALUE"""),"http://yody.vn?affcode=INFHUONG7035")</f>
        <v>http://yody.vn?affcode=INFHUONG7035</v>
      </c>
    </row>
    <row r="125">
      <c r="A125" s="122" t="str">
        <f>IFERROR(__xludf.DUMMYFUNCTION("""COMPUTED_VALUE"""),"INFHIEP766")</f>
        <v>INFHIEP766</v>
      </c>
      <c r="B125" s="122" t="str">
        <f>IFERROR(__xludf.DUMMYFUNCTION("""COMPUTED_VALUE"""),"hoanghieptiktok")</f>
        <v>hoanghieptiktok</v>
      </c>
      <c r="C125" s="124" t="str">
        <f>IFERROR(__xludf.DUMMYFUNCTION("""COMPUTED_VALUE"""),"tiktok")</f>
        <v>tiktok</v>
      </c>
      <c r="D125" s="122"/>
      <c r="E125" s="122" t="str">
        <f>IFERROR(__xludf.DUMMYFUNCTION("""COMPUTED_VALUE"""),"540k")</f>
        <v>540k</v>
      </c>
      <c r="F125" s="122" t="str">
        <f>IFERROR(__xludf.DUMMYFUNCTION("""COMPUTED_VALUE"""),"Hoàng Văn Hiệp")</f>
        <v>Hoàng Văn Hiệp</v>
      </c>
      <c r="G125" s="126">
        <f>IFERROR(__xludf.DUMMYFUNCTION("""COMPUTED_VALUE"""),35889.0)</f>
        <v>35889</v>
      </c>
      <c r="H125" s="122" t="str">
        <f>IFERROR(__xludf.DUMMYFUNCTION("""COMPUTED_VALUE"""),"026015690")</f>
        <v>026015690</v>
      </c>
      <c r="I125" s="131" t="str">
        <f>IFERROR(__xludf.DUMMYFUNCTION("""COMPUTED_VALUE"""),"0846231766")</f>
        <v>0846231766</v>
      </c>
      <c r="J125" s="122" t="str">
        <f>IFERROR(__xludf.DUMMYFUNCTION("""COMPUTED_VALUE"""),"Hiephv3741@gmail.com")</f>
        <v>Hiephv3741@gmail.com</v>
      </c>
      <c r="K125" s="122"/>
      <c r="L125" s="122"/>
      <c r="M125" s="122"/>
      <c r="N125" s="122"/>
      <c r="O125" s="122"/>
      <c r="P125" s="123" t="str">
        <f>IFERROR(__xludf.DUMMYFUNCTION("""COMPUTED_VALUE"""),"Trâm")</f>
        <v>Trâm</v>
      </c>
      <c r="Q125" s="122"/>
      <c r="R125" s="122" t="str">
        <f>IFERROR(__xludf.DUMMYFUNCTION("""COMPUTED_VALUE"""),"INFHIEP766")</f>
        <v>INFHIEP766</v>
      </c>
      <c r="S125" s="124" t="str">
        <f>IFERROR(__xludf.DUMMYFUNCTION("""COMPUTED_VALUE"""),"http://yody.vn?affcode=INFHIEP766")</f>
        <v>http://yody.vn?affcode=INFHIEP766</v>
      </c>
    </row>
    <row r="126">
      <c r="A126" s="122" t="str">
        <f>IFERROR(__xludf.DUMMYFUNCTION("""COMPUTED_VALUE"""),"INFTRANG665")</f>
        <v>INFTRANG665</v>
      </c>
      <c r="B126" s="122" t="str">
        <f>IFERROR(__xludf.DUMMYFUNCTION("""COMPUTED_VALUE"""),"lethihuyentrang_")</f>
        <v>lethihuyentrang_</v>
      </c>
      <c r="C126" s="124" t="str">
        <f>IFERROR(__xludf.DUMMYFUNCTION("""COMPUTED_VALUE"""),"tiktok")</f>
        <v>tiktok</v>
      </c>
      <c r="D126" s="122"/>
      <c r="E126" s="122" t="str">
        <f>IFERROR(__xludf.DUMMYFUNCTION("""COMPUTED_VALUE"""),"217k")</f>
        <v>217k</v>
      </c>
      <c r="F126" s="122" t="str">
        <f>IFERROR(__xludf.DUMMYFUNCTION("""COMPUTED_VALUE"""),"Lê Thị Huyền Trang")</f>
        <v>Lê Thị Huyền Trang</v>
      </c>
      <c r="G126" s="126">
        <f>IFERROR(__xludf.DUMMYFUNCTION("""COMPUTED_VALUE"""),38356.0)</f>
        <v>38356</v>
      </c>
      <c r="H126" s="122" t="str">
        <f>IFERROR(__xludf.DUMMYFUNCTION("""COMPUTED_VALUE"""),"040305017194")</f>
        <v>040305017194</v>
      </c>
      <c r="I126" s="131" t="str">
        <f>IFERROR(__xludf.DUMMYFUNCTION("""COMPUTED_VALUE"""),"0924891665")</f>
        <v>0924891665</v>
      </c>
      <c r="J126" s="122" t="str">
        <f>IFERROR(__xludf.DUMMYFUNCTION("""COMPUTED_VALUE"""),"tranghuyn205@gmail.com")</f>
        <v>tranghuyn205@gmail.com</v>
      </c>
      <c r="K126" s="122"/>
      <c r="L126" s="122"/>
      <c r="M126" s="122"/>
      <c r="N126" s="122"/>
      <c r="O126" s="122"/>
      <c r="P126" s="123" t="str">
        <f>IFERROR(__xludf.DUMMYFUNCTION("""COMPUTED_VALUE"""),"Trâm")</f>
        <v>Trâm</v>
      </c>
      <c r="Q126" s="122"/>
      <c r="R126" s="122" t="str">
        <f>IFERROR(__xludf.DUMMYFUNCTION("""COMPUTED_VALUE"""),"INFTRANG665")</f>
        <v>INFTRANG665</v>
      </c>
      <c r="S126" s="124" t="str">
        <f>IFERROR(__xludf.DUMMYFUNCTION("""COMPUTED_VALUE"""),"http://yody.vn?affcode=INFTRANG665")</f>
        <v>http://yody.vn?affcode=INFTRANG665</v>
      </c>
    </row>
    <row r="127">
      <c r="A127" s="122" t="str">
        <f>IFERROR(__xludf.DUMMYFUNCTION("""COMPUTED_VALUE"""),"INFQUYEN540")</f>
        <v>INFQUYEN540</v>
      </c>
      <c r="B127" s="122" t="str">
        <f>IFERROR(__xludf.DUMMYFUNCTION("""COMPUTED_VALUE"""),"
ahihiquyenday")</f>
        <v>
ahihiquyenday</v>
      </c>
      <c r="C127" s="124" t="str">
        <f>IFERROR(__xludf.DUMMYFUNCTION("""COMPUTED_VALUE"""),"tiktok")</f>
        <v>tiktok</v>
      </c>
      <c r="D127" s="122"/>
      <c r="E127" s="122" t="str">
        <f>IFERROR(__xludf.DUMMYFUNCTION("""COMPUTED_VALUE"""),"161k")</f>
        <v>161k</v>
      </c>
      <c r="F127" s="122" t="str">
        <f>IFERROR(__xludf.DUMMYFUNCTION("""COMPUTED_VALUE"""),"Võ Thục Quyên")</f>
        <v>Võ Thục Quyên</v>
      </c>
      <c r="G127" s="126">
        <f>IFERROR(__xludf.DUMMYFUNCTION("""COMPUTED_VALUE"""),38049.0)</f>
        <v>38049</v>
      </c>
      <c r="H127" s="122" t="str">
        <f>IFERROR(__xludf.DUMMYFUNCTION("""COMPUTED_VALUE"""),"001304023407")</f>
        <v>001304023407</v>
      </c>
      <c r="I127" s="131" t="str">
        <f>IFERROR(__xludf.DUMMYFUNCTION("""COMPUTED_VALUE"""),"0936645540")</f>
        <v>0936645540</v>
      </c>
      <c r="J127" s="122" t="str">
        <f>IFERROR(__xludf.DUMMYFUNCTION("""COMPUTED_VALUE"""),"vtqquin4116@gmail.com")</f>
        <v>vtqquin4116@gmail.com</v>
      </c>
      <c r="K127" s="122"/>
      <c r="L127" s="122"/>
      <c r="M127" s="122"/>
      <c r="N127" s="122"/>
      <c r="O127" s="122"/>
      <c r="P127" s="123" t="str">
        <f>IFERROR(__xludf.DUMMYFUNCTION("""COMPUTED_VALUE"""),"Trâm")</f>
        <v>Trâm</v>
      </c>
      <c r="Q127" s="122"/>
      <c r="R127" s="122" t="str">
        <f>IFERROR(__xludf.DUMMYFUNCTION("""COMPUTED_VALUE"""),"INFQUYEN540")</f>
        <v>INFQUYEN540</v>
      </c>
      <c r="S127" s="124" t="str">
        <f>IFERROR(__xludf.DUMMYFUNCTION("""COMPUTED_VALUE"""),"http://yody.vn?affcode=INFQUYEN540")</f>
        <v>http://yody.vn?affcode=INFQUYEN540</v>
      </c>
    </row>
    <row r="128">
      <c r="A128" s="122" t="str">
        <f>IFERROR(__xludf.DUMMYFUNCTION("""COMPUTED_VALUE"""),"INFDUYEN931")</f>
        <v>INFDUYEN931</v>
      </c>
      <c r="B128" s="122" t="str">
        <f>IFERROR(__xludf.DUMMYFUNCTION("""COMPUTED_VALUE"""),"Nguyễn Mỹ Duyên")</f>
        <v>Nguyễn Mỹ Duyên</v>
      </c>
      <c r="C128" s="124" t="str">
        <f>IFERROR(__xludf.DUMMYFUNCTION("""COMPUTED_VALUE"""),"fb")</f>
        <v>fb</v>
      </c>
      <c r="D128" s="122"/>
      <c r="E128" s="122" t="str">
        <f>IFERROR(__xludf.DUMMYFUNCTION("""COMPUTED_VALUE"""),"152k")</f>
        <v>152k</v>
      </c>
      <c r="F128" s="122" t="str">
        <f>IFERROR(__xludf.DUMMYFUNCTION("""COMPUTED_VALUE"""),"Nguyễn Thị Mỹ Duyên")</f>
        <v>Nguyễn Thị Mỹ Duyên</v>
      </c>
      <c r="G128" s="126">
        <f>IFERROR(__xludf.DUMMYFUNCTION("""COMPUTED_VALUE"""),36619.0)</f>
        <v>36619</v>
      </c>
      <c r="H128" s="122">
        <f>IFERROR(__xludf.DUMMYFUNCTION("""COMPUTED_VALUE"""),2.41760435E8)</f>
        <v>241760435</v>
      </c>
      <c r="I128" s="131" t="str">
        <f>IFERROR(__xludf.DUMMYFUNCTION("""COMPUTED_VALUE"""),"0978789931")</f>
        <v>0978789931</v>
      </c>
      <c r="J128" s="122" t="str">
        <f>IFERROR(__xludf.DUMMYFUNCTION("""COMPUTED_VALUE"""),"Nguyenmyduyen432000@gmail.com")</f>
        <v>Nguyenmyduyen432000@gmail.com</v>
      </c>
      <c r="K128" s="122"/>
      <c r="L128" s="122"/>
      <c r="M128" s="122"/>
      <c r="N128" s="122"/>
      <c r="O128" s="122"/>
      <c r="P128" s="123" t="str">
        <f>IFERROR(__xludf.DUMMYFUNCTION("""COMPUTED_VALUE"""),"Trâm")</f>
        <v>Trâm</v>
      </c>
      <c r="Q128" s="122"/>
      <c r="R128" s="122" t="str">
        <f>IFERROR(__xludf.DUMMYFUNCTION("""COMPUTED_VALUE"""),"INFDUYEN931")</f>
        <v>INFDUYEN931</v>
      </c>
      <c r="S128" s="124" t="str">
        <f>IFERROR(__xludf.DUMMYFUNCTION("""COMPUTED_VALUE"""),"http://yody.vn?affcode=INFDUYEN931")</f>
        <v>http://yody.vn?affcode=INFDUYEN931</v>
      </c>
    </row>
    <row r="129">
      <c r="A129" s="122" t="str">
        <f>IFERROR(__xludf.DUMMYFUNCTION("""COMPUTED_VALUE"""),"INFLIEM753")</f>
        <v>INFLIEM753</v>
      </c>
      <c r="B129" s="122" t="str">
        <f>IFERROR(__xludf.DUMMYFUNCTION("""COMPUTED_VALUE"""),"liemraxci.2k")</f>
        <v>liemraxci.2k</v>
      </c>
      <c r="C129" s="124" t="str">
        <f>IFERROR(__xludf.DUMMYFUNCTION("""COMPUTED_VALUE"""),"tiktok")</f>
        <v>tiktok</v>
      </c>
      <c r="D129" s="122"/>
      <c r="E129" s="122" t="str">
        <f>IFERROR(__xludf.DUMMYFUNCTION("""COMPUTED_VALUE"""),"143k")</f>
        <v>143k</v>
      </c>
      <c r="F129" s="122" t="str">
        <f>IFERROR(__xludf.DUMMYFUNCTION("""COMPUTED_VALUE"""),"Nguyễn Thanh Liêm")</f>
        <v>Nguyễn Thanh Liêm</v>
      </c>
      <c r="G129" s="126">
        <f>IFERROR(__xludf.DUMMYFUNCTION("""COMPUTED_VALUE"""),36807.0)</f>
        <v>36807</v>
      </c>
      <c r="H129" s="122" t="str">
        <f>IFERROR(__xludf.DUMMYFUNCTION("""COMPUTED_VALUE"""),"087200001367")</f>
        <v>087200001367</v>
      </c>
      <c r="I129" s="131" t="str">
        <f>IFERROR(__xludf.DUMMYFUNCTION("""COMPUTED_VALUE"""),"0367674753")</f>
        <v>0367674753</v>
      </c>
      <c r="J129" s="122" t="str">
        <f>IFERROR(__xludf.DUMMYFUNCTION("""COMPUTED_VALUE"""),"thanhliemww@gmail.com")</f>
        <v>thanhliemww@gmail.com</v>
      </c>
      <c r="K129" s="122"/>
      <c r="L129" s="122"/>
      <c r="M129" s="122"/>
      <c r="N129" s="122"/>
      <c r="O129" s="122"/>
      <c r="P129" s="123" t="str">
        <f>IFERROR(__xludf.DUMMYFUNCTION("""COMPUTED_VALUE"""),"Trâm")</f>
        <v>Trâm</v>
      </c>
      <c r="Q129" s="122"/>
      <c r="R129" s="122" t="str">
        <f>IFERROR(__xludf.DUMMYFUNCTION("""COMPUTED_VALUE"""),"INFLIEM753")</f>
        <v>INFLIEM753</v>
      </c>
      <c r="S129" s="124" t="str">
        <f>IFERROR(__xludf.DUMMYFUNCTION("""COMPUTED_VALUE"""),"http://yody.vn?affcode=INFLIEM753")</f>
        <v>http://yody.vn?affcode=INFLIEM753</v>
      </c>
    </row>
    <row r="130">
      <c r="A130" s="122" t="str">
        <f>IFERROR(__xludf.DUMMYFUNCTION("""COMPUTED_VALUE"""),"INFHONG042")</f>
        <v>INFHONG042</v>
      </c>
      <c r="B130" s="122" t="str">
        <f>IFERROR(__xludf.DUMMYFUNCTION("""COMPUTED_VALUE"""),"choul2002")</f>
        <v>choul2002</v>
      </c>
      <c r="C130" s="124" t="str">
        <f>IFERROR(__xludf.DUMMYFUNCTION("""COMPUTED_VALUE"""),"tiktok")</f>
        <v>tiktok</v>
      </c>
      <c r="D130" s="122"/>
      <c r="E130" s="122" t="str">
        <f>IFERROR(__xludf.DUMMYFUNCTION("""COMPUTED_VALUE"""),"431k")</f>
        <v>431k</v>
      </c>
      <c r="F130" s="122" t="str">
        <f>IFERROR(__xludf.DUMMYFUNCTION("""COMPUTED_VALUE"""),"Đỗ Thị Thanh Hồng")</f>
        <v>Đỗ Thị Thanh Hồng</v>
      </c>
      <c r="G130" s="122" t="str">
        <f>IFERROR(__xludf.DUMMYFUNCTION("""COMPUTED_VALUE"""),"30/05/2002")</f>
        <v>30/05/2002</v>
      </c>
      <c r="H130" s="122" t="str">
        <f>IFERROR(__xludf.DUMMYFUNCTION("""COMPUTED_VALUE"""),"022302005883")</f>
        <v>022302005883</v>
      </c>
      <c r="I130" s="131" t="str">
        <f>IFERROR(__xludf.DUMMYFUNCTION("""COMPUTED_VALUE"""),"0399815042")</f>
        <v>0399815042</v>
      </c>
      <c r="J130" s="122" t="str">
        <f>IFERROR(__xludf.DUMMYFUNCTION("""COMPUTED_VALUE"""),"choulcall@gmail.com")</f>
        <v>choulcall@gmail.com</v>
      </c>
      <c r="K130" s="122"/>
      <c r="L130" s="122"/>
      <c r="M130" s="122"/>
      <c r="N130" s="122"/>
      <c r="O130" s="122"/>
      <c r="P130" s="123" t="str">
        <f>IFERROR(__xludf.DUMMYFUNCTION("""COMPUTED_VALUE"""),"Trâm")</f>
        <v>Trâm</v>
      </c>
      <c r="Q130" s="122"/>
      <c r="R130" s="122" t="str">
        <f>IFERROR(__xludf.DUMMYFUNCTION("""COMPUTED_VALUE"""),"INFHONG042")</f>
        <v>INFHONG042</v>
      </c>
      <c r="S130" s="124" t="str">
        <f>IFERROR(__xludf.DUMMYFUNCTION("""COMPUTED_VALUE"""),"http://yody.vn?affcode=INFHONG042")</f>
        <v>http://yody.vn?affcode=INFHONG042</v>
      </c>
    </row>
    <row r="131">
      <c r="A131" s="122" t="str">
        <f>IFERROR(__xludf.DUMMYFUNCTION("""COMPUTED_VALUE"""),"INFKHANG589")</f>
        <v>INFKHANG589</v>
      </c>
      <c r="B131" s="122" t="str">
        <f>IFERROR(__xludf.DUMMYFUNCTION("""COMPUTED_VALUE"""),"vykhang0103")</f>
        <v>vykhang0103</v>
      </c>
      <c r="C131" s="124" t="str">
        <f>IFERROR(__xludf.DUMMYFUNCTION("""COMPUTED_VALUE"""),"tiktok")</f>
        <v>tiktok</v>
      </c>
      <c r="D131" s="122"/>
      <c r="E131" s="122" t="str">
        <f>IFERROR(__xludf.DUMMYFUNCTION("""COMPUTED_VALUE"""),"152k")</f>
        <v>152k</v>
      </c>
      <c r="F131" s="122" t="str">
        <f>IFERROR(__xludf.DUMMYFUNCTION("""COMPUTED_VALUE"""),"Nguyễn Vỹ Khang")</f>
        <v>Nguyễn Vỹ Khang</v>
      </c>
      <c r="G131" s="126">
        <f>IFERROR(__xludf.DUMMYFUNCTION("""COMPUTED_VALUE"""),37624.0)</f>
        <v>37624</v>
      </c>
      <c r="H131" s="122" t="str">
        <f>IFERROR(__xludf.DUMMYFUNCTION("""COMPUTED_VALUE"""),"072203006912")</f>
        <v>072203006912</v>
      </c>
      <c r="I131" s="131" t="str">
        <f>IFERROR(__xludf.DUMMYFUNCTION("""COMPUTED_VALUE"""),"0387170589")</f>
        <v>0387170589</v>
      </c>
      <c r="J131" s="122" t="str">
        <f>IFERROR(__xludf.DUMMYFUNCTION("""COMPUTED_VALUE"""),"bookingvykhang0330@gmail.com")</f>
        <v>bookingvykhang0330@gmail.com</v>
      </c>
      <c r="K131" s="122"/>
      <c r="L131" s="122"/>
      <c r="M131" s="122"/>
      <c r="N131" s="122"/>
      <c r="O131" s="122"/>
      <c r="P131" s="123" t="str">
        <f>IFERROR(__xludf.DUMMYFUNCTION("""COMPUTED_VALUE"""),"Trâm")</f>
        <v>Trâm</v>
      </c>
      <c r="Q131" s="122"/>
      <c r="R131" s="122" t="str">
        <f>IFERROR(__xludf.DUMMYFUNCTION("""COMPUTED_VALUE"""),"INFKHANG589")</f>
        <v>INFKHANG589</v>
      </c>
      <c r="S131" s="124" t="str">
        <f>IFERROR(__xludf.DUMMYFUNCTION("""COMPUTED_VALUE"""),"http://yody.vn?affcode=INFKHANG589")</f>
        <v>http://yody.vn?affcode=INFKHANG589</v>
      </c>
    </row>
    <row r="132">
      <c r="A132" s="122" t="str">
        <f>IFERROR(__xludf.DUMMYFUNCTION("""COMPUTED_VALUE"""),"INFCHUNG245")</f>
        <v>INFCHUNG245</v>
      </c>
      <c r="B132" s="122" t="str">
        <f>IFERROR(__xludf.DUMMYFUNCTION("""COMPUTED_VALUE"""),"chungtunn")</f>
        <v>chungtunn</v>
      </c>
      <c r="C132" s="124" t="str">
        <f>IFERROR(__xludf.DUMMYFUNCTION("""COMPUTED_VALUE"""),"tiktok")</f>
        <v>tiktok</v>
      </c>
      <c r="D132" s="122"/>
      <c r="E132" s="122" t="str">
        <f>IFERROR(__xludf.DUMMYFUNCTION("""COMPUTED_VALUE"""),"1,1m")</f>
        <v>1,1m</v>
      </c>
      <c r="F132" s="122" t="str">
        <f>IFERROR(__xludf.DUMMYFUNCTION("""COMPUTED_VALUE"""),"Nguyễn Văn Chung")</f>
        <v>Nguyễn Văn Chung</v>
      </c>
      <c r="G132" s="122" t="str">
        <f>IFERROR(__xludf.DUMMYFUNCTION("""COMPUTED_VALUE"""),"30/04/1996")</f>
        <v>30/04/1996</v>
      </c>
      <c r="H132" s="122">
        <f>IFERROR(__xludf.DUMMYFUNCTION("""COMPUTED_VALUE"""),1.22238199E8)</f>
        <v>122238199</v>
      </c>
      <c r="I132" s="131" t="str">
        <f>IFERROR(__xludf.DUMMYFUNCTION("""COMPUTED_VALUE"""),"0982453245")</f>
        <v>0982453245</v>
      </c>
      <c r="J132" s="122" t="str">
        <f>IFERROR(__xludf.DUMMYFUNCTION("""COMPUTED_VALUE"""),"Chungtunn3004@gmail.com")</f>
        <v>Chungtunn3004@gmail.com</v>
      </c>
      <c r="K132" s="122"/>
      <c r="L132" s="122"/>
      <c r="M132" s="122"/>
      <c r="N132" s="122"/>
      <c r="O132" s="122"/>
      <c r="P132" s="123" t="str">
        <f>IFERROR(__xludf.DUMMYFUNCTION("""COMPUTED_VALUE"""),"Trâm")</f>
        <v>Trâm</v>
      </c>
      <c r="Q132" s="122"/>
      <c r="R132" s="122" t="str">
        <f>IFERROR(__xludf.DUMMYFUNCTION("""COMPUTED_VALUE"""),"INFCHUNG245")</f>
        <v>INFCHUNG245</v>
      </c>
      <c r="S132" s="124" t="str">
        <f>IFERROR(__xludf.DUMMYFUNCTION("""COMPUTED_VALUE"""),"http://yody.vn?affcode=INFCHUNG245")</f>
        <v>http://yody.vn?affcode=INFCHUNG245</v>
      </c>
    </row>
    <row r="133">
      <c r="A133" s="122" t="str">
        <f>IFERROR(__xludf.DUMMYFUNCTION("""COMPUTED_VALUE"""),"INFCHI434")</f>
        <v>INFCHI434</v>
      </c>
      <c r="B133" s="122" t="str">
        <f>IFERROR(__xludf.DUMMYFUNCTION("""COMPUTED_VALUE"""),"anhbodoi77")</f>
        <v>anhbodoi77</v>
      </c>
      <c r="C133" s="124" t="str">
        <f>IFERROR(__xludf.DUMMYFUNCTION("""COMPUTED_VALUE"""),"tiktok")</f>
        <v>tiktok</v>
      </c>
      <c r="D133" s="122"/>
      <c r="E133" s="122" t="str">
        <f>IFERROR(__xludf.DUMMYFUNCTION("""COMPUTED_VALUE"""),"439k")</f>
        <v>439k</v>
      </c>
      <c r="F133" s="122" t="str">
        <f>IFERROR(__xludf.DUMMYFUNCTION("""COMPUTED_VALUE"""),"Huỳnh Ngọc Thiện Chí")</f>
        <v>Huỳnh Ngọc Thiện Chí</v>
      </c>
      <c r="G133" s="126">
        <f>IFERROR(__xludf.DUMMYFUNCTION("""COMPUTED_VALUE"""),36348.0)</f>
        <v>36348</v>
      </c>
      <c r="H133" s="122">
        <f>IFERROR(__xludf.DUMMYFUNCTION("""COMPUTED_VALUE"""),2.06194936E8)</f>
        <v>206194936</v>
      </c>
      <c r="I133" s="131" t="str">
        <f>IFERROR(__xludf.DUMMYFUNCTION("""COMPUTED_VALUE"""),"0934824434")</f>
        <v>0934824434</v>
      </c>
      <c r="J133" s="122" t="str">
        <f>IFERROR(__xludf.DUMMYFUNCTION("""COMPUTED_VALUE"""),"Dothiiyennhi@gmail.com")</f>
        <v>Dothiiyennhi@gmail.com</v>
      </c>
      <c r="K133" s="122"/>
      <c r="L133" s="122"/>
      <c r="M133" s="122"/>
      <c r="N133" s="122"/>
      <c r="O133" s="122"/>
      <c r="P133" s="123" t="str">
        <f>IFERROR(__xludf.DUMMYFUNCTION("""COMPUTED_VALUE"""),"Trâm")</f>
        <v>Trâm</v>
      </c>
      <c r="Q133" s="122"/>
      <c r="R133" s="122" t="str">
        <f>IFERROR(__xludf.DUMMYFUNCTION("""COMPUTED_VALUE"""),"INFCHI434")</f>
        <v>INFCHI434</v>
      </c>
      <c r="S133" s="124" t="str">
        <f>IFERROR(__xludf.DUMMYFUNCTION("""COMPUTED_VALUE"""),"http://yody.vn?affcode=INFCHI434")</f>
        <v>http://yody.vn?affcode=INFCHI434</v>
      </c>
    </row>
    <row r="134">
      <c r="A134" s="122" t="str">
        <f>IFERROR(__xludf.DUMMYFUNCTION("""COMPUTED_VALUE"""),"INFLYS047")</f>
        <v>INFLYS047</v>
      </c>
      <c r="B134" s="122" t="str">
        <f>IFERROR(__xludf.DUMMYFUNCTION("""COMPUTED_VALUE"""),"fit.kiss")</f>
        <v>fit.kiss</v>
      </c>
      <c r="C134" s="124" t="str">
        <f>IFERROR(__xludf.DUMMYFUNCTION("""COMPUTED_VALUE"""),"tiktok")</f>
        <v>tiktok</v>
      </c>
      <c r="D134" s="122"/>
      <c r="E134" s="122" t="str">
        <f>IFERROR(__xludf.DUMMYFUNCTION("""COMPUTED_VALUE"""),"168k")</f>
        <v>168k</v>
      </c>
      <c r="F134" s="122" t="str">
        <f>IFERROR(__xludf.DUMMYFUNCTION("""COMPUTED_VALUE"""),"Lysenko Larysa")</f>
        <v>Lysenko Larysa</v>
      </c>
      <c r="G134" s="126">
        <f>IFERROR(__xludf.DUMMYFUNCTION("""COMPUTED_VALUE"""),35674.0)</f>
        <v>35674</v>
      </c>
      <c r="H134" s="122" t="str">
        <f>IFERROR(__xludf.DUMMYFUNCTION("""COMPUTED_VALUE"""),"AA139224")</f>
        <v>AA139224</v>
      </c>
      <c r="I134" s="131" t="str">
        <f>IFERROR(__xludf.DUMMYFUNCTION("""COMPUTED_VALUE"""),"0904428047")</f>
        <v>0904428047</v>
      </c>
      <c r="J134" s="122" t="str">
        <f>IFERROR(__xludf.DUMMYFUNCTION("""COMPUTED_VALUE"""),"fitkisswork@gmail.com")</f>
        <v>fitkisswork@gmail.com</v>
      </c>
      <c r="K134" s="122"/>
      <c r="L134" s="122"/>
      <c r="M134" s="122"/>
      <c r="N134" s="122"/>
      <c r="O134" s="122"/>
      <c r="P134" s="123" t="str">
        <f>IFERROR(__xludf.DUMMYFUNCTION("""COMPUTED_VALUE"""),"Trâm")</f>
        <v>Trâm</v>
      </c>
      <c r="Q134" s="122"/>
      <c r="R134" s="122" t="str">
        <f>IFERROR(__xludf.DUMMYFUNCTION("""COMPUTED_VALUE"""),"INFLYS047")</f>
        <v>INFLYS047</v>
      </c>
      <c r="S134" s="124" t="str">
        <f>IFERROR(__xludf.DUMMYFUNCTION("""COMPUTED_VALUE"""),"http://yody.vn?affcode=INFLYS047")</f>
        <v>http://yody.vn?affcode=INFLYS047</v>
      </c>
    </row>
    <row r="135">
      <c r="A135" s="122" t="str">
        <f>IFERROR(__xludf.DUMMYFUNCTION("""COMPUTED_VALUE"""),"INFDUNG942")</f>
        <v>INFDUNG942</v>
      </c>
      <c r="B135" s="122" t="str">
        <f>IFERROR(__xludf.DUMMYFUNCTION("""COMPUTED_VALUE"""),"vandung200")</f>
        <v>vandung200</v>
      </c>
      <c r="C135" s="124" t="str">
        <f>IFERROR(__xludf.DUMMYFUNCTION("""COMPUTED_VALUE"""),"tiktok")</f>
        <v>tiktok</v>
      </c>
      <c r="D135" s="122"/>
      <c r="E135" s="122" t="str">
        <f>IFERROR(__xludf.DUMMYFUNCTION("""COMPUTED_VALUE"""),"839k")</f>
        <v>839k</v>
      </c>
      <c r="F135" s="122" t="str">
        <f>IFERROR(__xludf.DUMMYFUNCTION("""COMPUTED_VALUE"""),"Mai Văn Dũng")</f>
        <v>Mai Văn Dũng</v>
      </c>
      <c r="G135" s="122" t="str">
        <f>IFERROR(__xludf.DUMMYFUNCTION("""COMPUTED_VALUE"""),"13/03/2000")</f>
        <v>13/03/2000</v>
      </c>
      <c r="H135" s="122">
        <f>IFERROR(__xludf.DUMMYFUNCTION("""COMPUTED_VALUE"""),2.73706845E8)</f>
        <v>273706845</v>
      </c>
      <c r="I135" s="131" t="str">
        <f>IFERROR(__xludf.DUMMYFUNCTION("""COMPUTED_VALUE"""),"0921892942")</f>
        <v>0921892942</v>
      </c>
      <c r="J135" s="122" t="str">
        <f>IFERROR(__xludf.DUMMYFUNCTION("""COMPUTED_VALUE"""),"maivandung942@gmail.com")</f>
        <v>maivandung942@gmail.com</v>
      </c>
      <c r="K135" s="122"/>
      <c r="L135" s="122"/>
      <c r="M135" s="122"/>
      <c r="N135" s="122"/>
      <c r="O135" s="122"/>
      <c r="P135" s="123" t="str">
        <f>IFERROR(__xludf.DUMMYFUNCTION("""COMPUTED_VALUE"""),"Trâm")</f>
        <v>Trâm</v>
      </c>
      <c r="Q135" s="122"/>
      <c r="R135" s="122" t="str">
        <f>IFERROR(__xludf.DUMMYFUNCTION("""COMPUTED_VALUE"""),"INFDUNG942")</f>
        <v>INFDUNG942</v>
      </c>
      <c r="S135" s="124" t="str">
        <f>IFERROR(__xludf.DUMMYFUNCTION("""COMPUTED_VALUE"""),"http://yody.vn?affcode=INFDUNG942")</f>
        <v>http://yody.vn?affcode=INFDUNG942</v>
      </c>
    </row>
    <row r="136">
      <c r="A136" s="122" t="str">
        <f>IFERROR(__xludf.DUMMYFUNCTION("""COMPUTED_VALUE"""),"INFNHI427")</f>
        <v>INFNHI427</v>
      </c>
      <c r="B136" s="122" t="str">
        <f>IFERROR(__xludf.DUMMYFUNCTION("""COMPUTED_VALUE"""),"Nguyễn Dung Nhi
")</f>
        <v>Nguyễn Dung Nhi
</v>
      </c>
      <c r="C136" s="124" t="str">
        <f>IFERROR(__xludf.DUMMYFUNCTION("""COMPUTED_VALUE"""),"fb")</f>
        <v>fb</v>
      </c>
      <c r="D136" s="122"/>
      <c r="E136" s="122" t="str">
        <f>IFERROR(__xludf.DUMMYFUNCTION("""COMPUTED_VALUE"""),"51k")</f>
        <v>51k</v>
      </c>
      <c r="F136" s="122" t="str">
        <f>IFERROR(__xludf.DUMMYFUNCTION("""COMPUTED_VALUE"""),"Nguyễn Dung Nhi")</f>
        <v>Nguyễn Dung Nhi</v>
      </c>
      <c r="G136" s="122" t="str">
        <f>IFERROR(__xludf.DUMMYFUNCTION("""COMPUTED_VALUE"""),"23/10/2004")</f>
        <v>23/10/2004</v>
      </c>
      <c r="H136" s="122" t="str">
        <f>IFERROR(__xludf.DUMMYFUNCTION("""COMPUTED_VALUE"""),"034304010610")</f>
        <v>034304010610</v>
      </c>
      <c r="I136" s="131" t="str">
        <f>IFERROR(__xludf.DUMMYFUNCTION("""COMPUTED_VALUE"""),"0389449427")</f>
        <v>0389449427</v>
      </c>
      <c r="J136" s="122" t="str">
        <f>IFERROR(__xludf.DUMMYFUNCTION("""COMPUTED_VALUE"""),"Nguyendungnhi1004@gmail.com")</f>
        <v>Nguyendungnhi1004@gmail.com</v>
      </c>
      <c r="K136" s="122"/>
      <c r="L136" s="122"/>
      <c r="M136" s="122"/>
      <c r="N136" s="122"/>
      <c r="O136" s="122"/>
      <c r="P136" s="123" t="str">
        <f>IFERROR(__xludf.DUMMYFUNCTION("""COMPUTED_VALUE"""),"Trâm")</f>
        <v>Trâm</v>
      </c>
      <c r="Q136" s="122"/>
      <c r="R136" s="122" t="str">
        <f>IFERROR(__xludf.DUMMYFUNCTION("""COMPUTED_VALUE"""),"INFNHI427")</f>
        <v>INFNHI427</v>
      </c>
      <c r="S136" s="124" t="str">
        <f>IFERROR(__xludf.DUMMYFUNCTION("""COMPUTED_VALUE"""),"http://yody.vn?affcode=INFNHI427")</f>
        <v>http://yody.vn?affcode=INFNHI427</v>
      </c>
    </row>
    <row r="137">
      <c r="A137" s="122" t="str">
        <f>IFERROR(__xludf.DUMMYFUNCTION("""COMPUTED_VALUE"""),"INFTHINH066")</f>
        <v>INFTHINH066</v>
      </c>
      <c r="B137" s="122" t="str">
        <f>IFERROR(__xludf.DUMMYFUNCTION("""COMPUTED_VALUE"""),"
phamhuuthinh2003")</f>
        <v>
phamhuuthinh2003</v>
      </c>
      <c r="C137" s="124" t="str">
        <f>IFERROR(__xludf.DUMMYFUNCTION("""COMPUTED_VALUE"""),"tiktok")</f>
        <v>tiktok</v>
      </c>
      <c r="D137" s="122"/>
      <c r="E137" s="122" t="str">
        <f>IFERROR(__xludf.DUMMYFUNCTION("""COMPUTED_VALUE"""),"1,6M")</f>
        <v>1,6M</v>
      </c>
      <c r="F137" s="122" t="str">
        <f>IFERROR(__xludf.DUMMYFUNCTION("""COMPUTED_VALUE"""),"Phạm Hữu Thịnh")</f>
        <v>Phạm Hữu Thịnh</v>
      </c>
      <c r="G137" s="122" t="str">
        <f>IFERROR(__xludf.DUMMYFUNCTION("""COMPUTED_VALUE"""),"29/10/2003")</f>
        <v>29/10/2003</v>
      </c>
      <c r="H137" s="122">
        <f>IFERROR(__xludf.DUMMYFUNCTION("""COMPUTED_VALUE"""),3.01827816E8)</f>
        <v>301827816</v>
      </c>
      <c r="I137" s="131" t="str">
        <f>IFERROR(__xludf.DUMMYFUNCTION("""COMPUTED_VALUE"""),"0845083066")</f>
        <v>0845083066</v>
      </c>
      <c r="J137" s="122" t="str">
        <f>IFERROR(__xludf.DUMMYFUNCTION("""COMPUTED_VALUE"""),"kimsoojoon2@gmail.com")</f>
        <v>kimsoojoon2@gmail.com</v>
      </c>
      <c r="K137" s="122"/>
      <c r="L137" s="122"/>
      <c r="M137" s="122"/>
      <c r="N137" s="122"/>
      <c r="O137" s="122"/>
      <c r="P137" s="123" t="str">
        <f>IFERROR(__xludf.DUMMYFUNCTION("""COMPUTED_VALUE"""),"Trâm")</f>
        <v>Trâm</v>
      </c>
      <c r="Q137" s="122"/>
      <c r="R137" s="122" t="str">
        <f>IFERROR(__xludf.DUMMYFUNCTION("""COMPUTED_VALUE"""),"INFTHINH066")</f>
        <v>INFTHINH066</v>
      </c>
      <c r="S137" s="124" t="str">
        <f>IFERROR(__xludf.DUMMYFUNCTION("""COMPUTED_VALUE"""),"http://yody.vn?affcode=INFTHINH066")</f>
        <v>http://yody.vn?affcode=INFTHINH066</v>
      </c>
    </row>
    <row r="138">
      <c r="A138" s="122" t="str">
        <f>IFERROR(__xludf.DUMMYFUNCTION("""COMPUTED_VALUE"""),"INFLY143")</f>
        <v>INFLY143</v>
      </c>
      <c r="B138" s="122" t="str">
        <f>IFERROR(__xludf.DUMMYFUNCTION("""COMPUTED_VALUE"""),"vuphamthaoly")</f>
        <v>vuphamthaoly</v>
      </c>
      <c r="C138" s="124" t="str">
        <f>IFERROR(__xludf.DUMMYFUNCTION("""COMPUTED_VALUE"""),"tiktok")</f>
        <v>tiktok</v>
      </c>
      <c r="D138" s="122"/>
      <c r="E138" s="122" t="str">
        <f>IFERROR(__xludf.DUMMYFUNCTION("""COMPUTED_VALUE"""),"807k")</f>
        <v>807k</v>
      </c>
      <c r="F138" s="122" t="str">
        <f>IFERROR(__xludf.DUMMYFUNCTION("""COMPUTED_VALUE"""),"Vũ Phạm Thảo Ly")</f>
        <v>Vũ Phạm Thảo Ly</v>
      </c>
      <c r="G138" s="122" t="str">
        <f>IFERROR(__xludf.DUMMYFUNCTION("""COMPUTED_VALUE"""),"18/05/1997")</f>
        <v>18/05/1997</v>
      </c>
      <c r="H138" s="122">
        <f>IFERROR(__xludf.DUMMYFUNCTION("""COMPUTED_VALUE"""),2.51014379E8)</f>
        <v>251014379</v>
      </c>
      <c r="I138" s="131" t="str">
        <f>IFERROR(__xludf.DUMMYFUNCTION("""COMPUTED_VALUE"""),"0902521143 ")</f>
        <v>0902521143 </v>
      </c>
      <c r="J138" s="122" t="str">
        <f>IFERROR(__xludf.DUMMYFUNCTION("""COMPUTED_VALUE"""),"vuphamthaoly.97@gmail.com")</f>
        <v>vuphamthaoly.97@gmail.com</v>
      </c>
      <c r="K138" s="122"/>
      <c r="L138" s="122"/>
      <c r="M138" s="122"/>
      <c r="N138" s="122"/>
      <c r="O138" s="122"/>
      <c r="P138" s="123" t="str">
        <f>IFERROR(__xludf.DUMMYFUNCTION("""COMPUTED_VALUE"""),"Trâm")</f>
        <v>Trâm</v>
      </c>
      <c r="Q138" s="122"/>
      <c r="R138" s="122" t="str">
        <f>IFERROR(__xludf.DUMMYFUNCTION("""COMPUTED_VALUE"""),"INFLY143")</f>
        <v>INFLY143</v>
      </c>
      <c r="S138" s="124" t="str">
        <f>IFERROR(__xludf.DUMMYFUNCTION("""COMPUTED_VALUE"""),"http://yody.vn?affcode=INFLY143")</f>
        <v>http://yody.vn?affcode=INFLY143</v>
      </c>
    </row>
    <row r="139">
      <c r="A139" s="122" t="str">
        <f>IFERROR(__xludf.DUMMYFUNCTION("""COMPUTED_VALUE"""),"INFNHUNG475")</f>
        <v>INFNHUNG475</v>
      </c>
      <c r="B139" s="122" t="str">
        <f>IFERROR(__xludf.DUMMYFUNCTION("""COMPUTED_VALUE"""),"hongnhung020997")</f>
        <v>hongnhung020997</v>
      </c>
      <c r="C139" s="124" t="str">
        <f>IFERROR(__xludf.DUMMYFUNCTION("""COMPUTED_VALUE"""),"tiktok")</f>
        <v>tiktok</v>
      </c>
      <c r="D139" s="122"/>
      <c r="E139" s="122" t="str">
        <f>IFERROR(__xludf.DUMMYFUNCTION("""COMPUTED_VALUE"""),"607k")</f>
        <v>607k</v>
      </c>
      <c r="F139" s="122" t="str">
        <f>IFERROR(__xludf.DUMMYFUNCTION("""COMPUTED_VALUE"""),"Trần Hồng Nhung")</f>
        <v>Trần Hồng Nhung</v>
      </c>
      <c r="G139" s="126">
        <f>IFERROR(__xludf.DUMMYFUNCTION("""COMPUTED_VALUE"""),35470.0)</f>
        <v>35470</v>
      </c>
      <c r="H139" s="122">
        <f>IFERROR(__xludf.DUMMYFUNCTION("""COMPUTED_VALUE"""),2.51110341E8)</f>
        <v>251110341</v>
      </c>
      <c r="I139" s="131" t="str">
        <f>IFERROR(__xludf.DUMMYFUNCTION("""COMPUTED_VALUE"""),"0326933475")</f>
        <v>0326933475</v>
      </c>
      <c r="J139" s="122" t="str">
        <f>IFERROR(__xludf.DUMMYFUNCTION("""COMPUTED_VALUE"""),"hongnhung99.work@gmail.com")</f>
        <v>hongnhung99.work@gmail.com</v>
      </c>
      <c r="K139" s="122"/>
      <c r="L139" s="122"/>
      <c r="M139" s="122"/>
      <c r="N139" s="122"/>
      <c r="O139" s="122"/>
      <c r="P139" s="123" t="str">
        <f>IFERROR(__xludf.DUMMYFUNCTION("""COMPUTED_VALUE"""),"Trâm")</f>
        <v>Trâm</v>
      </c>
      <c r="Q139" s="122"/>
      <c r="R139" s="122" t="str">
        <f>IFERROR(__xludf.DUMMYFUNCTION("""COMPUTED_VALUE"""),"INFNHUNG475")</f>
        <v>INFNHUNG475</v>
      </c>
      <c r="S139" s="124" t="str">
        <f>IFERROR(__xludf.DUMMYFUNCTION("""COMPUTED_VALUE"""),"http://yody.vn?affcode=INFNHUNG475")</f>
        <v>http://yody.vn?affcode=INFNHUNG475</v>
      </c>
    </row>
    <row r="140">
      <c r="A140" s="122" t="str">
        <f>IFERROR(__xludf.DUMMYFUNCTION("""COMPUTED_VALUE"""),"INFTRAN484")</f>
        <v>INFTRAN484</v>
      </c>
      <c r="B140" s="122" t="str">
        <f>IFERROR(__xludf.DUMMYFUNCTION("""COMPUTED_VALUE"""),"baobao2494")</f>
        <v>baobao2494</v>
      </c>
      <c r="C140" s="124" t="str">
        <f>IFERROR(__xludf.DUMMYFUNCTION("""COMPUTED_VALUE"""),"tiktok")</f>
        <v>tiktok</v>
      </c>
      <c r="D140" s="122"/>
      <c r="E140" s="122" t="str">
        <f>IFERROR(__xludf.DUMMYFUNCTION("""COMPUTED_VALUE"""),"493k")</f>
        <v>493k</v>
      </c>
      <c r="F140" s="122" t="str">
        <f>IFERROR(__xludf.DUMMYFUNCTION("""COMPUTED_VALUE"""),"Trương Khả Trân")</f>
        <v>Trương Khả Trân</v>
      </c>
      <c r="G140" s="122" t="str">
        <f>IFERROR(__xludf.DUMMYFUNCTION("""COMPUTED_VALUE"""),"24/09/1994")</f>
        <v>24/09/1994</v>
      </c>
      <c r="H140" s="122" t="str">
        <f>IFERROR(__xludf.DUMMYFUNCTION("""COMPUTED_VALUE"""),"C8340879")</f>
        <v>C8340879</v>
      </c>
      <c r="I140" s="131" t="str">
        <f>IFERROR(__xludf.DUMMYFUNCTION("""COMPUTED_VALUE"""),"0848487484")</f>
        <v>0848487484</v>
      </c>
      <c r="J140" s="122" t="str">
        <f>IFERROR(__xludf.DUMMYFUNCTION("""COMPUTED_VALUE"""),"baobaobei179@gmail.com")</f>
        <v>baobaobei179@gmail.com</v>
      </c>
      <c r="K140" s="122"/>
      <c r="L140" s="122"/>
      <c r="M140" s="122"/>
      <c r="N140" s="122"/>
      <c r="O140" s="122"/>
      <c r="P140" s="123" t="str">
        <f>IFERROR(__xludf.DUMMYFUNCTION("""COMPUTED_VALUE"""),"Trâm")</f>
        <v>Trâm</v>
      </c>
      <c r="Q140" s="122"/>
      <c r="R140" s="122" t="str">
        <f>IFERROR(__xludf.DUMMYFUNCTION("""COMPUTED_VALUE"""),"INFTRAN484")</f>
        <v>INFTRAN484</v>
      </c>
      <c r="S140" s="124" t="str">
        <f>IFERROR(__xludf.DUMMYFUNCTION("""COMPUTED_VALUE"""),"http://yody.vn?affcode=INFTRAN484")</f>
        <v>http://yody.vn?affcode=INFTRAN484</v>
      </c>
    </row>
    <row r="141">
      <c r="A141" s="122" t="str">
        <f>IFERROR(__xludf.DUMMYFUNCTION("""COMPUTED_VALUE"""),"INFTRANG743")</f>
        <v>INFTRANG743</v>
      </c>
      <c r="B141" s="122" t="str">
        <f>IFERROR(__xludf.DUMMYFUNCTION("""COMPUTED_VALUE"""),"hii_minhlakhatrang")</f>
        <v>hii_minhlakhatrang</v>
      </c>
      <c r="C141" s="124" t="str">
        <f>IFERROR(__xludf.DUMMYFUNCTION("""COMPUTED_VALUE"""),"tiktok")</f>
        <v>tiktok</v>
      </c>
      <c r="D141" s="122"/>
      <c r="E141" s="122" t="str">
        <f>IFERROR(__xludf.DUMMYFUNCTION("""COMPUTED_VALUE"""),"372k")</f>
        <v>372k</v>
      </c>
      <c r="F141" s="122" t="str">
        <f>IFERROR(__xludf.DUMMYFUNCTION("""COMPUTED_VALUE"""),"Nguyễn Thị Kim Trang")</f>
        <v>Nguyễn Thị Kim Trang</v>
      </c>
      <c r="G141" s="126">
        <f>IFERROR(__xludf.DUMMYFUNCTION("""COMPUTED_VALUE"""),38241.0)</f>
        <v>38241</v>
      </c>
      <c r="H141" s="122" t="str">
        <f>IFERROR(__xludf.DUMMYFUNCTION("""COMPUTED_VALUE"""),"079304013824")</f>
        <v>079304013824</v>
      </c>
      <c r="I141" s="131" t="str">
        <f>IFERROR(__xludf.DUMMYFUNCTION("""COMPUTED_VALUE"""),"0961744743")</f>
        <v>0961744743</v>
      </c>
      <c r="J141" s="122" t="str">
        <f>IFERROR(__xludf.DUMMYFUNCTION("""COMPUTED_VALUE"""),"khatrangduong0911@gmail.com")</f>
        <v>khatrangduong0911@gmail.com</v>
      </c>
      <c r="K141" s="122"/>
      <c r="L141" s="122"/>
      <c r="M141" s="122"/>
      <c r="N141" s="122"/>
      <c r="O141" s="122"/>
      <c r="P141" s="123" t="str">
        <f>IFERROR(__xludf.DUMMYFUNCTION("""COMPUTED_VALUE"""),"Trâm")</f>
        <v>Trâm</v>
      </c>
      <c r="Q141" s="122"/>
      <c r="R141" s="122" t="str">
        <f>IFERROR(__xludf.DUMMYFUNCTION("""COMPUTED_VALUE"""),"INFTRANG743")</f>
        <v>INFTRANG743</v>
      </c>
      <c r="S141" s="124" t="str">
        <f>IFERROR(__xludf.DUMMYFUNCTION("""COMPUTED_VALUE"""),"http://yody.vn?affcode=INFTRANG743")</f>
        <v>http://yody.vn?affcode=INFTRANG743</v>
      </c>
    </row>
    <row r="142">
      <c r="A142" s="122" t="str">
        <f>IFERROR(__xludf.DUMMYFUNCTION("""COMPUTED_VALUE"""),"INFNHUNG798")</f>
        <v>INFNHUNG798</v>
      </c>
      <c r="B142" s="122" t="str">
        <f>IFERROR(__xludf.DUMMYFUNCTION("""COMPUTED_VALUE"""),"nhungtinhyeu")</f>
        <v>nhungtinhyeu</v>
      </c>
      <c r="C142" s="124" t="str">
        <f>IFERROR(__xludf.DUMMYFUNCTION("""COMPUTED_VALUE"""),"tiktok")</f>
        <v>tiktok</v>
      </c>
      <c r="D142" s="122"/>
      <c r="E142" s="122" t="str">
        <f>IFERROR(__xludf.DUMMYFUNCTION("""COMPUTED_VALUE"""),"446k")</f>
        <v>446k</v>
      </c>
      <c r="F142" s="122" t="str">
        <f>IFERROR(__xludf.DUMMYFUNCTION("""COMPUTED_VALUE"""),"Vũ Thị Hồng Nhung")</f>
        <v>Vũ Thị Hồng Nhung</v>
      </c>
      <c r="G142" s="125">
        <f>IFERROR(__xludf.DUMMYFUNCTION("""COMPUTED_VALUE"""),36842.0)</f>
        <v>36842</v>
      </c>
      <c r="H142" s="122" t="str">
        <f>IFERROR(__xludf.DUMMYFUNCTION("""COMPUTED_VALUE"""),"061113019")</f>
        <v>061113019</v>
      </c>
      <c r="I142" s="131" t="str">
        <f>IFERROR(__xludf.DUMMYFUNCTION("""COMPUTED_VALUE"""),"0355648798")</f>
        <v>0355648798</v>
      </c>
      <c r="J142" s="122" t="str">
        <f>IFERROR(__xludf.DUMMYFUNCTION("""COMPUTED_VALUE"""),"vthnhung.12b3lqd2018@gmail.com")</f>
        <v>vthnhung.12b3lqd2018@gmail.com</v>
      </c>
      <c r="K142" s="122"/>
      <c r="L142" s="122"/>
      <c r="M142" s="122"/>
      <c r="N142" s="122"/>
      <c r="O142" s="122"/>
      <c r="P142" s="123" t="str">
        <f>IFERROR(__xludf.DUMMYFUNCTION("""COMPUTED_VALUE"""),"Trâm")</f>
        <v>Trâm</v>
      </c>
      <c r="Q142" s="122"/>
      <c r="R142" s="122" t="str">
        <f>IFERROR(__xludf.DUMMYFUNCTION("""COMPUTED_VALUE"""),"INFNHUNG798")</f>
        <v>INFNHUNG798</v>
      </c>
      <c r="S142" s="124" t="str">
        <f>IFERROR(__xludf.DUMMYFUNCTION("""COMPUTED_VALUE"""),"http://yody.vn?affcode=INFNHUNG798")</f>
        <v>http://yody.vn?affcode=INFNHUNG798</v>
      </c>
    </row>
    <row r="143">
      <c r="A143" s="122" t="str">
        <f>IFERROR(__xludf.DUMMYFUNCTION("""COMPUTED_VALUE"""),"INF_BANHKEMNHATRANG")</f>
        <v>INF_BANHKEMNHATRANG</v>
      </c>
      <c r="B143" s="122" t="str">
        <f>IFERROR(__xludf.DUMMYFUNCTION("""COMPUTED_VALUE"""),"kembanhque")</f>
        <v>kembanhque</v>
      </c>
      <c r="C143" s="124" t="str">
        <f>IFERROR(__xludf.DUMMYFUNCTION("""COMPUTED_VALUE"""),"tiktok")</f>
        <v>tiktok</v>
      </c>
      <c r="D143" s="122"/>
      <c r="E143" s="122" t="str">
        <f>IFERROR(__xludf.DUMMYFUNCTION("""COMPUTED_VALUE"""),"1,8m")</f>
        <v>1,8m</v>
      </c>
      <c r="F143" s="122" t="str">
        <f>IFERROR(__xludf.DUMMYFUNCTION("""COMPUTED_VALUE"""),"Huỳnh Thủy Diệu ( người đại diện) ")</f>
        <v>Huỳnh Thủy Diệu ( người đại diện) </v>
      </c>
      <c r="G143" s="122" t="str">
        <f>IFERROR(__xludf.DUMMYFUNCTION("""COMPUTED_VALUE"""),"29/08/1996")</f>
        <v>29/08/1996</v>
      </c>
      <c r="H143" s="122" t="str">
        <f>IFERROR(__xludf.DUMMYFUNCTION("""COMPUTED_VALUE"""),"C8212635")</f>
        <v>C8212635</v>
      </c>
      <c r="I143" s="131" t="str">
        <f>IFERROR(__xludf.DUMMYFUNCTION("""COMPUTED_VALUE"""),"0367981235")</f>
        <v>0367981235</v>
      </c>
      <c r="J143" s="122" t="str">
        <f>IFERROR(__xludf.DUMMYFUNCTION("""COMPUTED_VALUE"""),"dieu.agent@gmail.com")</f>
        <v>dieu.agent@gmail.com</v>
      </c>
      <c r="K143" s="122"/>
      <c r="L143" s="122"/>
      <c r="M143" s="122"/>
      <c r="N143" s="122"/>
      <c r="O143" s="122"/>
      <c r="P143" s="123" t="str">
        <f>IFERROR(__xludf.DUMMYFUNCTION("""COMPUTED_VALUE"""),"Trâm")</f>
        <v>Trâm</v>
      </c>
      <c r="Q143" s="122"/>
      <c r="R143" s="122" t="str">
        <f>IFERROR(__xludf.DUMMYFUNCTION("""COMPUTED_VALUE"""),"INF_BANHKEMNHATRANG")</f>
        <v>INF_BANHKEMNHATRANG</v>
      </c>
      <c r="S143" s="124" t="str">
        <f>IFERROR(__xludf.DUMMYFUNCTION("""COMPUTED_VALUE"""),"http://yody.vn?affcode=INF_BANHKEMNHATRANG")</f>
        <v>http://yody.vn?affcode=INF_BANHKEMNHATRANG</v>
      </c>
    </row>
    <row r="144">
      <c r="A144" s="122" t="str">
        <f>IFERROR(__xludf.DUMMYFUNCTION("""COMPUTED_VALUE"""),"INFANH121")</f>
        <v>INFANH121</v>
      </c>
      <c r="B144" s="122" t="str">
        <f>IFERROR(__xludf.DUMMYFUNCTION("""COMPUTED_VALUE"""),"honganhh712")</f>
        <v>honganhh712</v>
      </c>
      <c r="C144" s="124" t="str">
        <f>IFERROR(__xludf.DUMMYFUNCTION("""COMPUTED_VALUE"""),"tiktok")</f>
        <v>tiktok</v>
      </c>
      <c r="D144" s="122"/>
      <c r="E144" s="122" t="str">
        <f>IFERROR(__xludf.DUMMYFUNCTION("""COMPUTED_VALUE"""),"531k")</f>
        <v>531k</v>
      </c>
      <c r="F144" s="122" t="str">
        <f>IFERROR(__xludf.DUMMYFUNCTION("""COMPUTED_VALUE"""),"Nguyễn Thị Hồng Ánh")</f>
        <v>Nguyễn Thị Hồng Ánh</v>
      </c>
      <c r="G144" s="126">
        <f>IFERROR(__xludf.DUMMYFUNCTION("""COMPUTED_VALUE"""),35623.0)</f>
        <v>35623</v>
      </c>
      <c r="H144" s="122" t="str">
        <f>IFERROR(__xludf.DUMMYFUNCTION("""COMPUTED_VALUE"""),"079197006504")</f>
        <v>079197006504</v>
      </c>
      <c r="I144" s="131" t="str">
        <f>IFERROR(__xludf.DUMMYFUNCTION("""COMPUTED_VALUE"""),"0798201121")</f>
        <v>0798201121</v>
      </c>
      <c r="J144" s="122" t="str">
        <f>IFERROR(__xludf.DUMMYFUNCTION("""COMPUTED_VALUE"""),"nguyenanh71297@gmail.com")</f>
        <v>nguyenanh71297@gmail.com</v>
      </c>
      <c r="K144" s="122"/>
      <c r="L144" s="122"/>
      <c r="M144" s="122"/>
      <c r="N144" s="122"/>
      <c r="O144" s="122"/>
      <c r="P144" s="123" t="str">
        <f>IFERROR(__xludf.DUMMYFUNCTION("""COMPUTED_VALUE"""),"Trâm")</f>
        <v>Trâm</v>
      </c>
      <c r="Q144" s="122"/>
      <c r="R144" s="122" t="str">
        <f>IFERROR(__xludf.DUMMYFUNCTION("""COMPUTED_VALUE"""),"INFANH121")</f>
        <v>INFANH121</v>
      </c>
      <c r="S144" s="124" t="str">
        <f>IFERROR(__xludf.DUMMYFUNCTION("""COMPUTED_VALUE"""),"http://yody.vn?affcode=INFANH121")</f>
        <v>http://yody.vn?affcode=INFANH121</v>
      </c>
    </row>
    <row r="145">
      <c r="A145" s="122" t="str">
        <f>IFERROR(__xludf.DUMMYFUNCTION("""COMPUTED_VALUE"""),"INFTRANG693")</f>
        <v>INFTRANG693</v>
      </c>
      <c r="B145" s="122" t="str">
        <f>IFERROR(__xludf.DUMMYFUNCTION("""COMPUTED_VALUE"""),"trangchun186")</f>
        <v>trangchun186</v>
      </c>
      <c r="C145" s="124" t="str">
        <f>IFERROR(__xludf.DUMMYFUNCTION("""COMPUTED_VALUE"""),"tiktok")</f>
        <v>tiktok</v>
      </c>
      <c r="D145" s="122"/>
      <c r="E145" s="122" t="str">
        <f>IFERROR(__xludf.DUMMYFUNCTION("""COMPUTED_VALUE"""),"2,2 m")</f>
        <v>2,2 m</v>
      </c>
      <c r="F145" s="122" t="str">
        <f>IFERROR(__xludf.DUMMYFUNCTION("""COMPUTED_VALUE"""),"Hà Thu Trang")</f>
        <v>Hà Thu Trang</v>
      </c>
      <c r="G145" s="122" t="str">
        <f>IFERROR(__xludf.DUMMYFUNCTION("""COMPUTED_VALUE"""),"18/06/1993")</f>
        <v>18/06/1993</v>
      </c>
      <c r="H145" s="122" t="str">
        <f>IFERROR(__xludf.DUMMYFUNCTION("""COMPUTED_VALUE"""),"060966157")</f>
        <v>060966157</v>
      </c>
      <c r="I145" s="131" t="str">
        <f>IFERROR(__xludf.DUMMYFUNCTION("""COMPUTED_VALUE"""),"0986180693")</f>
        <v>0986180693</v>
      </c>
      <c r="J145" s="122" t="str">
        <f>IFERROR(__xludf.DUMMYFUNCTION("""COMPUTED_VALUE"""),"Hathutrang180693@gmail.com")</f>
        <v>Hathutrang180693@gmail.com</v>
      </c>
      <c r="K145" s="122"/>
      <c r="L145" s="122"/>
      <c r="M145" s="122"/>
      <c r="N145" s="122"/>
      <c r="O145" s="122"/>
      <c r="P145" s="123" t="str">
        <f>IFERROR(__xludf.DUMMYFUNCTION("""COMPUTED_VALUE"""),"Trâm")</f>
        <v>Trâm</v>
      </c>
      <c r="Q145" s="122"/>
      <c r="R145" s="122" t="str">
        <f>IFERROR(__xludf.DUMMYFUNCTION("""COMPUTED_VALUE"""),"INFTRANG693")</f>
        <v>INFTRANG693</v>
      </c>
      <c r="S145" s="124" t="str">
        <f>IFERROR(__xludf.DUMMYFUNCTION("""COMPUTED_VALUE""")," http://yody.vn?affcode=INFTRANG693")</f>
        <v> http://yody.vn?affcode=INFTRANG693</v>
      </c>
    </row>
    <row r="146">
      <c r="A146" s="122" t="str">
        <f>IFERROR(__xludf.DUMMYFUNCTION("""COMPUTED_VALUE"""),"INFBANG369")</f>
        <v>INFBANG369</v>
      </c>
      <c r="B146" s="122" t="str">
        <f>IFERROR(__xludf.DUMMYFUNCTION("""COMPUTED_VALUE"""),"thebang23  ")</f>
        <v>thebang23  </v>
      </c>
      <c r="C146" s="124" t="str">
        <f>IFERROR(__xludf.DUMMYFUNCTION("""COMPUTED_VALUE"""),"tiktok")</f>
        <v>tiktok</v>
      </c>
      <c r="D146" s="122"/>
      <c r="E146" s="122" t="str">
        <f>IFERROR(__xludf.DUMMYFUNCTION("""COMPUTED_VALUE"""),"2,4m")</f>
        <v>2,4m</v>
      </c>
      <c r="F146" s="122" t="str">
        <f>IFERROR(__xludf.DUMMYFUNCTION("""COMPUTED_VALUE"""),"Phạm Thế Bằng")</f>
        <v>Phạm Thế Bằng</v>
      </c>
      <c r="G146" s="122" t="str">
        <f>IFERROR(__xludf.DUMMYFUNCTION("""COMPUTED_VALUE"""),"23/08/2000")</f>
        <v>23/08/2000</v>
      </c>
      <c r="H146" s="122">
        <f>IFERROR(__xludf.DUMMYFUNCTION("""COMPUTED_VALUE"""),2.85573224E8)</f>
        <v>285573224</v>
      </c>
      <c r="I146" s="131" t="str">
        <f>IFERROR(__xludf.DUMMYFUNCTION("""COMPUTED_VALUE"""),"0974966396")</f>
        <v>0974966396</v>
      </c>
      <c r="J146" s="122" t="str">
        <f>IFERROR(__xludf.DUMMYFUNCTION("""COMPUTED_VALUE"""),"Thebangp2@gmail.com")</f>
        <v>Thebangp2@gmail.com</v>
      </c>
      <c r="K146" s="122"/>
      <c r="L146" s="122"/>
      <c r="M146" s="122"/>
      <c r="N146" s="122"/>
      <c r="O146" s="122"/>
      <c r="P146" s="123" t="str">
        <f>IFERROR(__xludf.DUMMYFUNCTION("""COMPUTED_VALUE"""),"Trâm")</f>
        <v>Trâm</v>
      </c>
      <c r="Q146" s="122"/>
      <c r="R146" s="122" t="str">
        <f>IFERROR(__xludf.DUMMYFUNCTION("""COMPUTED_VALUE"""),"INFBANG369")</f>
        <v>INFBANG369</v>
      </c>
      <c r="S146" s="124" t="str">
        <f>IFERROR(__xludf.DUMMYFUNCTION("""COMPUTED_VALUE"""),"http://yody.vn?affcode=INFBANG369")</f>
        <v>http://yody.vn?affcode=INFBANG369</v>
      </c>
    </row>
    <row r="147">
      <c r="A147" s="122" t="str">
        <f>IFERROR(__xludf.DUMMYFUNCTION("""COMPUTED_VALUE"""),"INFMY812")</f>
        <v>INFMY812</v>
      </c>
      <c r="B147" s="122" t="str">
        <f>IFERROR(__xludf.DUMMYFUNCTION("""COMPUTED_VALUE"""),"dienmy_16th2")</f>
        <v>dienmy_16th2</v>
      </c>
      <c r="C147" s="124" t="str">
        <f>IFERROR(__xludf.DUMMYFUNCTION("""COMPUTED_VALUE"""),"tiktok")</f>
        <v>tiktok</v>
      </c>
      <c r="D147" s="122"/>
      <c r="E147" s="122" t="str">
        <f>IFERROR(__xludf.DUMMYFUNCTION("""COMPUTED_VALUE"""),"694k")</f>
        <v>694k</v>
      </c>
      <c r="F147" s="122" t="str">
        <f>IFERROR(__xludf.DUMMYFUNCTION("""COMPUTED_VALUE"""),"Trần Nguyễn Diễm My")</f>
        <v>Trần Nguyễn Diễm My</v>
      </c>
      <c r="G147" s="126">
        <f>IFERROR(__xludf.DUMMYFUNCTION("""COMPUTED_VALUE"""),38111.0)</f>
        <v>38111</v>
      </c>
      <c r="H147" s="122">
        <f>IFERROR(__xludf.DUMMYFUNCTION("""COMPUTED_VALUE"""),2.15611874E8)</f>
        <v>215611874</v>
      </c>
      <c r="I147" s="131" t="str">
        <f>IFERROR(__xludf.DUMMYFUNCTION("""COMPUTED_VALUE"""),"0899994812")</f>
        <v>0899994812</v>
      </c>
      <c r="J147" s="122" t="str">
        <f>IFERROR(__xludf.DUMMYFUNCTION("""COMPUTED_VALUE"""),"Diemmy1113588@gmail.com")</f>
        <v>Diemmy1113588@gmail.com</v>
      </c>
      <c r="K147" s="122"/>
      <c r="L147" s="122"/>
      <c r="M147" s="122"/>
      <c r="N147" s="122"/>
      <c r="O147" s="122"/>
      <c r="P147" s="123" t="str">
        <f>IFERROR(__xludf.DUMMYFUNCTION("""COMPUTED_VALUE"""),"Trâm")</f>
        <v>Trâm</v>
      </c>
      <c r="Q147" s="122"/>
      <c r="R147" s="122" t="str">
        <f>IFERROR(__xludf.DUMMYFUNCTION("""COMPUTED_VALUE"""),"INFMY812")</f>
        <v>INFMY812</v>
      </c>
      <c r="S147" s="124" t="str">
        <f>IFERROR(__xludf.DUMMYFUNCTION("""COMPUTED_VALUE"""),"http://yody.vn?affcode=INFMY812")</f>
        <v>http://yody.vn?affcode=INFMY812</v>
      </c>
    </row>
    <row r="148">
      <c r="A148" s="122" t="str">
        <f>IFERROR(__xludf.DUMMYFUNCTION("""COMPUTED_VALUE"""),"INFTRUNG761")</f>
        <v>INFTRUNG761</v>
      </c>
      <c r="B148" s="122" t="str">
        <f>IFERROR(__xludf.DUMMYFUNCTION("""COMPUTED_VALUE"""),"Trung Kê")</f>
        <v>Trung Kê</v>
      </c>
      <c r="C148" s="124" t="str">
        <f>IFERROR(__xludf.DUMMYFUNCTION("""COMPUTED_VALUE"""),"tiktok")</f>
        <v>tiktok</v>
      </c>
      <c r="D148" s="122"/>
      <c r="E148" s="122" t="str">
        <f>IFERROR(__xludf.DUMMYFUNCTION("""COMPUTED_VALUE"""),"239,3k")</f>
        <v>239,3k</v>
      </c>
      <c r="F148" s="122" t="str">
        <f>IFERROR(__xludf.DUMMYFUNCTION("""COMPUTED_VALUE"""),"Kê Anh Trung")</f>
        <v>Kê Anh Trung</v>
      </c>
      <c r="G148" s="122" t="str">
        <f>IFERROR(__xludf.DUMMYFUNCTION("""COMPUTED_VALUE"""),"23/05/1996")</f>
        <v>23/05/1996</v>
      </c>
      <c r="H148" s="122" t="str">
        <f>IFERROR(__xludf.DUMMYFUNCTION("""COMPUTED_VALUE"""),"00109608952")</f>
        <v>00109608952</v>
      </c>
      <c r="I148" s="122" t="str">
        <f>IFERROR(__xludf.DUMMYFUNCTION("""COMPUTED_VALUE"""),"0786267761")</f>
        <v>0786267761</v>
      </c>
      <c r="J148" s="122" t="str">
        <f>IFERROR(__xludf.DUMMYFUNCTION("""COMPUTED_VALUE"""),"somilabels@gmail.com")</f>
        <v>somilabels@gmail.com</v>
      </c>
      <c r="K148" s="122">
        <f>IFERROR(__xludf.DUMMYFUNCTION("""COMPUTED_VALUE"""),1.9035561160014E13)</f>
        <v>19035561160014</v>
      </c>
      <c r="L148" s="122" t="str">
        <f>IFERROR(__xludf.DUMMYFUNCTION("""COMPUTED_VALUE"""),"Ke Anh Trung")</f>
        <v>Ke Anh Trung</v>
      </c>
      <c r="M148" s="122" t="str">
        <f>IFERROR(__xludf.DUMMYFUNCTION("""COMPUTED_VALUE"""),"Techcombank ")</f>
        <v>Techcombank </v>
      </c>
      <c r="N148" s="122" t="str">
        <f>IFERROR(__xludf.DUMMYFUNCTION("""COMPUTED_VALUE"""),"Tổ 36 Trung Hoà, Cầu Giấy, Hà Nội")</f>
        <v>Tổ 36 Trung Hoà, Cầu Giấy, Hà Nội</v>
      </c>
      <c r="O148" s="122" t="str">
        <f>IFERROR(__xludf.DUMMYFUNCTION("""COMPUTED_VALUE"""),"Hoa")</f>
        <v>Hoa</v>
      </c>
      <c r="P148" s="123" t="str">
        <f>IFERROR(__xludf.DUMMYFUNCTION("""COMPUTED_VALUE"""),"Hoa")</f>
        <v>Hoa</v>
      </c>
      <c r="Q148" s="122"/>
      <c r="R148" s="122" t="str">
        <f>IFERROR(__xludf.DUMMYFUNCTION("""COMPUTED_VALUE"""),"INFTRUNG761")</f>
        <v>INFTRUNG761</v>
      </c>
      <c r="S148" s="124" t="str">
        <f>IFERROR(__xludf.DUMMYFUNCTION("""COMPUTED_VALUE"""),"http://yody.vn?affcode=INFTRUNG761")</f>
        <v>http://yody.vn?affcode=INFTRUNG761</v>
      </c>
    </row>
    <row r="149">
      <c r="A149" s="122" t="str">
        <f>IFERROR(__xludf.DUMMYFUNCTION("""COMPUTED_VALUE"""),"INFPHONG828")</f>
        <v>INFPHONG828</v>
      </c>
      <c r="B149" s="122" t="str">
        <f>IFERROR(__xludf.DUMMYFUNCTION("""COMPUTED_VALUE"""),"haiphongphoto.x")</f>
        <v>haiphongphoto.x</v>
      </c>
      <c r="C149" s="124" t="str">
        <f>IFERROR(__xludf.DUMMYFUNCTION("""COMPUTED_VALUE"""),"tiktok")</f>
        <v>tiktok</v>
      </c>
      <c r="D149" s="122"/>
      <c r="E149" s="122" t="str">
        <f>IFERROR(__xludf.DUMMYFUNCTION("""COMPUTED_VALUE"""),"309.9K
")</f>
        <v>309.9K
</v>
      </c>
      <c r="F149" s="122" t="str">
        <f>IFERROR(__xludf.DUMMYFUNCTION("""COMPUTED_VALUE"""),"Đặng Hải Phong")</f>
        <v>Đặng Hải Phong</v>
      </c>
      <c r="G149" s="122" t="str">
        <f>IFERROR(__xludf.DUMMYFUNCTION("""COMPUTED_VALUE"""),"20/02/1997")</f>
        <v>20/02/1997</v>
      </c>
      <c r="H149" s="122">
        <f>IFERROR(__xludf.DUMMYFUNCTION("""COMPUTED_VALUE"""),1.84314114E8)</f>
        <v>184314114</v>
      </c>
      <c r="I149" s="122" t="str">
        <f>IFERROR(__xludf.DUMMYFUNCTION("""COMPUTED_VALUE"""),"0978990828")</f>
        <v>0978990828</v>
      </c>
      <c r="J149" s="122" t="str">
        <f>IFERROR(__xludf.DUMMYFUNCTION("""COMPUTED_VALUE"""),"Phongdh61@wru.vn")</f>
        <v>Phongdh61@wru.vn</v>
      </c>
      <c r="K149" s="122" t="str">
        <f>IFERROR(__xludf.DUMMYFUNCTION("""COMPUTED_VALUE"""),"0840143456666  ")</f>
        <v>0840143456666  </v>
      </c>
      <c r="L149" s="122" t="str">
        <f>IFERROR(__xludf.DUMMYFUNCTION("""COMPUTED_VALUE"""),"Dang Hai Phong")</f>
        <v>Dang Hai Phong</v>
      </c>
      <c r="M149" s="122" t="str">
        <f>IFERROR(__xludf.DUMMYFUNCTION("""COMPUTED_VALUE"""),"MB Bank")</f>
        <v>MB Bank</v>
      </c>
      <c r="N149" s="122" t="str">
        <f>IFERROR(__xludf.DUMMYFUNCTION("""COMPUTED_VALUE"""),"111/554 Trường Chinh, HN")</f>
        <v>111/554 Trường Chinh, HN</v>
      </c>
      <c r="O149" s="122" t="str">
        <f>IFERROR(__xludf.DUMMYFUNCTION("""COMPUTED_VALUE"""),"Mến")</f>
        <v>Mến</v>
      </c>
      <c r="P149" s="123" t="str">
        <f>IFERROR(__xludf.DUMMYFUNCTION("""COMPUTED_VALUE"""),"Mến")</f>
        <v>Mến</v>
      </c>
      <c r="Q149" s="122"/>
      <c r="R149" s="122" t="str">
        <f>IFERROR(__xludf.DUMMYFUNCTION("""COMPUTED_VALUE"""),"INFPHONG828")</f>
        <v>INFPHONG828</v>
      </c>
      <c r="S149" s="124" t="str">
        <f>IFERROR(__xludf.DUMMYFUNCTION("""COMPUTED_VALUE"""),"https://yody.vn/?affcode=INFPHONG828")</f>
        <v>https://yody.vn/?affcode=INFPHONG828</v>
      </c>
    </row>
    <row r="150">
      <c r="A150" s="122" t="str">
        <f>IFERROR(__xludf.DUMMYFUNCTION("""COMPUTED_VALUE"""),"INFLY357")</f>
        <v>INFLY357</v>
      </c>
      <c r="B150" s="122" t="str">
        <f>IFERROR(__xludf.DUMMYFUNCTION("""COMPUTED_VALUE"""),"Quế Ly")</f>
        <v>Quế Ly</v>
      </c>
      <c r="C150" s="124" t="str">
        <f>IFERROR(__xludf.DUMMYFUNCTION("""COMPUTED_VALUE"""),"Tiktok")</f>
        <v>Tiktok</v>
      </c>
      <c r="D150" s="122"/>
      <c r="E150" s="122" t="str">
        <f>IFERROR(__xludf.DUMMYFUNCTION("""COMPUTED_VALUE"""),"2,9M")</f>
        <v>2,9M</v>
      </c>
      <c r="F150" s="122" t="str">
        <f>IFERROR(__xludf.DUMMYFUNCTION("""COMPUTED_VALUE"""),"Võ Thị Quế Ly")</f>
        <v>Võ Thị Quế Ly</v>
      </c>
      <c r="G150" s="122"/>
      <c r="H150" s="122">
        <f>IFERROR(__xludf.DUMMYFUNCTION("""COMPUTED_VALUE"""),2.01852192E8)</f>
        <v>201852192</v>
      </c>
      <c r="I150" s="122">
        <f>IFERROR(__xludf.DUMMYFUNCTION("""COMPUTED_VALUE"""),3.82946357E8)</f>
        <v>382946357</v>
      </c>
      <c r="J150" s="122" t="str">
        <f>IFERROR(__xludf.DUMMYFUNCTION("""COMPUTED_VALUE""")," vuthiendi01@gmail.com")</f>
        <v> vuthiendi01@gmail.com</v>
      </c>
      <c r="K150" s="122" t="str">
        <f>IFERROR(__xludf.DUMMYFUNCTION("""COMPUTED_VALUE"""),"040061992164
")</f>
        <v>040061992164
</v>
      </c>
      <c r="L150" s="122" t="str">
        <f>IFERROR(__xludf.DUMMYFUNCTION("""COMPUTED_VALUE"""),"Vo Thi Que Ly
")</f>
        <v>Vo Thi Que Ly
</v>
      </c>
      <c r="M150" s="122" t="str">
        <f>IFERROR(__xludf.DUMMYFUNCTION("""COMPUTED_VALUE"""),"Sacombank")</f>
        <v>Sacombank</v>
      </c>
      <c r="N150" s="122" t="str">
        <f>IFERROR(__xludf.DUMMYFUNCTION("""COMPUTED_VALUE"""),"885/1 Ngô Quyền, An Hải Đông, Sơn Trà, Đà Nẵng")</f>
        <v>885/1 Ngô Quyền, An Hải Đông, Sơn Trà, Đà Nẵng</v>
      </c>
      <c r="O150" s="122" t="str">
        <f>IFERROR(__xludf.DUMMYFUNCTION("""COMPUTED_VALUE"""),"Hiên")</f>
        <v>Hiên</v>
      </c>
      <c r="P150" s="123" t="str">
        <f>IFERROR(__xludf.DUMMYFUNCTION("""COMPUTED_VALUE"""),"Mến")</f>
        <v>Mến</v>
      </c>
      <c r="Q150" s="122"/>
      <c r="R150" s="122" t="str">
        <f>IFERROR(__xludf.DUMMYFUNCTION("""COMPUTED_VALUE"""),"INFLY357")</f>
        <v>INFLY357</v>
      </c>
      <c r="S150" s="124" t="str">
        <f>IFERROR(__xludf.DUMMYFUNCTION("""COMPUTED_VALUE"""),"http://yody.vn?affcode=INFLY357")</f>
        <v>http://yody.vn?affcode=INFLY357</v>
      </c>
    </row>
    <row r="151">
      <c r="A151" s="122" t="str">
        <f>IFERROR(__xludf.DUMMYFUNCTION("""COMPUTED_VALUE"""),"INFNHI342")</f>
        <v>INFNHI342</v>
      </c>
      <c r="B151" s="122" t="str">
        <f>IFERROR(__xludf.DUMMYFUNCTION("""COMPUTED_VALUE"""),"Dương Yến Nhi")</f>
        <v>Dương Yến Nhi</v>
      </c>
      <c r="C151" s="124" t="str">
        <f>IFERROR(__xludf.DUMMYFUNCTION("""COMPUTED_VALUE"""),"Tiktok")</f>
        <v>Tiktok</v>
      </c>
      <c r="D151" s="122"/>
      <c r="E151" s="122" t="str">
        <f>IFERROR(__xludf.DUMMYFUNCTION("""COMPUTED_VALUE"""),"911k")</f>
        <v>911k</v>
      </c>
      <c r="F151" s="122" t="str">
        <f>IFERROR(__xludf.DUMMYFUNCTION("""COMPUTED_VALUE"""),"Dương Thụy Yến Nhi")</f>
        <v>Dương Thụy Yến Nhi</v>
      </c>
      <c r="G151" s="129">
        <f>IFERROR(__xludf.DUMMYFUNCTION("""COMPUTED_VALUE"""),33344.0)</f>
        <v>33344</v>
      </c>
      <c r="H151" s="122" t="str">
        <f>IFERROR(__xludf.DUMMYFUNCTION("""COMPUTED_VALUE"""),"079191011351")</f>
        <v>079191011351</v>
      </c>
      <c r="I151" s="122">
        <f>IFERROR(__xludf.DUMMYFUNCTION("""COMPUTED_VALUE"""),9.08392342E8)</f>
        <v>908392342</v>
      </c>
      <c r="J151" s="122" t="str">
        <f>IFERROR(__xludf.DUMMYFUNCTION("""COMPUTED_VALUE"""),"nhiduong1991@gmail.com")</f>
        <v>nhiduong1991@gmail.com</v>
      </c>
      <c r="K151" s="122" t="str">
        <f>IFERROR(__xludf.DUMMYFUNCTION("""COMPUTED_VALUE"""),"1351 0000 676 616
")</f>
        <v>1351 0000 676 616
</v>
      </c>
      <c r="L151" s="122" t="str">
        <f>IFERROR(__xludf.DUMMYFUNCTION("""COMPUTED_VALUE"""),"Duong Thuy Yen Nhi")</f>
        <v>Duong Thuy Yen Nhi</v>
      </c>
      <c r="M151" s="122" t="str">
        <f>IFERROR(__xludf.DUMMYFUNCTION("""COMPUTED_VALUE"""),"
BIDV")</f>
        <v>
BIDV</v>
      </c>
      <c r="N151" s="122" t="str">
        <f>IFERROR(__xludf.DUMMYFUNCTION("""COMPUTED_VALUE"""),"36/3e Hậu Lân Bà Điểm Hóc Môn")</f>
        <v>36/3e Hậu Lân Bà Điểm Hóc Môn</v>
      </c>
      <c r="O151" s="122" t="str">
        <f>IFERROR(__xludf.DUMMYFUNCTION("""COMPUTED_VALUE"""),"Hiên")</f>
        <v>Hiên</v>
      </c>
      <c r="P151" s="123" t="str">
        <f>IFERROR(__xludf.DUMMYFUNCTION("""COMPUTED_VALUE"""),"Hiên")</f>
        <v>Hiên</v>
      </c>
      <c r="Q151" s="122"/>
      <c r="R151" s="122" t="str">
        <f>IFERROR(__xludf.DUMMYFUNCTION("""COMPUTED_VALUE"""),"INFNHI342")</f>
        <v>INFNHI342</v>
      </c>
      <c r="S151" s="124" t="str">
        <f>IFERROR(__xludf.DUMMYFUNCTION("""COMPUTED_VALUE"""),"http://yody.vn?affcode=INFNHI342")</f>
        <v>http://yody.vn?affcode=INFNHI342</v>
      </c>
    </row>
    <row r="152">
      <c r="A152" s="122" t="str">
        <f>IFERROR(__xludf.DUMMYFUNCTION("""COMPUTED_VALUE"""),"INFHAN236")</f>
        <v>INFHAN236</v>
      </c>
      <c r="B152" s="122" t="str">
        <f>IFERROR(__xludf.DUMMYFUNCTION("""COMPUTED_VALUE"""),"Cường Han Couple")</f>
        <v>Cường Han Couple</v>
      </c>
      <c r="C152" s="124" t="str">
        <f>IFERROR(__xludf.DUMMYFUNCTION("""COMPUTED_VALUE"""),"tiktok")</f>
        <v>tiktok</v>
      </c>
      <c r="D152" s="122"/>
      <c r="E152" s="122" t="str">
        <f>IFERROR(__xludf.DUMMYFUNCTION("""COMPUTED_VALUE"""),"966k")</f>
        <v>966k</v>
      </c>
      <c r="F152" s="122" t="str">
        <f>IFERROR(__xludf.DUMMYFUNCTION("""COMPUTED_VALUE"""),"Chu Tiểu Han")</f>
        <v>Chu Tiểu Han</v>
      </c>
      <c r="G152" s="126">
        <f>IFERROR(__xludf.DUMMYFUNCTION("""COMPUTED_VALUE"""),37165.0)</f>
        <v>37165</v>
      </c>
      <c r="H152" s="122" t="str">
        <f>IFERROR(__xludf.DUMMYFUNCTION("""COMPUTED_VALUE"""),"082351854")</f>
        <v>082351854</v>
      </c>
      <c r="I152" s="122" t="str">
        <f>IFERROR(__xludf.DUMMYFUNCTION("""COMPUTED_VALUE"""),"0868777236")</f>
        <v>0868777236</v>
      </c>
      <c r="J152" s="122" t="str">
        <f>IFERROR(__xludf.DUMMYFUNCTION("""COMPUTED_VALUE"""),"Cuongdienvien96@gmail.com")</f>
        <v>Cuongdienvien96@gmail.com</v>
      </c>
      <c r="K152" s="122" t="str">
        <f>IFERROR(__xludf.DUMMYFUNCTION("""COMPUTED_VALUE"""),"03867542201")</f>
        <v>03867542201</v>
      </c>
      <c r="L152" s="122" t="str">
        <f>IFERROR(__xludf.DUMMYFUNCTION("""COMPUTED_VALUE"""),"Luong Manh Cuong")</f>
        <v>Luong Manh Cuong</v>
      </c>
      <c r="M152" s="122" t="str">
        <f>IFERROR(__xludf.DUMMYFUNCTION("""COMPUTED_VALUE"""),"Tp Bank")</f>
        <v>Tp Bank</v>
      </c>
      <c r="N152" s="122" t="str">
        <f>IFERROR(__xludf.DUMMYFUNCTION("""COMPUTED_VALUE"""),"Thôn Bản Chang, Xã Trúc Lâu, huyện Lục Yên, Tỉnh Yên Bái (Đây là địa chỉ đang ở)")</f>
        <v>Thôn Bản Chang, Xã Trúc Lâu, huyện Lục Yên, Tỉnh Yên Bái (Đây là địa chỉ đang ở)</v>
      </c>
      <c r="O152" s="122" t="str">
        <f>IFERROR(__xludf.DUMMYFUNCTION("""COMPUTED_VALUE"""),"Trâm")</f>
        <v>Trâm</v>
      </c>
      <c r="P152" s="123" t="str">
        <f>IFERROR(__xludf.DUMMYFUNCTION("""COMPUTED_VALUE"""),"Trâm")</f>
        <v>Trâm</v>
      </c>
      <c r="Q152" s="122"/>
      <c r="R152" s="122" t="str">
        <f>IFERROR(__xludf.DUMMYFUNCTION("""COMPUTED_VALUE"""),"INFHAN236")</f>
        <v>INFHAN236</v>
      </c>
      <c r="S152" s="124" t="str">
        <f>IFERROR(__xludf.DUMMYFUNCTION("""COMPUTED_VALUE"""),"http://yody.vn?affcode=INFHAN236")</f>
        <v>http://yody.vn?affcode=INFHAN236</v>
      </c>
    </row>
    <row r="153">
      <c r="A153" s="122" t="str">
        <f>IFERROR(__xludf.DUMMYFUNCTION("""COMPUTED_VALUE"""),"INFCUONG506")</f>
        <v>INFCUONG506</v>
      </c>
      <c r="B153" s="122" t="str">
        <f>IFERROR(__xludf.DUMMYFUNCTION("""COMPUTED_VALUE"""),"Cường Han Couple")</f>
        <v>Cường Han Couple</v>
      </c>
      <c r="C153" s="122" t="str">
        <f>IFERROR(__xludf.DUMMYFUNCTION("""COMPUTED_VALUE"""),"tiktok/ fb / youtube")</f>
        <v>tiktok/ fb / youtube</v>
      </c>
      <c r="D153" s="122"/>
      <c r="E153" s="122" t="str">
        <f>IFERROR(__xludf.DUMMYFUNCTION("""COMPUTED_VALUE"""),"882,8k / 98k / 109k")</f>
        <v>882,8k / 98k / 109k</v>
      </c>
      <c r="F153" s="122" t="str">
        <f>IFERROR(__xludf.DUMMYFUNCTION("""COMPUTED_VALUE"""),"Lương Mạnh Cường")</f>
        <v>Lương Mạnh Cường</v>
      </c>
      <c r="G153" s="126">
        <f>IFERROR(__xludf.DUMMYFUNCTION("""COMPUTED_VALUE"""),35104.0)</f>
        <v>35104</v>
      </c>
      <c r="H153" s="122" t="str">
        <f>IFERROR(__xludf.DUMMYFUNCTION("""COMPUTED_VALUE"""),"060999818")</f>
        <v>060999818</v>
      </c>
      <c r="I153" s="122" t="str">
        <f>IFERROR(__xludf.DUMMYFUNCTION("""COMPUTED_VALUE"""),"0374974506")</f>
        <v>0374974506</v>
      </c>
      <c r="J153" s="122" t="str">
        <f>IFERROR(__xludf.DUMMYFUNCTION("""COMPUTED_VALUE"""),"CuongHanCouple0210@gmail.com")</f>
        <v>CuongHanCouple0210@gmail.com</v>
      </c>
      <c r="K153" s="122" t="str">
        <f>IFERROR(__xludf.DUMMYFUNCTION("""COMPUTED_VALUE"""),"
'03867542201
")</f>
        <v>
'03867542201
</v>
      </c>
      <c r="L153" s="122" t="str">
        <f>IFERROR(__xludf.DUMMYFUNCTION("""COMPUTED_VALUE"""),"Luong Manh Cuong")</f>
        <v>Luong Manh Cuong</v>
      </c>
      <c r="M153" s="122" t="str">
        <f>IFERROR(__xludf.DUMMYFUNCTION("""COMPUTED_VALUE"""),"Tp Bank")</f>
        <v>Tp Bank</v>
      </c>
      <c r="N153" s="122" t="str">
        <f>IFERROR(__xludf.DUMMYFUNCTION("""COMPUTED_VALUE"""),"Thôn Bản Chang, Xã Trúc Lâu, huyện Lục Yên, Tỉnh Yên Bái (Đây là địa chỉ đang ở)")</f>
        <v>Thôn Bản Chang, Xã Trúc Lâu, huyện Lục Yên, Tỉnh Yên Bái (Đây là địa chỉ đang ở)</v>
      </c>
      <c r="O153" s="122" t="str">
        <f>IFERROR(__xludf.DUMMYFUNCTION("""COMPUTED_VALUE"""),"Trâm")</f>
        <v>Trâm</v>
      </c>
      <c r="P153" s="123" t="str">
        <f>IFERROR(__xludf.DUMMYFUNCTION("""COMPUTED_VALUE"""),"Trâm")</f>
        <v>Trâm</v>
      </c>
      <c r="Q153" s="122"/>
      <c r="R153" s="122" t="str">
        <f>IFERROR(__xludf.DUMMYFUNCTION("""COMPUTED_VALUE"""),"INFCUONG506")</f>
        <v>INFCUONG506</v>
      </c>
      <c r="S153" s="124" t="str">
        <f>IFERROR(__xludf.DUMMYFUNCTION("""COMPUTED_VALUE"""),"http://yody.vn?affcode=INFCUONG506")</f>
        <v>http://yody.vn?affcode=INFCUONG506</v>
      </c>
    </row>
    <row r="154">
      <c r="A154" s="122" t="str">
        <f>IFERROR(__xludf.DUMMYFUNCTION("""COMPUTED_VALUE"""),"INFNGUYEN507")</f>
        <v>INFNGUYEN507</v>
      </c>
      <c r="B154" s="122" t="str">
        <f>IFERROR(__xludf.DUMMYFUNCTION("""COMPUTED_VALUE"""),"Tủn cùi bắp")</f>
        <v>Tủn cùi bắp</v>
      </c>
      <c r="C154" s="124" t="str">
        <f>IFERROR(__xludf.DUMMYFUNCTION("""COMPUTED_VALUE"""),"Tiktok")</f>
        <v>Tiktok</v>
      </c>
      <c r="D154" s="122"/>
      <c r="E154" s="122" t="str">
        <f>IFERROR(__xludf.DUMMYFUNCTION("""COMPUTED_VALUE"""),"1,1M")</f>
        <v>1,1M</v>
      </c>
      <c r="F154" s="122" t="str">
        <f>IFERROR(__xludf.DUMMYFUNCTION("""COMPUTED_VALUE"""),"Nguyễn Chí Nguyện")</f>
        <v>Nguyễn Chí Nguyện</v>
      </c>
      <c r="G154" s="129">
        <f>IFERROR(__xludf.DUMMYFUNCTION("""COMPUTED_VALUE"""),35508.0)</f>
        <v>35508</v>
      </c>
      <c r="H154" s="122">
        <f>IFERROR(__xludf.DUMMYFUNCTION("""COMPUTED_VALUE"""),3.81783283E8)</f>
        <v>381783283</v>
      </c>
      <c r="I154" s="122">
        <f>IFERROR(__xludf.DUMMYFUNCTION("""COMPUTED_VALUE"""),3.54923507E8)</f>
        <v>354923507</v>
      </c>
      <c r="J154" s="124" t="str">
        <f>IFERROR(__xludf.DUMMYFUNCTION("""COMPUTED_VALUE"""),"baanhem455@gmail.com")</f>
        <v>baanhem455@gmail.com</v>
      </c>
      <c r="K154" s="122">
        <f>IFERROR(__xludf.DUMMYFUNCTION("""COMPUTED_VALUE"""),1.05870667226E11)</f>
        <v>105870667226</v>
      </c>
      <c r="L154" s="122" t="str">
        <f>IFERROR(__xludf.DUMMYFUNCTION("""COMPUTED_VALUE"""),"Nguyễn Chí Nguyện")</f>
        <v>Nguyễn Chí Nguyện</v>
      </c>
      <c r="M154" s="122" t="str">
        <f>IFERROR(__xludf.DUMMYFUNCTION("""COMPUTED_VALUE"""),"
Vietinbank")</f>
        <v>
Vietinbank</v>
      </c>
      <c r="N154" s="122" t="str">
        <f>IFERROR(__xludf.DUMMYFUNCTION("""COMPUTED_VALUE"""),"55/14/10 Tây lân phường bình trị đông a quận bình Tân")</f>
        <v>55/14/10 Tây lân phường bình trị đông a quận bình Tân</v>
      </c>
      <c r="O154" s="122" t="str">
        <f>IFERROR(__xludf.DUMMYFUNCTION("""COMPUTED_VALUE"""),"Hiên")</f>
        <v>Hiên</v>
      </c>
      <c r="P154" s="123" t="str">
        <f>IFERROR(__xludf.DUMMYFUNCTION("""COMPUTED_VALUE"""),"Hiên")</f>
        <v>Hiên</v>
      </c>
      <c r="Q154" s="122"/>
      <c r="R154" s="122" t="str">
        <f>IFERROR(__xludf.DUMMYFUNCTION("""COMPUTED_VALUE"""),"INFNGUYEN507")</f>
        <v>INFNGUYEN507</v>
      </c>
      <c r="S154" s="124" t="str">
        <f>IFERROR(__xludf.DUMMYFUNCTION("""COMPUTED_VALUE"""),"http://yody.vn?affcode=INFNGUYEN507")</f>
        <v>http://yody.vn?affcode=INFNGUYEN507</v>
      </c>
    </row>
    <row r="155">
      <c r="A155" s="122" t="str">
        <f>IFERROR(__xludf.DUMMYFUNCTION("""COMPUTED_VALUE"""),"INFKIET968")</f>
        <v>INFKIET968</v>
      </c>
      <c r="B155" s="122" t="str">
        <f>IFERROR(__xludf.DUMMYFUNCTION("""COMPUTED_VALUE"""),"Ngô Lê Tuấn Kiệt")</f>
        <v>Ngô Lê Tuấn Kiệt</v>
      </c>
      <c r="C155" s="124" t="str">
        <f>IFERROR(__xludf.DUMMYFUNCTION("""COMPUTED_VALUE"""),"Tiktok")</f>
        <v>Tiktok</v>
      </c>
      <c r="D155" s="122"/>
      <c r="E155" s="122" t="str">
        <f>IFERROR(__xludf.DUMMYFUNCTION("""COMPUTED_VALUE"""),"1,1M")</f>
        <v>1,1M</v>
      </c>
      <c r="F155" s="122" t="str">
        <f>IFERROR(__xludf.DUMMYFUNCTION("""COMPUTED_VALUE"""),"Ngô Lê Tuấn Kiệt")</f>
        <v>Ngô Lê Tuấn Kiệt</v>
      </c>
      <c r="G155" s="129">
        <f>IFERROR(__xludf.DUMMYFUNCTION("""COMPUTED_VALUE"""),36725.0)</f>
        <v>36725</v>
      </c>
      <c r="H155" s="122">
        <f>IFERROR(__xludf.DUMMYFUNCTION("""COMPUTED_VALUE"""),2.72768387E8)</f>
        <v>272768387</v>
      </c>
      <c r="I155" s="122">
        <f>IFERROR(__xludf.DUMMYFUNCTION("""COMPUTED_VALUE"""),8.54563968E8)</f>
        <v>854563968</v>
      </c>
      <c r="J155" s="124" t="str">
        <f>IFERROR(__xludf.DUMMYFUNCTION("""COMPUTED_VALUE"""),"nltuankiet18072000@gmail.com")</f>
        <v>nltuankiet18072000@gmail.com</v>
      </c>
      <c r="K155" s="122">
        <f>IFERROR(__xludf.DUMMYFUNCTION("""COMPUTED_VALUE"""),6939917.0)</f>
        <v>6939917</v>
      </c>
      <c r="L155" s="122" t="str">
        <f>IFERROR(__xludf.DUMMYFUNCTION("""COMPUTED_VALUE"""),"Ngo Le Tuan Kiet")</f>
        <v>Ngo Le Tuan Kiet</v>
      </c>
      <c r="M155" s="122" t="str">
        <f>IFERROR(__xludf.DUMMYFUNCTION("""COMPUTED_VALUE"""),"Á Châu Bank")</f>
        <v>Á Châu Bank</v>
      </c>
      <c r="N155" s="122" t="str">
        <f>IFERROR(__xludf.DUMMYFUNCTION("""COMPUTED_VALUE"""),"152A, Nguyễn Văn Tiên, phường Tân Phong, Biên Hoà Đồng Nai")</f>
        <v>152A, Nguyễn Văn Tiên, phường Tân Phong, Biên Hoà Đồng Nai</v>
      </c>
      <c r="O155" s="122" t="str">
        <f>IFERROR(__xludf.DUMMYFUNCTION("""COMPUTED_VALUE"""),"Hiên")</f>
        <v>Hiên</v>
      </c>
      <c r="P155" s="123" t="str">
        <f>IFERROR(__xludf.DUMMYFUNCTION("""COMPUTED_VALUE"""),"Mến")</f>
        <v>Mến</v>
      </c>
      <c r="Q155" s="122"/>
      <c r="R155" s="122" t="str">
        <f>IFERROR(__xludf.DUMMYFUNCTION("""COMPUTED_VALUE"""),"INFKIET968")</f>
        <v>INFKIET968</v>
      </c>
      <c r="S155" s="124" t="str">
        <f>IFERROR(__xludf.DUMMYFUNCTION("""COMPUTED_VALUE"""),"http://yody.vn?affcode=INFKIET968")</f>
        <v>http://yody.vn?affcode=INFKIET968</v>
      </c>
    </row>
    <row r="156">
      <c r="A156" s="122" t="str">
        <f>IFERROR(__xludf.DUMMYFUNCTION("""COMPUTED_VALUE"""),"INFTINH041")</f>
        <v>INFTINH041</v>
      </c>
      <c r="B156" s="122" t="str">
        <f>IFERROR(__xludf.DUMMYFUNCTION("""COMPUTED_VALUE"""),"Tính Nguyễn")</f>
        <v>Tính Nguyễn</v>
      </c>
      <c r="C156" s="124" t="str">
        <f>IFERROR(__xludf.DUMMYFUNCTION("""COMPUTED_VALUE"""),"Tiktok")</f>
        <v>Tiktok</v>
      </c>
      <c r="D156" s="122"/>
      <c r="E156" s="122" t="str">
        <f>IFERROR(__xludf.DUMMYFUNCTION("""COMPUTED_VALUE"""),"1M")</f>
        <v>1M</v>
      </c>
      <c r="F156" s="122" t="str">
        <f>IFERROR(__xludf.DUMMYFUNCTION("""COMPUTED_VALUE"""),"Nguyễn Văn Tính")</f>
        <v>Nguyễn Văn Tính</v>
      </c>
      <c r="G156" s="129">
        <f>IFERROR(__xludf.DUMMYFUNCTION("""COMPUTED_VALUE"""),35988.0)</f>
        <v>35988</v>
      </c>
      <c r="H156" s="122" t="str">
        <f>IFERROR(__xludf.DUMMYFUNCTION("""COMPUTED_VALUE"""),"072098001331")</f>
        <v>072098001331</v>
      </c>
      <c r="I156" s="122" t="str">
        <f>IFERROR(__xludf.DUMMYFUNCTION("""COMPUTED_VALUE"""),"0836321041")</f>
        <v>0836321041</v>
      </c>
      <c r="J156" s="122" t="str">
        <f>IFERROR(__xludf.DUMMYFUNCTION("""COMPUTED_VALUE"""),"nguyentinh24121998@gmail.com")</f>
        <v>nguyentinh24121998@gmail.com</v>
      </c>
      <c r="K156" s="122" t="str">
        <f>IFERROR(__xludf.DUMMYFUNCTION("""COMPUTED_VALUE"""),"719092454500001
Nguyen Van TInh
Nam Á Bank")</f>
        <v>719092454500001
Nguyen Van TInh
Nam Á Bank</v>
      </c>
      <c r="L156" s="122"/>
      <c r="M156" s="122"/>
      <c r="N156" s="122" t="str">
        <f>IFERROR(__xludf.DUMMYFUNCTION("""COMPUTED_VALUE"""),"Thị trấn Tân biên tây ninh")</f>
        <v>Thị trấn Tân biên tây ninh</v>
      </c>
      <c r="O156" s="122" t="str">
        <f>IFERROR(__xludf.DUMMYFUNCTION("""COMPUTED_VALUE"""),"Hiên")</f>
        <v>Hiên</v>
      </c>
      <c r="P156" s="123" t="str">
        <f>IFERROR(__xludf.DUMMYFUNCTION("""COMPUTED_VALUE"""),"Mến")</f>
        <v>Mến</v>
      </c>
      <c r="Q156" s="122"/>
      <c r="R156" s="122" t="str">
        <f>IFERROR(__xludf.DUMMYFUNCTION("""COMPUTED_VALUE"""),"INFTINH041")</f>
        <v>INFTINH041</v>
      </c>
      <c r="S156" s="124" t="str">
        <f>IFERROR(__xludf.DUMMYFUNCTION("""COMPUTED_VALUE"""),"http://yody.vn?affcode=INFTINH041")</f>
        <v>http://yody.vn?affcode=INFTINH041</v>
      </c>
    </row>
    <row r="157">
      <c r="A157" s="122" t="str">
        <f>IFERROR(__xludf.DUMMYFUNCTION("""COMPUTED_VALUE"""),"INFTRONG402")</f>
        <v>INFTRONG402</v>
      </c>
      <c r="B157" s="122" t="str">
        <f>IFERROR(__xludf.DUMMYFUNCTION("""COMPUTED_VALUE"""),"Trọng Aden")</f>
        <v>Trọng Aden</v>
      </c>
      <c r="C157" s="124" t="str">
        <f>IFERROR(__xludf.DUMMYFUNCTION("""COMPUTED_VALUE"""),"Tiktok")</f>
        <v>Tiktok</v>
      </c>
      <c r="D157" s="122"/>
      <c r="E157" s="122" t="str">
        <f>IFERROR(__xludf.DUMMYFUNCTION("""COMPUTED_VALUE"""),"997k")</f>
        <v>997k</v>
      </c>
      <c r="F157" s="122" t="str">
        <f>IFERROR(__xludf.DUMMYFUNCTION("""COMPUTED_VALUE"""),"Đoàn Quang Trọng")</f>
        <v>Đoàn Quang Trọng</v>
      </c>
      <c r="G157" s="129">
        <f>IFERROR(__xludf.DUMMYFUNCTION("""COMPUTED_VALUE"""),36373.0)</f>
        <v>36373</v>
      </c>
      <c r="H157" s="122" t="str">
        <f>IFERROR(__xludf.DUMMYFUNCTION("""COMPUTED_VALUE"""),"030099004894")</f>
        <v>030099004894</v>
      </c>
      <c r="I157" s="122">
        <f>IFERROR(__xludf.DUMMYFUNCTION("""COMPUTED_VALUE"""),9.36768402E8)</f>
        <v>936768402</v>
      </c>
      <c r="J157" s="122" t="str">
        <f>IFERROR(__xludf.DUMMYFUNCTION("""COMPUTED_VALUE"""),"Trongaden1899@gmail.com")</f>
        <v>Trongaden1899@gmail.com</v>
      </c>
      <c r="K157" s="122">
        <f>IFERROR(__xludf.DUMMYFUNCTION("""COMPUTED_VALUE"""),1.0087011103E11)</f>
        <v>100870111030</v>
      </c>
      <c r="L157" s="122" t="str">
        <f>IFERROR(__xludf.DUMMYFUNCTION("""COMPUTED_VALUE"""),"Doan Quang Trong")</f>
        <v>Doan Quang Trong</v>
      </c>
      <c r="M157" s="122" t="str">
        <f>IFERROR(__xludf.DUMMYFUNCTION("""COMPUTED_VALUE"""),"Vietinbank")</f>
        <v>Vietinbank</v>
      </c>
      <c r="N157" s="122"/>
      <c r="O157" s="122" t="str">
        <f>IFERROR(__xludf.DUMMYFUNCTION("""COMPUTED_VALUE"""),"Hiên")</f>
        <v>Hiên</v>
      </c>
      <c r="P157" s="123" t="str">
        <f>IFERROR(__xludf.DUMMYFUNCTION("""COMPUTED_VALUE"""),"mẾN")</f>
        <v>mẾN</v>
      </c>
      <c r="Q157" s="122"/>
      <c r="R157" s="122" t="str">
        <f>IFERROR(__xludf.DUMMYFUNCTION("""COMPUTED_VALUE"""),"INFTRONG402")</f>
        <v>INFTRONG402</v>
      </c>
      <c r="S157" s="124" t="str">
        <f>IFERROR(__xludf.DUMMYFUNCTION("""COMPUTED_VALUE"""),"http://yody.vn?affcode=INFTRONG402")</f>
        <v>http://yody.vn?affcode=INFTRONG402</v>
      </c>
    </row>
    <row r="158">
      <c r="A158" s="122" t="str">
        <f>IFERROR(__xludf.DUMMYFUNCTION("""COMPUTED_VALUE"""),"INFTHANH903")</f>
        <v>INFTHANH903</v>
      </c>
      <c r="B158" s="122" t="str">
        <f>IFERROR(__xludf.DUMMYFUNCTION("""COMPUTED_VALUE"""),"Hat Snow")</f>
        <v>Hat Snow</v>
      </c>
      <c r="C158" s="124" t="str">
        <f>IFERROR(__xludf.DUMMYFUNCTION("""COMPUTED_VALUE"""),"Tiktok")</f>
        <v>Tiktok</v>
      </c>
      <c r="D158" s="122"/>
      <c r="E158" s="122" t="str">
        <f>IFERROR(__xludf.DUMMYFUNCTION("""COMPUTED_VALUE"""),"1,7M")</f>
        <v>1,7M</v>
      </c>
      <c r="F158" s="122" t="str">
        <f>IFERROR(__xludf.DUMMYFUNCTION("""COMPUTED_VALUE"""),"Nguyễn Đức Thành")</f>
        <v>Nguyễn Đức Thành</v>
      </c>
      <c r="G158" s="126">
        <f>IFERROR(__xludf.DUMMYFUNCTION("""COMPUTED_VALUE"""),36071.0)</f>
        <v>36071</v>
      </c>
      <c r="H158" s="122">
        <f>IFERROR(__xludf.DUMMYFUNCTION("""COMPUTED_VALUE"""),2.73666849E8)</f>
        <v>273666849</v>
      </c>
      <c r="I158" s="122">
        <f>IFERROR(__xludf.DUMMYFUNCTION("""COMPUTED_VALUE"""),8.52801903E8)</f>
        <v>852801903</v>
      </c>
      <c r="J158" s="124" t="str">
        <f>IFERROR(__xludf.DUMMYFUNCTION("""COMPUTED_VALUE"""),"hatsnow103@gmail.com")</f>
        <v>hatsnow103@gmail.com</v>
      </c>
      <c r="K158" s="122" t="str">
        <f>IFERROR(__xludf.DUMMYFUNCTION("""COMPUTED_VALUE"""),"0081001318115
")</f>
        <v>0081001318115
</v>
      </c>
      <c r="L158" s="122" t="str">
        <f>IFERROR(__xludf.DUMMYFUNCTION("""COMPUTED_VALUE"""),"Nguyen Duc Thanh")</f>
        <v>Nguyen Duc Thanh</v>
      </c>
      <c r="M158" s="122" t="str">
        <f>IFERROR(__xludf.DUMMYFUNCTION("""COMPUTED_VALUE"""),"Vietcombank")</f>
        <v>Vietcombank</v>
      </c>
      <c r="N158" s="122" t="str">
        <f>IFERROR(__xludf.DUMMYFUNCTION("""COMPUTED_VALUE"""),"692/3 Bình Giã , phường 10 , tp Vũng Tàu ")</f>
        <v>692/3 Bình Giã , phường 10 , tp Vũng Tàu </v>
      </c>
      <c r="O158" s="122" t="str">
        <f>IFERROR(__xludf.DUMMYFUNCTION("""COMPUTED_VALUE"""),"Hiên")</f>
        <v>Hiên</v>
      </c>
      <c r="P158" s="123" t="str">
        <f>IFERROR(__xludf.DUMMYFUNCTION("""COMPUTED_VALUE"""),"Trâm")</f>
        <v>Trâm</v>
      </c>
      <c r="Q158" s="122"/>
      <c r="R158" s="122" t="str">
        <f>IFERROR(__xludf.DUMMYFUNCTION("""COMPUTED_VALUE"""),"INFTHANH903")</f>
        <v>INFTHANH903</v>
      </c>
      <c r="S158" s="124" t="str">
        <f>IFERROR(__xludf.DUMMYFUNCTION("""COMPUTED_VALUE"""),"http://yody.vn?affcode=INFTHANH903")</f>
        <v>http://yody.vn?affcode=INFTHANH903</v>
      </c>
    </row>
    <row r="159">
      <c r="A159" s="122" t="str">
        <f>IFERROR(__xludf.DUMMYFUNCTION("""COMPUTED_VALUE"""),"INFTU672")</f>
        <v>INFTU672</v>
      </c>
      <c r="B159" s="122" t="str">
        <f>IFERROR(__xludf.DUMMYFUNCTION("""COMPUTED_VALUE"""),"Hoàng Gia Tư")</f>
        <v>Hoàng Gia Tư</v>
      </c>
      <c r="C159" s="122" t="str">
        <f>IFERROR(__xludf.DUMMYFUNCTION("""COMPUTED_VALUE"""),"Tiktok / fb")</f>
        <v>Tiktok / fb</v>
      </c>
      <c r="D159" s="122"/>
      <c r="E159" s="122" t="str">
        <f>IFERROR(__xludf.DUMMYFUNCTION("""COMPUTED_VALUE"""),"1,8M / 74k ")</f>
        <v>1,8M / 74k </v>
      </c>
      <c r="F159" s="122" t="str">
        <f>IFERROR(__xludf.DUMMYFUNCTION("""COMPUTED_VALUE"""),"Phạm Gia Tư")</f>
        <v>Phạm Gia Tư</v>
      </c>
      <c r="G159" s="122">
        <f>IFERROR(__xludf.DUMMYFUNCTION("""COMPUTED_VALUE"""),2002.0)</f>
        <v>2002</v>
      </c>
      <c r="H159" s="122">
        <f>IFERROR(__xludf.DUMMYFUNCTION("""COMPUTED_VALUE"""),1.22405042E8)</f>
        <v>122405042</v>
      </c>
      <c r="I159" s="122">
        <f>IFERROR(__xludf.DUMMYFUNCTION("""COMPUTED_VALUE"""),3.82323672E8)</f>
        <v>382323672</v>
      </c>
      <c r="J159" s="122" t="str">
        <f>IFERROR(__xludf.DUMMYFUNCTION("""COMPUTED_VALUE"""),"hoanggiatu0002@gmail.com")</f>
        <v>hoanggiatu0002@gmail.com</v>
      </c>
      <c r="K159" s="122" t="str">
        <f>IFERROR(__xludf.DUMMYFUNCTION("""COMPUTED_VALUE"""),"0731000931360")</f>
        <v>0731000931360</v>
      </c>
      <c r="L159" s="122" t="str">
        <f>IFERROR(__xludf.DUMMYFUNCTION("""COMPUTED_VALUE"""),"Pham Gia Tu
")</f>
        <v>Pham Gia Tu
</v>
      </c>
      <c r="M159" s="122" t="str">
        <f>IFERROR(__xludf.DUMMYFUNCTION("""COMPUTED_VALUE"""),"Vietcombank")</f>
        <v>Vietcombank</v>
      </c>
      <c r="N159" s="122" t="str">
        <f>IFERROR(__xludf.DUMMYFUNCTION("""COMPUTED_VALUE"""),"nhà số 19 ngõ 350 Kim Giang,Đại Kim,Hoàng Mai,Hà Nội")</f>
        <v>nhà số 19 ngõ 350 Kim Giang,Đại Kim,Hoàng Mai,Hà Nội</v>
      </c>
      <c r="O159" s="122" t="str">
        <f>IFERROR(__xludf.DUMMYFUNCTION("""COMPUTED_VALUE"""),"Hiên")</f>
        <v>Hiên</v>
      </c>
      <c r="P159" s="123" t="str">
        <f>IFERROR(__xludf.DUMMYFUNCTION("""COMPUTED_VALUE"""),"Trâm")</f>
        <v>Trâm</v>
      </c>
      <c r="Q159" s="122"/>
      <c r="R159" s="122" t="str">
        <f>IFERROR(__xludf.DUMMYFUNCTION("""COMPUTED_VALUE"""),"INFTU672")</f>
        <v>INFTU672</v>
      </c>
      <c r="S159" s="124" t="str">
        <f>IFERROR(__xludf.DUMMYFUNCTION("""COMPUTED_VALUE"""),"http://yody.vn?affcode=INFTU672")</f>
        <v>http://yody.vn?affcode=INFTU672</v>
      </c>
    </row>
    <row r="160">
      <c r="A160" s="122" t="str">
        <f>IFERROR(__xludf.DUMMYFUNCTION("""COMPUTED_VALUE"""),"INFHANH352")</f>
        <v>INFHANH352</v>
      </c>
      <c r="B160" s="122" t="str">
        <f>IFERROR(__xludf.DUMMYFUNCTION("""COMPUTED_VALUE"""),"Lâm Mỹ Hạnh")</f>
        <v>Lâm Mỹ Hạnh</v>
      </c>
      <c r="C160" s="124" t="str">
        <f>IFERROR(__xludf.DUMMYFUNCTION("""COMPUTED_VALUE"""),"Fb")</f>
        <v>Fb</v>
      </c>
      <c r="D160" s="122"/>
      <c r="E160" s="122" t="str">
        <f>IFERROR(__xludf.DUMMYFUNCTION("""COMPUTED_VALUE"""),"110k")</f>
        <v>110k</v>
      </c>
      <c r="F160" s="122" t="str">
        <f>IFERROR(__xludf.DUMMYFUNCTION("""COMPUTED_VALUE"""),"Lâm Thị Mỹ Hạnh")</f>
        <v>Lâm Thị Mỹ Hạnh</v>
      </c>
      <c r="G160" s="122">
        <f>IFERROR(__xludf.DUMMYFUNCTION("""COMPUTED_VALUE"""),1999.0)</f>
        <v>1999</v>
      </c>
      <c r="H160" s="122">
        <f>IFERROR(__xludf.DUMMYFUNCTION("""COMPUTED_VALUE"""),3.52541838E8)</f>
        <v>352541838</v>
      </c>
      <c r="I160" s="122">
        <f>IFERROR(__xludf.DUMMYFUNCTION("""COMPUTED_VALUE"""),5.22731352E8)</f>
        <v>522731352</v>
      </c>
      <c r="J160" s="122" t="str">
        <f>IFERROR(__xludf.DUMMYFUNCTION("""COMPUTED_VALUE"""),"756180141@hcmussh.edu.vn")</f>
        <v>756180141@hcmussh.edu.vn</v>
      </c>
      <c r="K160" s="122">
        <f>IFERROR(__xludf.DUMMYFUNCTION("""COMPUTED_VALUE"""),1.903552406201E13)</f>
        <v>19035524062010</v>
      </c>
      <c r="L160" s="122" t="str">
        <f>IFERROR(__xludf.DUMMYFUNCTION("""COMPUTED_VALUE"""),"Lam Thi My Hanh ")</f>
        <v>Lam Thi My Hanh </v>
      </c>
      <c r="M160" s="122" t="str">
        <f>IFERROR(__xludf.DUMMYFUNCTION("""COMPUTED_VALUE"""),"Techcombank")</f>
        <v>Techcombank</v>
      </c>
      <c r="N160" s="122" t="str">
        <f>IFERROR(__xludf.DUMMYFUNCTION("""COMPUTED_VALUE"""),"số nhà 825 ấp mỹ hội xã Mỹ Hội Đông huyện Chợ Mới tỉnh An Giang ( cửa hàng xe gắn máy Vũ Linh)")</f>
        <v>số nhà 825 ấp mỹ hội xã Mỹ Hội Đông huyện Chợ Mới tỉnh An Giang ( cửa hàng xe gắn máy Vũ Linh)</v>
      </c>
      <c r="O160" s="122" t="str">
        <f>IFERROR(__xludf.DUMMYFUNCTION("""COMPUTED_VALUE"""),"Hiên")</f>
        <v>Hiên</v>
      </c>
      <c r="P160" s="123" t="str">
        <f>IFERROR(__xludf.DUMMYFUNCTION("""COMPUTED_VALUE"""),"Hoa")</f>
        <v>Hoa</v>
      </c>
      <c r="Q160" s="122"/>
      <c r="R160" s="122" t="str">
        <f>IFERROR(__xludf.DUMMYFUNCTION("""COMPUTED_VALUE"""),"INFHANH352")</f>
        <v>INFHANH352</v>
      </c>
      <c r="S160" s="124" t="str">
        <f>IFERROR(__xludf.DUMMYFUNCTION("""COMPUTED_VALUE"""),"http://yody.vn?affcode=INFHANH352")</f>
        <v>http://yody.vn?affcode=INFHANH352</v>
      </c>
    </row>
    <row r="161">
      <c r="A161" s="122" t="str">
        <f>IFERROR(__xludf.DUMMYFUNCTION("""COMPUTED_VALUE"""),"INFVAN909")</f>
        <v>INFVAN909</v>
      </c>
      <c r="B161" s="122" t="str">
        <f>IFERROR(__xludf.DUMMYFUNCTION("""COMPUTED_VALUE"""),"Trần Thùy Vân")</f>
        <v>Trần Thùy Vân</v>
      </c>
      <c r="C161" s="124" t="str">
        <f>IFERROR(__xludf.DUMMYFUNCTION("""COMPUTED_VALUE"""),"tiktok")</f>
        <v>tiktok</v>
      </c>
      <c r="D161" s="122" t="str">
        <f>IFERROR(__xludf.DUMMYFUNCTION("""COMPUTED_VALUE"""),"ins
fb")</f>
        <v>ins
fb</v>
      </c>
      <c r="E161" s="122" t="str">
        <f>IFERROR(__xludf.DUMMYFUNCTION("""COMPUTED_VALUE"""),"908,9k / 20,3k / 24,8k")</f>
        <v>908,9k / 20,3k / 24,8k</v>
      </c>
      <c r="F161" s="122" t="str">
        <f>IFERROR(__xludf.DUMMYFUNCTION("""COMPUTED_VALUE"""),"Trần Thị Thuỳ Vân")</f>
        <v>Trần Thị Thuỳ Vân</v>
      </c>
      <c r="G161" s="126">
        <f>IFERROR(__xludf.DUMMYFUNCTION("""COMPUTED_VALUE"""),36988.0)</f>
        <v>36988</v>
      </c>
      <c r="H161" s="122" t="str">
        <f>IFERROR(__xludf.DUMMYFUNCTION("""COMPUTED_VALUE"""),"022301007097")</f>
        <v>022301007097</v>
      </c>
      <c r="I161" s="122" t="str">
        <f>IFERROR(__xludf.DUMMYFUNCTION("""COMPUTED_VALUE"""),"0866054909")</f>
        <v>0866054909</v>
      </c>
      <c r="J161" s="122" t="str">
        <f>IFERROR(__xludf.DUMMYFUNCTION("""COMPUTED_VALUE"""),"vanmii0407@gmail.com")</f>
        <v>vanmii0407@gmail.com</v>
      </c>
      <c r="K161" s="122">
        <f>IFERROR(__xludf.DUMMYFUNCTION("""COMPUTED_VALUE"""),1.903558423801E13)</f>
        <v>19035584238010</v>
      </c>
      <c r="L161" s="122" t="str">
        <f>IFERROR(__xludf.DUMMYFUNCTION("""COMPUTED_VALUE"""),"TRAN THI THUY VAN")</f>
        <v>TRAN THI THUY VAN</v>
      </c>
      <c r="M161" s="122" t="str">
        <f>IFERROR(__xludf.DUMMYFUNCTION("""COMPUTED_VALUE"""),"Techcombank ")</f>
        <v>Techcombank </v>
      </c>
      <c r="N161" s="122" t="str">
        <f>IFERROR(__xludf.DUMMYFUNCTION("""COMPUTED_VALUE"""),"Ngõ 63/30 lê đức thọ- mỹ đình 2- nam từ liêm- hà nội")</f>
        <v>Ngõ 63/30 lê đức thọ- mỹ đình 2- nam từ liêm- hà nội</v>
      </c>
      <c r="O161" s="122" t="str">
        <f>IFERROR(__xludf.DUMMYFUNCTION("""COMPUTED_VALUE"""),"Hoa")</f>
        <v>Hoa</v>
      </c>
      <c r="P161" s="123" t="str">
        <f>IFERROR(__xludf.DUMMYFUNCTION("""COMPUTED_VALUE"""),"Hoa")</f>
        <v>Hoa</v>
      </c>
      <c r="Q161" s="122"/>
      <c r="R161" s="122" t="str">
        <f>IFERROR(__xludf.DUMMYFUNCTION("""COMPUTED_VALUE"""),"INFVAN909")</f>
        <v>INFVAN909</v>
      </c>
      <c r="S161" s="124" t="str">
        <f>IFERROR(__xludf.DUMMYFUNCTION("""COMPUTED_VALUE"""),"http://yody.vn?affcode=INFVAN909")</f>
        <v>http://yody.vn?affcode=INFVAN909</v>
      </c>
    </row>
    <row r="162">
      <c r="A162" s="122" t="str">
        <f>IFERROR(__xludf.DUMMYFUNCTION("""COMPUTED_VALUE"""),"INFBAO888")</f>
        <v>INFBAO888</v>
      </c>
      <c r="B162" s="122" t="str">
        <f>IFERROR(__xludf.DUMMYFUNCTION("""COMPUTED_VALUE"""),"Lê Bảo ")</f>
        <v>Lê Bảo </v>
      </c>
      <c r="C162" s="124" t="str">
        <f>IFERROR(__xludf.DUMMYFUNCTION("""COMPUTED_VALUE"""),"tiktok")</f>
        <v>tiktok</v>
      </c>
      <c r="D162" s="122" t="str">
        <f>IFERROR(__xludf.DUMMYFUNCTION("""COMPUTED_VALUE"""),"fb
youtube")</f>
        <v>fb
youtube</v>
      </c>
      <c r="E162" s="122" t="str">
        <f>IFERROR(__xludf.DUMMYFUNCTION("""COMPUTED_VALUE"""),"3,2M/ 2,2M / 1,24M")</f>
        <v>3,2M/ 2,2M / 1,24M</v>
      </c>
      <c r="F162" s="122" t="str">
        <f>IFERROR(__xludf.DUMMYFUNCTION("""COMPUTED_VALUE"""),"Lê Ngọc Bảo")</f>
        <v>Lê Ngọc Bảo</v>
      </c>
      <c r="G162" s="122" t="str">
        <f>IFERROR(__xludf.DUMMYFUNCTION("""COMPUTED_VALUE"""),"17/01/2001")</f>
        <v>17/01/2001</v>
      </c>
      <c r="H162" s="122" t="str">
        <f>IFERROR(__xludf.DUMMYFUNCTION("""COMPUTED_VALUE"""),"036201003232")</f>
        <v>036201003232</v>
      </c>
      <c r="I162" s="122" t="str">
        <f>IFERROR(__xludf.DUMMYFUNCTION("""COMPUTED_VALUE"""),"0832578888")</f>
        <v>0832578888</v>
      </c>
      <c r="J162" s="122" t="str">
        <f>IFERROR(__xludf.DUMMYFUNCTION("""COMPUTED_VALUE"""),"lebao.official.work@gmail.com")</f>
        <v>lebao.official.work@gmail.com</v>
      </c>
      <c r="K162" s="122">
        <f>IFERROR(__xludf.DUMMYFUNCTION("""COMPUTED_VALUE"""),3.647547501E9)</f>
        <v>3647547501</v>
      </c>
      <c r="L162" s="122" t="str">
        <f>IFERROR(__xludf.DUMMYFUNCTION("""COMPUTED_VALUE"""),"Nghiêm Hương Giang")</f>
        <v>Nghiêm Hương Giang</v>
      </c>
      <c r="M162" s="122" t="str">
        <f>IFERROR(__xludf.DUMMYFUNCTION("""COMPUTED_VALUE"""),"TP bank ")</f>
        <v>TP bank </v>
      </c>
      <c r="N162" s="122" t="str">
        <f>IFERROR(__xludf.DUMMYFUNCTION("""COMPUTED_VALUE"""),"Số 8, lô TT02, ngõ 4 Hàm Nghi, Mỹ Đình, Hà Nội")</f>
        <v>Số 8, lô TT02, ngõ 4 Hàm Nghi, Mỹ Đình, Hà Nội</v>
      </c>
      <c r="O162" s="122" t="str">
        <f>IFERROR(__xludf.DUMMYFUNCTION("""COMPUTED_VALUE"""),"Hoa")</f>
        <v>Hoa</v>
      </c>
      <c r="P162" s="123" t="str">
        <f>IFERROR(__xludf.DUMMYFUNCTION("""COMPUTED_VALUE"""),"Hoa")</f>
        <v>Hoa</v>
      </c>
      <c r="Q162" s="122"/>
      <c r="R162" s="122" t="str">
        <f>IFERROR(__xludf.DUMMYFUNCTION("""COMPUTED_VALUE"""),"INFBAO888")</f>
        <v>INFBAO888</v>
      </c>
      <c r="S162" s="124" t="str">
        <f>IFERROR(__xludf.DUMMYFUNCTION("""COMPUTED_VALUE"""),"http://yody.vn?affcode=INFBAO888")</f>
        <v>http://yody.vn?affcode=INFBAO888</v>
      </c>
    </row>
    <row r="163">
      <c r="A163" s="122" t="str">
        <f>IFERROR(__xludf.DUMMYFUNCTION("""COMPUTED_VALUE"""),"INFNGAN562")</f>
        <v>INFNGAN562</v>
      </c>
      <c r="B163" s="122" t="str">
        <f>IFERROR(__xludf.DUMMYFUNCTION("""COMPUTED_VALUE"""),"ngannt212")</f>
        <v>ngannt212</v>
      </c>
      <c r="C163" s="124" t="str">
        <f>IFERROR(__xludf.DUMMYFUNCTION("""COMPUTED_VALUE"""),"tiktok")</f>
        <v>tiktok</v>
      </c>
      <c r="D163" s="122"/>
      <c r="E163" s="122" t="str">
        <f>IFERROR(__xludf.DUMMYFUNCTION("""COMPUTED_VALUE"""),"1,4M")</f>
        <v>1,4M</v>
      </c>
      <c r="F163" s="122" t="str">
        <f>IFERROR(__xludf.DUMMYFUNCTION("""COMPUTED_VALUE"""),"Nguyễn Kim Ngân ")</f>
        <v>Nguyễn Kim Ngân </v>
      </c>
      <c r="G163" s="126">
        <f>IFERROR(__xludf.DUMMYFUNCTION("""COMPUTED_VALUE"""),37742.0)</f>
        <v>37742</v>
      </c>
      <c r="H163" s="122" t="str">
        <f>IFERROR(__xludf.DUMMYFUNCTION("""COMPUTED_VALUE"""),"034303002647")</f>
        <v>034303002647</v>
      </c>
      <c r="I163" s="122" t="str">
        <f>IFERROR(__xludf.DUMMYFUNCTION("""COMPUTED_VALUE"""),"0385922562 ")</f>
        <v>0385922562 </v>
      </c>
      <c r="J163" s="122" t="str">
        <f>IFERROR(__xludf.DUMMYFUNCTION("""COMPUTED_VALUE"""),"nguyenthikimngan05tb@gmail.com")</f>
        <v>nguyenthikimngan05tb@gmail.com</v>
      </c>
      <c r="K163" s="122">
        <f>IFERROR(__xludf.DUMMYFUNCTION("""COMPUTED_VALUE"""),3.40520530772E12)</f>
        <v>3405205307720</v>
      </c>
      <c r="L163" s="122"/>
      <c r="M163" s="122" t="str">
        <f>IFERROR(__xludf.DUMMYFUNCTION("""COMPUTED_VALUE"""),"agribank chi nhánh đông phương")</f>
        <v>agribank chi nhánh đông phương</v>
      </c>
      <c r="N163" s="122" t="str">
        <f>IFERROR(__xludf.DUMMYFUNCTION("""COMPUTED_VALUE"""),"Thôn đông xã đông phương huyện đông Hưng tỉnh thái Bình ")</f>
        <v>Thôn đông xã đông phương huyện đông Hưng tỉnh thái Bình </v>
      </c>
      <c r="O163" s="122" t="str">
        <f>IFERROR(__xludf.DUMMYFUNCTION("""COMPUTED_VALUE"""),"Trâm")</f>
        <v>Trâm</v>
      </c>
      <c r="P163" s="123" t="str">
        <f>IFERROR(__xludf.DUMMYFUNCTION("""COMPUTED_VALUE"""),"Trâm")</f>
        <v>Trâm</v>
      </c>
      <c r="Q163" s="122"/>
      <c r="R163" s="122" t="str">
        <f>IFERROR(__xludf.DUMMYFUNCTION("""COMPUTED_VALUE"""),"INFNGAN562")</f>
        <v>INFNGAN562</v>
      </c>
      <c r="S163" s="124" t="str">
        <f>IFERROR(__xludf.DUMMYFUNCTION("""COMPUTED_VALUE"""),"http://yody.vn?affcode=INFNGAN562")</f>
        <v>http://yody.vn?affcode=INFNGAN562</v>
      </c>
    </row>
    <row r="164">
      <c r="A164" s="122" t="str">
        <f>IFERROR(__xludf.DUMMYFUNCTION("""COMPUTED_VALUE"""),"INFHUYEN911")</f>
        <v>INFHUYEN911</v>
      </c>
      <c r="B164" s="122" t="str">
        <f>IFERROR(__xludf.DUMMYFUNCTION("""COMPUTED_VALUE"""),"Ngoafood")</f>
        <v>Ngoafood</v>
      </c>
      <c r="C164" s="124" t="str">
        <f>IFERROR(__xludf.DUMMYFUNCTION("""COMPUTED_VALUE"""),"fb")</f>
        <v>fb</v>
      </c>
      <c r="D164" s="122"/>
      <c r="E164" s="122" t="str">
        <f>IFERROR(__xludf.DUMMYFUNCTION("""COMPUTED_VALUE"""),"279k ")</f>
        <v>279k </v>
      </c>
      <c r="F164" s="122" t="str">
        <f>IFERROR(__xludf.DUMMYFUNCTION("""COMPUTED_VALUE"""),"Vũ Thanh Huyền")</f>
        <v>Vũ Thanh Huyền</v>
      </c>
      <c r="G164" s="126">
        <f>IFERROR(__xludf.DUMMYFUNCTION("""COMPUTED_VALUE"""),36808.0)</f>
        <v>36808</v>
      </c>
      <c r="H164" s="122" t="str">
        <f>IFERROR(__xludf.DUMMYFUNCTION("""COMPUTED_VALUE"""),"034300009025")</f>
        <v>034300009025</v>
      </c>
      <c r="I164" s="122" t="str">
        <f>IFERROR(__xludf.DUMMYFUNCTION("""COMPUTED_VALUE"""),"0333372911")</f>
        <v>0333372911</v>
      </c>
      <c r="J164" s="122" t="str">
        <f>IFERROR(__xludf.DUMMYFUNCTION("""COMPUTED_VALUE"""),"vuthanhhuyen.htv@gmail.com")</f>
        <v>vuthanhhuyen.htv@gmail.com</v>
      </c>
      <c r="K164" s="122" t="str">
        <f>IFERROR(__xludf.DUMMYFUNCTION("""COMPUTED_VALUE"""),"03237053801")</f>
        <v>03237053801</v>
      </c>
      <c r="L164" s="122" t="str">
        <f>IFERROR(__xludf.DUMMYFUNCTION("""COMPUTED_VALUE"""),"Vu Thanh Huyen")</f>
        <v>Vu Thanh Huyen</v>
      </c>
      <c r="M164" s="122" t="str">
        <f>IFERROR(__xludf.DUMMYFUNCTION("""COMPUTED_VALUE"""),"Ngân hàng Tiên Phong TPBank")</f>
        <v>Ngân hàng Tiên Phong TPBank</v>
      </c>
      <c r="N164" s="122" t="str">
        <f>IFERROR(__xludf.DUMMYFUNCTION("""COMPUTED_VALUE"""),"Phạm Hùng, Mễ Trì, Nam Từ Liêm, Hà Nội")</f>
        <v>Phạm Hùng, Mễ Trì, Nam Từ Liêm, Hà Nội</v>
      </c>
      <c r="O164" s="122" t="str">
        <f>IFERROR(__xludf.DUMMYFUNCTION("""COMPUTED_VALUE"""),"Trâm")</f>
        <v>Trâm</v>
      </c>
      <c r="P164" s="123" t="str">
        <f>IFERROR(__xludf.DUMMYFUNCTION("""COMPUTED_VALUE"""),"Trâm")</f>
        <v>Trâm</v>
      </c>
      <c r="Q164" s="122"/>
      <c r="R164" s="122" t="str">
        <f>IFERROR(__xludf.DUMMYFUNCTION("""COMPUTED_VALUE"""),"INFHUYEN911")</f>
        <v>INFHUYEN911</v>
      </c>
      <c r="S164" s="124" t="str">
        <f>IFERROR(__xludf.DUMMYFUNCTION("""COMPUTED_VALUE"""),"http://yody.vn?affcode=INFHUYEN911")</f>
        <v>http://yody.vn?affcode=INFHUYEN911</v>
      </c>
    </row>
    <row r="165">
      <c r="A165" s="122" t="str">
        <f>IFERROR(__xludf.DUMMYFUNCTION("""COMPUTED_VALUE"""),"INFTRUONG497")</f>
        <v>INFTRUONG497</v>
      </c>
      <c r="B165" s="122" t="str">
        <f>IFERROR(__xludf.DUMMYFUNCTION("""COMPUTED_VALUE"""),"Trường QN")</f>
        <v>Trường QN</v>
      </c>
      <c r="C165" s="124" t="str">
        <f>IFERROR(__xludf.DUMMYFUNCTION("""COMPUTED_VALUE"""),"Tiktok")</f>
        <v>Tiktok</v>
      </c>
      <c r="D165" s="122"/>
      <c r="E165" s="122" t="str">
        <f>IFERROR(__xludf.DUMMYFUNCTION("""COMPUTED_VALUE"""),"2,4M")</f>
        <v>2,4M</v>
      </c>
      <c r="F165" s="122" t="str">
        <f>IFERROR(__xludf.DUMMYFUNCTION("""COMPUTED_VALUE"""),"Nguyễn Nhựt Trường")</f>
        <v>Nguyễn Nhựt Trường</v>
      </c>
      <c r="G165" s="122">
        <f>IFERROR(__xludf.DUMMYFUNCTION("""COMPUTED_VALUE"""),1999.0)</f>
        <v>1999</v>
      </c>
      <c r="H165" s="122" t="str">
        <f>IFERROR(__xludf.DUMMYFUNCTION("""COMPUTED_VALUE"""),"084200001652")</f>
        <v>084200001652</v>
      </c>
      <c r="I165" s="122">
        <f>IFERROR(__xludf.DUMMYFUNCTION("""COMPUTED_VALUE"""),3.92004497E8)</f>
        <v>392004497</v>
      </c>
      <c r="J165" s="124" t="str">
        <f>IFERROR(__xludf.DUMMYFUNCTION("""COMPUTED_VALUE"""),"truongqn2302@gmail.com")</f>
        <v>truongqn2302@gmail.com</v>
      </c>
      <c r="K165" s="122" t="str">
        <f>IFERROR(__xludf.DUMMYFUNCTION("""COMPUTED_VALUE"""),"050118710689
")</f>
        <v>050118710689
</v>
      </c>
      <c r="L165" s="122" t="str">
        <f>IFERROR(__xludf.DUMMYFUNCTION("""COMPUTED_VALUE"""),"Nguyen Nhut Truong ")</f>
        <v>Nguyen Nhut Truong </v>
      </c>
      <c r="M165" s="122" t="str">
        <f>IFERROR(__xludf.DUMMYFUNCTION("""COMPUTED_VALUE"""),"Sacombank")</f>
        <v>Sacombank</v>
      </c>
      <c r="N165" s="122" t="str">
        <f>IFERROR(__xludf.DUMMYFUNCTION("""COMPUTED_VALUE"""),"ấp Định Phú Tân, xã Long Thới, huyện Tiểu Cần, tỉnh Trà Vinh")</f>
        <v>ấp Định Phú Tân, xã Long Thới, huyện Tiểu Cần, tỉnh Trà Vinh</v>
      </c>
      <c r="O165" s="122" t="str">
        <f>IFERROR(__xludf.DUMMYFUNCTION("""COMPUTED_VALUE"""),"Hiên")</f>
        <v>Hiên</v>
      </c>
      <c r="P165" s="123" t="str">
        <f>IFERROR(__xludf.DUMMYFUNCTION("""COMPUTED_VALUE"""),"Hoa")</f>
        <v>Hoa</v>
      </c>
      <c r="Q165" s="122"/>
      <c r="R165" s="122" t="str">
        <f>IFERROR(__xludf.DUMMYFUNCTION("""COMPUTED_VALUE"""),"INFTRUONG497")</f>
        <v>INFTRUONG497</v>
      </c>
      <c r="S165" s="124" t="str">
        <f>IFERROR(__xludf.DUMMYFUNCTION("""COMPUTED_VALUE"""),"http://yody.vn?affcode=INFTRUONG497")</f>
        <v>http://yody.vn?affcode=INFTRUONG497</v>
      </c>
    </row>
    <row r="166">
      <c r="A166" s="122" t="str">
        <f>IFERROR(__xludf.DUMMYFUNCTION("""COMPUTED_VALUE"""),"INFHUYEN055")</f>
        <v>INFHUYEN055</v>
      </c>
      <c r="B166" s="122" t="str">
        <f>IFERROR(__xludf.DUMMYFUNCTION("""COMPUTED_VALUE"""),"Vũ Thanh Huyền")</f>
        <v>Vũ Thanh Huyền</v>
      </c>
      <c r="C166" s="124" t="str">
        <f>IFERROR(__xludf.DUMMYFUNCTION("""COMPUTED_VALUE"""),"Fb")</f>
        <v>Fb</v>
      </c>
      <c r="D166" s="122"/>
      <c r="E166" s="122" t="str">
        <f>IFERROR(__xludf.DUMMYFUNCTION("""COMPUTED_VALUE"""),"224k")</f>
        <v>224k</v>
      </c>
      <c r="F166" s="122" t="str">
        <f>IFERROR(__xludf.DUMMYFUNCTION("""COMPUTED_VALUE"""),"Vũ Thị Thanh Huyền")</f>
        <v>Vũ Thị Thanh Huyền</v>
      </c>
      <c r="G166" s="122">
        <f>IFERROR(__xludf.DUMMYFUNCTION("""COMPUTED_VALUE"""),1986.0)</f>
        <v>1986</v>
      </c>
      <c r="H166" s="122" t="str">
        <f>IFERROR(__xludf.DUMMYFUNCTION("""COMPUTED_VALUE"""),"022186000473")</f>
        <v>022186000473</v>
      </c>
      <c r="I166" s="122">
        <f>IFERROR(__xludf.DUMMYFUNCTION("""COMPUTED_VALUE"""),3.75155055E8)</f>
        <v>375155055</v>
      </c>
      <c r="J166" s="122" t="str">
        <f>IFERROR(__xludf.DUMMYFUNCTION("""COMPUTED_VALUE"""),"vuthanhhuyen121mom@gmail.com")</f>
        <v>vuthanhhuyen121mom@gmail.com</v>
      </c>
      <c r="K166" s="122">
        <f>IFERROR(__xludf.DUMMYFUNCTION("""COMPUTED_VALUE"""),1.9127032774661E13)</f>
        <v>19127032774661</v>
      </c>
      <c r="L166" s="122" t="str">
        <f>IFERROR(__xludf.DUMMYFUNCTION("""COMPUTED_VALUE"""),"Vu Thi Thanh Huyen")</f>
        <v>Vu Thi Thanh Huyen</v>
      </c>
      <c r="M166" s="122" t="str">
        <f>IFERROR(__xludf.DUMMYFUNCTION("""COMPUTED_VALUE"""),"Techcombank")</f>
        <v>Techcombank</v>
      </c>
      <c r="N166" s="122" t="str">
        <f>IFERROR(__xludf.DUMMYFUNCTION("""COMPUTED_VALUE"""),"số 1, tổ 1, khu 4b, Cẩm Trung, Cẩm Phả, Quảng Ninh")</f>
        <v>số 1, tổ 1, khu 4b, Cẩm Trung, Cẩm Phả, Quảng Ninh</v>
      </c>
      <c r="O166" s="122" t="str">
        <f>IFERROR(__xludf.DUMMYFUNCTION("""COMPUTED_VALUE"""),"Hiên")</f>
        <v>Hiên</v>
      </c>
      <c r="P166" s="123" t="str">
        <f>IFERROR(__xludf.DUMMYFUNCTION("""COMPUTED_VALUE"""),"Hoa")</f>
        <v>Hoa</v>
      </c>
      <c r="Q166" s="122"/>
      <c r="R166" s="122" t="str">
        <f>IFERROR(__xludf.DUMMYFUNCTION("""COMPUTED_VALUE"""),"INFHUYEN055")</f>
        <v>INFHUYEN055</v>
      </c>
      <c r="S166" s="124" t="str">
        <f>IFERROR(__xludf.DUMMYFUNCTION("""COMPUTED_VALUE"""),"http://yody.vn?affcode=INFHUYEN055")</f>
        <v>http://yody.vn?affcode=INFHUYEN055</v>
      </c>
    </row>
    <row r="167">
      <c r="A167" s="122" t="str">
        <f>IFERROR(__xludf.DUMMYFUNCTION("""COMPUTED_VALUE"""),"INFHANG498")</f>
        <v>INFHANG498</v>
      </c>
      <c r="B167" s="122" t="str">
        <f>IFERROR(__xludf.DUMMYFUNCTION("""COMPUTED_VALUE"""),"Đỗ Hằng")</f>
        <v>Đỗ Hằng</v>
      </c>
      <c r="C167" s="124" t="str">
        <f>IFERROR(__xludf.DUMMYFUNCTION("""COMPUTED_VALUE"""),"fb")</f>
        <v>fb</v>
      </c>
      <c r="D167" s="122"/>
      <c r="E167" s="122" t="str">
        <f>IFERROR(__xludf.DUMMYFUNCTION("""COMPUTED_VALUE"""),"62,3k")</f>
        <v>62,3k</v>
      </c>
      <c r="F167" s="122" t="str">
        <f>IFERROR(__xludf.DUMMYFUNCTION("""COMPUTED_VALUE"""),"Đỗ Thị Hằng")</f>
        <v>Đỗ Thị Hằng</v>
      </c>
      <c r="G167" s="122" t="str">
        <f>IFERROR(__xludf.DUMMYFUNCTION("""COMPUTED_VALUE"""),"27/09/1997")</f>
        <v>27/09/1997</v>
      </c>
      <c r="H167" s="122">
        <f>IFERROR(__xludf.DUMMYFUNCTION("""COMPUTED_VALUE"""),2.8113755E8)</f>
        <v>281137550</v>
      </c>
      <c r="I167" s="122" t="str">
        <f>IFERROR(__xludf.DUMMYFUNCTION("""COMPUTED_VALUE"""),"0348891498")</f>
        <v>0348891498</v>
      </c>
      <c r="J167" s="122" t="str">
        <f>IFERROR(__xludf.DUMMYFUNCTION("""COMPUTED_VALUE"""),"dothihang27091997@gmail.com")</f>
        <v>dothihang27091997@gmail.com</v>
      </c>
      <c r="K167" s="122">
        <f>IFERROR(__xludf.DUMMYFUNCTION("""COMPUTED_VALUE"""),2.81000547396E11)</f>
        <v>281000547396</v>
      </c>
      <c r="L167" s="122" t="str">
        <f>IFERROR(__xludf.DUMMYFUNCTION("""COMPUTED_VALUE"""),"Đỗ Thị Hằng")</f>
        <v>Đỗ Thị Hằng</v>
      </c>
      <c r="M167" s="122" t="str">
        <f>IFERROR(__xludf.DUMMYFUNCTION("""COMPUTED_VALUE"""),"Vietcombank")</f>
        <v>Vietcombank</v>
      </c>
      <c r="N167" s="122" t="str">
        <f>IFERROR(__xludf.DUMMYFUNCTION("""COMPUTED_VALUE"""),"527, ấp phú thịnh 1, Xã An Thái, Huyện Phú Giáo, Tỉnh Bình Dương")</f>
        <v>527, ấp phú thịnh 1, Xã An Thái, Huyện Phú Giáo, Tỉnh Bình Dương</v>
      </c>
      <c r="O167" s="122" t="str">
        <f>IFERROR(__xludf.DUMMYFUNCTION("""COMPUTED_VALUE"""),"Hoa")</f>
        <v>Hoa</v>
      </c>
      <c r="P167" s="123" t="str">
        <f>IFERROR(__xludf.DUMMYFUNCTION("""COMPUTED_VALUE"""),"Hoa")</f>
        <v>Hoa</v>
      </c>
      <c r="Q167" s="122"/>
      <c r="R167" s="122" t="str">
        <f>IFERROR(__xludf.DUMMYFUNCTION("""COMPUTED_VALUE"""),"INFHANG498")</f>
        <v>INFHANG498</v>
      </c>
      <c r="S167" s="124" t="str">
        <f>IFERROR(__xludf.DUMMYFUNCTION("""COMPUTED_VALUE"""),"http://yody.vn?affcode=INFHANG498")</f>
        <v>http://yody.vn?affcode=INFHANG498</v>
      </c>
    </row>
    <row r="168">
      <c r="A168" s="122" t="str">
        <f>IFERROR(__xludf.DUMMYFUNCTION("""COMPUTED_VALUE"""),"INFCUON129")</f>
        <v>INFCUON129</v>
      </c>
      <c r="B168" s="122" t="str">
        <f>IFERROR(__xludf.DUMMYFUNCTION("""COMPUTED_VALUE"""),"yona.224")</f>
        <v>yona.224</v>
      </c>
      <c r="C168" s="124" t="str">
        <f>IFERROR(__xludf.DUMMYFUNCTION("""COMPUTED_VALUE"""),"tiktok")</f>
        <v>tiktok</v>
      </c>
      <c r="D168" s="122"/>
      <c r="E168" s="122" t="str">
        <f>IFERROR(__xludf.DUMMYFUNCTION("""COMPUTED_VALUE"""),"2,4vM")</f>
        <v>2,4vM</v>
      </c>
      <c r="F168" s="122" t="str">
        <f>IFERROR(__xludf.DUMMYFUNCTION("""COMPUTED_VALUE"""),"Đinh Thị Cươn")</f>
        <v>Đinh Thị Cươn</v>
      </c>
      <c r="G168" s="122" t="str">
        <f>IFERROR(__xludf.DUMMYFUNCTION("""COMPUTED_VALUE"""),"13/09/2004")</f>
        <v>13/09/2004</v>
      </c>
      <c r="H168" s="122">
        <f>IFERROR(__xludf.DUMMYFUNCTION("""COMPUTED_VALUE"""),2.15608441E8)</f>
        <v>215608441</v>
      </c>
      <c r="I168" s="122" t="str">
        <f>IFERROR(__xludf.DUMMYFUNCTION("""COMPUTED_VALUE"""),"0964792129")</f>
        <v>0964792129</v>
      </c>
      <c r="J168" s="122" t="str">
        <f>IFERROR(__xludf.DUMMYFUNCTION("""COMPUTED_VALUE"""),"cuonyona.vah@gmail.com")</f>
        <v>cuonyona.vah@gmail.com</v>
      </c>
      <c r="K168" s="122">
        <f>IFERROR(__xludf.DUMMYFUNCTION("""COMPUTED_VALUE"""),4.301205182758E12)</f>
        <v>4301205182758</v>
      </c>
      <c r="L168" s="122" t="str">
        <f>IFERROR(__xludf.DUMMYFUNCTION("""COMPUTED_VALUE"""),"DINH THI CUON")</f>
        <v>DINH THI CUON</v>
      </c>
      <c r="M168" s="122" t="str">
        <f>IFERROR(__xludf.DUMMYFUNCTION("""COMPUTED_VALUE"""),"Agribank")</f>
        <v>Agribank</v>
      </c>
      <c r="N168" s="122" t="str">
        <f>IFERROR(__xludf.DUMMYFUNCTION("""COMPUTED_VALUE"""),"Làng K8, Vĩnh Sơn, Vĩnh Thạnh, Bình Định")</f>
        <v>Làng K8, Vĩnh Sơn, Vĩnh Thạnh, Bình Định</v>
      </c>
      <c r="O168" s="122" t="str">
        <f>IFERROR(__xludf.DUMMYFUNCTION("""COMPUTED_VALUE"""),"Mến")</f>
        <v>Mến</v>
      </c>
      <c r="P168" s="123" t="str">
        <f>IFERROR(__xludf.DUMMYFUNCTION("""COMPUTED_VALUE"""),"Mến")</f>
        <v>Mến</v>
      </c>
      <c r="Q168" s="122"/>
      <c r="R168" s="122" t="str">
        <f>IFERROR(__xludf.DUMMYFUNCTION("""COMPUTED_VALUE"""),"INFCUON129")</f>
        <v>INFCUON129</v>
      </c>
      <c r="S168" s="124" t="str">
        <f>IFERROR(__xludf.DUMMYFUNCTION("""COMPUTED_VALUE"""),"https://yody.vn/?affcode=INFCUON129")</f>
        <v>https://yody.vn/?affcode=INFCUON129</v>
      </c>
    </row>
    <row r="169">
      <c r="A169" s="122" t="str">
        <f>IFERROR(__xludf.DUMMYFUNCTION("""COMPUTED_VALUE"""),"INFHUYEN136")</f>
        <v>INFHUYEN136</v>
      </c>
      <c r="B169" s="122" t="str">
        <f>IFERROR(__xludf.DUMMYFUNCTION("""COMPUTED_VALUE"""),"Trịnh Huyền")</f>
        <v>Trịnh Huyền</v>
      </c>
      <c r="C169" s="124" t="str">
        <f>IFERROR(__xludf.DUMMYFUNCTION("""COMPUTED_VALUE"""),"Fb")</f>
        <v>Fb</v>
      </c>
      <c r="D169" s="122"/>
      <c r="E169" s="122" t="str">
        <f>IFERROR(__xludf.DUMMYFUNCTION("""COMPUTED_VALUE"""),"214k")</f>
        <v>214k</v>
      </c>
      <c r="F169" s="122" t="str">
        <f>IFERROR(__xludf.DUMMYFUNCTION("""COMPUTED_VALUE"""),"Trịnh Tú Huyền")</f>
        <v>Trịnh Tú Huyền</v>
      </c>
      <c r="G169" s="122">
        <f>IFERROR(__xludf.DUMMYFUNCTION("""COMPUTED_VALUE"""),1983.0)</f>
        <v>1983</v>
      </c>
      <c r="H169" s="122" t="str">
        <f>IFERROR(__xludf.DUMMYFUNCTION("""COMPUTED_VALUE"""),"001183011857")</f>
        <v>001183011857</v>
      </c>
      <c r="I169" s="122">
        <f>IFERROR(__xludf.DUMMYFUNCTION("""COMPUTED_VALUE"""),9.02275136E8)</f>
        <v>902275136</v>
      </c>
      <c r="J169" s="122" t="str">
        <f>IFERROR(__xludf.DUMMYFUNCTION("""COMPUTED_VALUE"""),"tuhuyen1983@gmail.com")</f>
        <v>tuhuyen1983@gmail.com</v>
      </c>
      <c r="K169" s="122">
        <f>IFERROR(__xludf.DUMMYFUNCTION("""COMPUTED_VALUE"""),1.9033560450016E13)</f>
        <v>19033560450016</v>
      </c>
      <c r="L169" s="122" t="str">
        <f>IFERROR(__xludf.DUMMYFUNCTION("""COMPUTED_VALUE"""),"Trinh Tu Huyen")</f>
        <v>Trinh Tu Huyen</v>
      </c>
      <c r="M169" s="122" t="str">
        <f>IFERROR(__xludf.DUMMYFUNCTION("""COMPUTED_VALUE"""),"Techcombank")</f>
        <v>Techcombank</v>
      </c>
      <c r="N169" s="122" t="str">
        <f>IFERROR(__xludf.DUMMYFUNCTION("""COMPUTED_VALUE"""),"số 47A ngõ 88 Kim Hoa, phương liên, đống đa, HN")</f>
        <v>số 47A ngõ 88 Kim Hoa, phương liên, đống đa, HN</v>
      </c>
      <c r="O169" s="122" t="str">
        <f>IFERROR(__xludf.DUMMYFUNCTION("""COMPUTED_VALUE"""),"Hiên")</f>
        <v>Hiên</v>
      </c>
      <c r="P169" s="123" t="str">
        <f>IFERROR(__xludf.DUMMYFUNCTION("""COMPUTED_VALUE"""),"Mến")</f>
        <v>Mến</v>
      </c>
      <c r="Q169" s="122"/>
      <c r="R169" s="122" t="str">
        <f>IFERROR(__xludf.DUMMYFUNCTION("""COMPUTED_VALUE"""),"INFHUYEN136")</f>
        <v>INFHUYEN136</v>
      </c>
      <c r="S169" s="124" t="str">
        <f>IFERROR(__xludf.DUMMYFUNCTION("""COMPUTED_VALUE"""),"http://yody.vn?affcode=INFHUYEN136")</f>
        <v>http://yody.vn?affcode=INFHUYEN136</v>
      </c>
    </row>
    <row r="170">
      <c r="A170" s="122" t="str">
        <f>IFERROR(__xludf.DUMMYFUNCTION("""COMPUTED_VALUE"""),"INFHUONG161")</f>
        <v>INFHUONG161</v>
      </c>
      <c r="B170" s="122" t="str">
        <f>IFERROR(__xludf.DUMMYFUNCTION("""COMPUTED_VALUE"""),"Nguyễn Thị Hường")</f>
        <v>Nguyễn Thị Hường</v>
      </c>
      <c r="C170" s="124" t="str">
        <f>IFERROR(__xludf.DUMMYFUNCTION("""COMPUTED_VALUE"""),"Fb")</f>
        <v>Fb</v>
      </c>
      <c r="D170" s="122"/>
      <c r="E170" s="122" t="str">
        <f>IFERROR(__xludf.DUMMYFUNCTION("""COMPUTED_VALUE"""),"220k")</f>
        <v>220k</v>
      </c>
      <c r="F170" s="122" t="str">
        <f>IFERROR(__xludf.DUMMYFUNCTION("""COMPUTED_VALUE"""),"Nguyễn Thị Hường")</f>
        <v>Nguyễn Thị Hường</v>
      </c>
      <c r="G170" s="122">
        <f>IFERROR(__xludf.DUMMYFUNCTION("""COMPUTED_VALUE"""),1983.0)</f>
        <v>1983</v>
      </c>
      <c r="H170" s="122" t="str">
        <f>IFERROR(__xludf.DUMMYFUNCTION("""COMPUTED_VALUE"""),"013518076")</f>
        <v>013518076</v>
      </c>
      <c r="I170" s="122">
        <f>IFERROR(__xludf.DUMMYFUNCTION("""COMPUTED_VALUE"""),9.02121161E8)</f>
        <v>902121161</v>
      </c>
      <c r="J170" s="122" t="str">
        <f>IFERROR(__xludf.DUMMYFUNCTION("""COMPUTED_VALUE"""),"huong2683@gmail.com")</f>
        <v>huong2683@gmail.com</v>
      </c>
      <c r="K170" s="122">
        <f>IFERROR(__xludf.DUMMYFUNCTION("""COMPUTED_VALUE"""),1.9029279339011E13)</f>
        <v>19029279339011</v>
      </c>
      <c r="L170" s="122" t="str">
        <f>IFERROR(__xludf.DUMMYFUNCTION("""COMPUTED_VALUE"""),"Nguyen Thi Huong")</f>
        <v>Nguyen Thi Huong</v>
      </c>
      <c r="M170" s="122" t="str">
        <f>IFERROR(__xludf.DUMMYFUNCTION("""COMPUTED_VALUE"""),"Techcombank")</f>
        <v>Techcombank</v>
      </c>
      <c r="N170" s="122" t="str">
        <f>IFERROR(__xludf.DUMMYFUNCTION("""COMPUTED_VALUE"""),"117 An Trạch, Quốc Tử Giám Đống Đa, Hà Nội")</f>
        <v>117 An Trạch, Quốc Tử Giám Đống Đa, Hà Nội</v>
      </c>
      <c r="O170" s="122" t="str">
        <f>IFERROR(__xludf.DUMMYFUNCTION("""COMPUTED_VALUE"""),"Hiên")</f>
        <v>Hiên</v>
      </c>
      <c r="P170" s="123" t="str">
        <f>IFERROR(__xludf.DUMMYFUNCTION("""COMPUTED_VALUE"""),"mẾN")</f>
        <v>mẾN</v>
      </c>
      <c r="Q170" s="122"/>
      <c r="R170" s="122" t="str">
        <f>IFERROR(__xludf.DUMMYFUNCTION("""COMPUTED_VALUE"""),"INFHUONG161")</f>
        <v>INFHUONG161</v>
      </c>
      <c r="S170" s="124" t="str">
        <f>IFERROR(__xludf.DUMMYFUNCTION("""COMPUTED_VALUE"""),"http://yody.vn?affcode=INFHUONG161")</f>
        <v>http://yody.vn?affcode=INFHUONG161</v>
      </c>
    </row>
    <row r="171">
      <c r="A171" s="122" t="str">
        <f>IFERROR(__xludf.DUMMYFUNCTION("""COMPUTED_VALUE"""),"INFPHUONG582")</f>
        <v>INFPHUONG582</v>
      </c>
      <c r="B171" s="122" t="str">
        <f>IFERROR(__xludf.DUMMYFUNCTION("""COMPUTED_VALUE"""),"Lê Thị Phượng")</f>
        <v>Lê Thị Phượng</v>
      </c>
      <c r="C171" s="124" t="str">
        <f>IFERROR(__xludf.DUMMYFUNCTION("""COMPUTED_VALUE"""),"Fb")</f>
        <v>Fb</v>
      </c>
      <c r="D171" s="122"/>
      <c r="E171" s="122" t="str">
        <f>IFERROR(__xludf.DUMMYFUNCTION("""COMPUTED_VALUE"""),"264k")</f>
        <v>264k</v>
      </c>
      <c r="F171" s="122" t="str">
        <f>IFERROR(__xludf.DUMMYFUNCTION("""COMPUTED_VALUE"""),"Lê Thị Phượng")</f>
        <v>Lê Thị Phượng</v>
      </c>
      <c r="G171" s="122"/>
      <c r="H171" s="122">
        <f>IFERROR(__xludf.DUMMYFUNCTION("""COMPUTED_VALUE"""),1.72251604E8)</f>
        <v>172251604</v>
      </c>
      <c r="I171" s="122">
        <f>IFERROR(__xludf.DUMMYFUNCTION("""COMPUTED_VALUE"""),9.13378582E8)</f>
        <v>913378582</v>
      </c>
      <c r="J171" s="122" t="str">
        <f>IFERROR(__xludf.DUMMYFUNCTION("""COMPUTED_VALUE"""),"thanhphuongthtg@gmail.com")</f>
        <v>thanhphuongthtg@gmail.com</v>
      </c>
      <c r="K171" s="122">
        <f>IFERROR(__xludf.DUMMYFUNCTION("""COMPUTED_VALUE"""),1.9034695106011E13)</f>
        <v>19034695106011</v>
      </c>
      <c r="L171" s="122" t="str">
        <f>IFERROR(__xludf.DUMMYFUNCTION("""COMPUTED_VALUE"""),"Le Thi Phuong")</f>
        <v>Le Thi Phuong</v>
      </c>
      <c r="M171" s="122" t="str">
        <f>IFERROR(__xludf.DUMMYFUNCTION("""COMPUTED_VALUE"""),"Techcombank")</f>
        <v>Techcombank</v>
      </c>
      <c r="N171" s="122" t="str">
        <f>IFERROR(__xludf.DUMMYFUNCTION("""COMPUTED_VALUE"""),"SN 32/ 355 nguyễn tĩnh, đông hương, Tp Thanh Hóa")</f>
        <v>SN 32/ 355 nguyễn tĩnh, đông hương, Tp Thanh Hóa</v>
      </c>
      <c r="O171" s="122" t="str">
        <f>IFERROR(__xludf.DUMMYFUNCTION("""COMPUTED_VALUE"""),"Hiên")</f>
        <v>Hiên</v>
      </c>
      <c r="P171" s="123" t="str">
        <f>IFERROR(__xludf.DUMMYFUNCTION("""COMPUTED_VALUE"""),"Mến")</f>
        <v>Mến</v>
      </c>
      <c r="Q171" s="122"/>
      <c r="R171" s="122" t="str">
        <f>IFERROR(__xludf.DUMMYFUNCTION("""COMPUTED_VALUE"""),"INFPHUONG582")</f>
        <v>INFPHUONG582</v>
      </c>
      <c r="S171" s="124" t="str">
        <f>IFERROR(__xludf.DUMMYFUNCTION("""COMPUTED_VALUE"""),"http://yody.vn?affcode=INFPHUONG582")</f>
        <v>http://yody.vn?affcode=INFPHUONG582</v>
      </c>
    </row>
    <row r="172">
      <c r="A172" s="122" t="str">
        <f>IFERROR(__xludf.DUMMYFUNCTION("""COMPUTED_VALUE"""),"INFCHAM266")</f>
        <v>INFCHAM266</v>
      </c>
      <c r="B172" s="122" t="str">
        <f>IFERROR(__xludf.DUMMYFUNCTION("""COMPUTED_VALUE"""),"An Vy")</f>
        <v>An Vy</v>
      </c>
      <c r="C172" s="124" t="str">
        <f>IFERROR(__xludf.DUMMYFUNCTION("""COMPUTED_VALUE"""),"Fb")</f>
        <v>Fb</v>
      </c>
      <c r="D172" s="122"/>
      <c r="E172" s="122" t="str">
        <f>IFERROR(__xludf.DUMMYFUNCTION("""COMPUTED_VALUE"""),"174k")</f>
        <v>174k</v>
      </c>
      <c r="F172" s="122" t="str">
        <f>IFERROR(__xludf.DUMMYFUNCTION("""COMPUTED_VALUE"""),"Bùi Thị Châm")</f>
        <v>Bùi Thị Châm</v>
      </c>
      <c r="G172" s="122">
        <f>IFERROR(__xludf.DUMMYFUNCTION("""COMPUTED_VALUE"""),1987.0)</f>
        <v>1987</v>
      </c>
      <c r="H172" s="122">
        <f>IFERROR(__xludf.DUMMYFUNCTION("""COMPUTED_VALUE"""),1.21725072E8)</f>
        <v>121725072</v>
      </c>
      <c r="I172" s="122">
        <f>IFERROR(__xludf.DUMMYFUNCTION("""COMPUTED_VALUE"""),9.67384266E8)</f>
        <v>967384266</v>
      </c>
      <c r="J172" s="122" t="str">
        <f>IFERROR(__xludf.DUMMYFUNCTION("""COMPUTED_VALUE"""),"buicham87@gmail.com")</f>
        <v>buicham87@gmail.com</v>
      </c>
      <c r="K172" s="122">
        <f>IFERROR(__xludf.DUMMYFUNCTION("""COMPUTED_VALUE"""),1.310149121216E12)</f>
        <v>1310149121216</v>
      </c>
      <c r="L172" s="122" t="str">
        <f>IFERROR(__xludf.DUMMYFUNCTION("""COMPUTED_VALUE"""),"Bui Thi Cham")</f>
        <v>Bui Thi Cham</v>
      </c>
      <c r="M172" s="122" t="str">
        <f>IFERROR(__xludf.DUMMYFUNCTION("""COMPUTED_VALUE"""),"MB Bank")</f>
        <v>MB Bank</v>
      </c>
      <c r="N172" s="122" t="str">
        <f>IFERROR(__xludf.DUMMYFUNCTION("""COMPUTED_VALUE"""),"FLC garden city, Đại Mỗ, Nam Từ Liêm, Hà Nội")</f>
        <v>FLC garden city, Đại Mỗ, Nam Từ Liêm, Hà Nội</v>
      </c>
      <c r="O172" s="122" t="str">
        <f>IFERROR(__xludf.DUMMYFUNCTION("""COMPUTED_VALUE"""),"Hiên")</f>
        <v>Hiên</v>
      </c>
      <c r="P172" s="123" t="str">
        <f>IFERROR(__xludf.DUMMYFUNCTION("""COMPUTED_VALUE"""),"Mến")</f>
        <v>Mến</v>
      </c>
      <c r="Q172" s="122"/>
      <c r="R172" s="122" t="str">
        <f>IFERROR(__xludf.DUMMYFUNCTION("""COMPUTED_VALUE"""),"INFCHAM266")</f>
        <v>INFCHAM266</v>
      </c>
      <c r="S172" s="124" t="str">
        <f>IFERROR(__xludf.DUMMYFUNCTION("""COMPUTED_VALUE"""),"http://yody.vn?affcode=INFCHAM266")</f>
        <v>http://yody.vn?affcode=INFCHAM266</v>
      </c>
    </row>
    <row r="173">
      <c r="A173" s="122" t="str">
        <f>IFERROR(__xludf.DUMMYFUNCTION("""COMPUTED_VALUE"""),"INFHUE673")</f>
        <v>INFHUE673</v>
      </c>
      <c r="B173" s="122" t="str">
        <f>IFERROR(__xludf.DUMMYFUNCTION("""COMPUTED_VALUE"""),"Phạm Huệ")</f>
        <v>Phạm Huệ</v>
      </c>
      <c r="C173" s="124" t="str">
        <f>IFERROR(__xludf.DUMMYFUNCTION("""COMPUTED_VALUE"""),"fb")</f>
        <v>fb</v>
      </c>
      <c r="D173" s="122"/>
      <c r="E173" s="122" t="str">
        <f>IFERROR(__xludf.DUMMYFUNCTION("""COMPUTED_VALUE"""),"111k")</f>
        <v>111k</v>
      </c>
      <c r="F173" s="122" t="str">
        <f>IFERROR(__xludf.DUMMYFUNCTION("""COMPUTED_VALUE"""),"Phạm Huệ")</f>
        <v>Phạm Huệ</v>
      </c>
      <c r="G173" s="125">
        <f>IFERROR(__xludf.DUMMYFUNCTION("""COMPUTED_VALUE"""),36110.0)</f>
        <v>36110</v>
      </c>
      <c r="H173" s="122">
        <f>IFERROR(__xludf.DUMMYFUNCTION("""COMPUTED_VALUE"""),2.12431125E8)</f>
        <v>212431125</v>
      </c>
      <c r="I173" s="122" t="str">
        <f>IFERROR(__xludf.DUMMYFUNCTION("""COMPUTED_VALUE""")," 0333166673")</f>
        <v> 0333166673</v>
      </c>
      <c r="J173" s="122" t="str">
        <f>IFERROR(__xludf.DUMMYFUNCTION("""COMPUTED_VALUE"""),"Phamannhien83@gmail.com")</f>
        <v>Phamannhien83@gmail.com</v>
      </c>
      <c r="K173" s="122">
        <f>IFERROR(__xludf.DUMMYFUNCTION("""COMPUTED_VALUE"""),1.9036476601016E13)</f>
        <v>19036476601016</v>
      </c>
      <c r="L173" s="122" t="str">
        <f>IFERROR(__xludf.DUMMYFUNCTION("""COMPUTED_VALUE"""),"Phạm Thị Huệ")</f>
        <v>Phạm Thị Huệ</v>
      </c>
      <c r="M173" s="122" t="str">
        <f>IFERROR(__xludf.DUMMYFUNCTION("""COMPUTED_VALUE"""),"Techcombank")</f>
        <v>Techcombank</v>
      </c>
      <c r="N173" s="122" t="str">
        <f>IFERROR(__xludf.DUMMYFUNCTION("""COMPUTED_VALUE"""),"1157 Đường 16A4 Ấp Bình Tiền 1 ,Xã Đức Hoà Hạ, Huyện Đức Hoà , Tỉnh Long An")</f>
        <v>1157 Đường 16A4 Ấp Bình Tiền 1 ,Xã Đức Hoà Hạ, Huyện Đức Hoà , Tỉnh Long An</v>
      </c>
      <c r="O173" s="122" t="str">
        <f>IFERROR(__xludf.DUMMYFUNCTION("""COMPUTED_VALUE"""),"Trâm")</f>
        <v>Trâm</v>
      </c>
      <c r="P173" s="123" t="str">
        <f>IFERROR(__xludf.DUMMYFUNCTION("""COMPUTED_VALUE"""),"Trâm")</f>
        <v>Trâm</v>
      </c>
      <c r="Q173" s="122"/>
      <c r="R173" s="122" t="str">
        <f>IFERROR(__xludf.DUMMYFUNCTION("""COMPUTED_VALUE"""),"INFHUE673")</f>
        <v>INFHUE673</v>
      </c>
      <c r="S173" s="124" t="str">
        <f>IFERROR(__xludf.DUMMYFUNCTION("""COMPUTED_VALUE"""),"http://yody.vn?affcode=INFHUE673")</f>
        <v>http://yody.vn?affcode=INFHUE673</v>
      </c>
    </row>
    <row r="174">
      <c r="A174" s="122" t="str">
        <f>IFERROR(__xludf.DUMMYFUNCTION("""COMPUTED_VALUE"""),"INFTU191")</f>
        <v>INFTU191</v>
      </c>
      <c r="B174" s="122" t="str">
        <f>IFERROR(__xludf.DUMMYFUNCTION("""COMPUTED_VALUE"""),"Nguyễn Anh Tú")</f>
        <v>Nguyễn Anh Tú</v>
      </c>
      <c r="C174" s="124" t="str">
        <f>IFERROR(__xludf.DUMMYFUNCTION("""COMPUTED_VALUE"""),"fb")</f>
        <v>fb</v>
      </c>
      <c r="D174" s="122"/>
      <c r="E174" s="122" t="str">
        <f>IFERROR(__xludf.DUMMYFUNCTION("""COMPUTED_VALUE"""),"129k")</f>
        <v>129k</v>
      </c>
      <c r="F174" s="122" t="str">
        <f>IFERROR(__xludf.DUMMYFUNCTION("""COMPUTED_VALUE"""),"Nguyễn Anh Tú")</f>
        <v>Nguyễn Anh Tú</v>
      </c>
      <c r="G174" s="122" t="str">
        <f>IFERROR(__xludf.DUMMYFUNCTION("""COMPUTED_VALUE"""),"13/06/1998")</f>
        <v>13/06/1998</v>
      </c>
      <c r="H174" s="122" t="str">
        <f>IFERROR(__xludf.DUMMYFUNCTION("""COMPUTED_VALUE"""),"001098024897")</f>
        <v>001098024897</v>
      </c>
      <c r="I174" s="122" t="str">
        <f>IFERROR(__xludf.DUMMYFUNCTION("""COMPUTED_VALUE"""),"0386709191")</f>
        <v>0386709191</v>
      </c>
      <c r="J174" s="122" t="str">
        <f>IFERROR(__xludf.DUMMYFUNCTION("""COMPUTED_VALUE"""),"demom321@gmail.com")</f>
        <v>demom321@gmail.com</v>
      </c>
      <c r="K174" s="122">
        <f>IFERROR(__xludf.DUMMYFUNCTION("""COMPUTED_VALUE"""),1.9037012113015E13)</f>
        <v>19037012113015</v>
      </c>
      <c r="L174" s="122" t="str">
        <f>IFERROR(__xludf.DUMMYFUNCTION("""COMPUTED_VALUE"""),"NGUYEN ANH TU")</f>
        <v>NGUYEN ANH TU</v>
      </c>
      <c r="M174" s="122" t="str">
        <f>IFERROR(__xludf.DUMMYFUNCTION("""COMPUTED_VALUE"""),"Techcombank ")</f>
        <v>Techcombank </v>
      </c>
      <c r="N174" s="122" t="str">
        <f>IFERROR(__xludf.DUMMYFUNCTION("""COMPUTED_VALUE"""),"Số 35 xóm đồng văn điển tứ hiệp thanh trì hà nộ")</f>
        <v>Số 35 xóm đồng văn điển tứ hiệp thanh trì hà nộ</v>
      </c>
      <c r="O174" s="122" t="str">
        <f>IFERROR(__xludf.DUMMYFUNCTION("""COMPUTED_VALUE"""),"Trâm")</f>
        <v>Trâm</v>
      </c>
      <c r="P174" s="123" t="str">
        <f>IFERROR(__xludf.DUMMYFUNCTION("""COMPUTED_VALUE"""),"Trâm")</f>
        <v>Trâm</v>
      </c>
      <c r="Q174" s="122"/>
      <c r="R174" s="122" t="str">
        <f>IFERROR(__xludf.DUMMYFUNCTION("""COMPUTED_VALUE"""),"INFTU191")</f>
        <v>INFTU191</v>
      </c>
      <c r="S174" s="124" t="str">
        <f>IFERROR(__xludf.DUMMYFUNCTION("""COMPUTED_VALUE"""),"http://yody.vn?affcode=INFTU191")</f>
        <v>http://yody.vn?affcode=INFTU191</v>
      </c>
    </row>
    <row r="175">
      <c r="A175" s="122" t="str">
        <f>IFERROR(__xludf.DUMMYFUNCTION("""COMPUTED_VALUE"""),"INFVAN967")</f>
        <v>INFVAN967</v>
      </c>
      <c r="B175" s="122" t="str">
        <f>IFERROR(__xludf.DUMMYFUNCTION("""COMPUTED_VALUE"""),"QV Tran")</f>
        <v>QV Tran</v>
      </c>
      <c r="C175" s="124" t="str">
        <f>IFERROR(__xludf.DUMMYFUNCTION("""COMPUTED_VALUE"""),"Fb")</f>
        <v>Fb</v>
      </c>
      <c r="D175" s="122"/>
      <c r="E175" s="122" t="str">
        <f>IFERROR(__xludf.DUMMYFUNCTION("""COMPUTED_VALUE"""),"102k")</f>
        <v>102k</v>
      </c>
      <c r="F175" s="122" t="str">
        <f>IFERROR(__xludf.DUMMYFUNCTION("""COMPUTED_VALUE"""),"Trần Thị Vân")</f>
        <v>Trần Thị Vân</v>
      </c>
      <c r="G175" s="122"/>
      <c r="H175" s="122">
        <f>IFERROR(__xludf.DUMMYFUNCTION("""COMPUTED_VALUE"""),1.86572905E8)</f>
        <v>186572905</v>
      </c>
      <c r="I175" s="122">
        <f>IFERROR(__xludf.DUMMYFUNCTION("""COMPUTED_VALUE"""),9.86962967E8)</f>
        <v>986962967</v>
      </c>
      <c r="J175" s="122" t="str">
        <f>IFERROR(__xludf.DUMMYFUNCTION("""COMPUTED_VALUE"""),"Tranvan20988@gmail.com")</f>
        <v>Tranvan20988@gmail.com</v>
      </c>
      <c r="K175" s="122">
        <f>IFERROR(__xludf.DUMMYFUNCTION("""COMPUTED_VALUE"""),1.9024723549016E13)</f>
        <v>19024723549016</v>
      </c>
      <c r="L175" s="122" t="str">
        <f>IFERROR(__xludf.DUMMYFUNCTION("""COMPUTED_VALUE"""),"Tran Thi Van")</f>
        <v>Tran Thi Van</v>
      </c>
      <c r="M175" s="122" t="str">
        <f>IFERROR(__xludf.DUMMYFUNCTION("""COMPUTED_VALUE"""),"
Techcombank")</f>
        <v>
Techcombank</v>
      </c>
      <c r="N175" s="122" t="str">
        <f>IFERROR(__xludf.DUMMYFUNCTION("""COMPUTED_VALUE"""),"Tòa Nhà HH1 Khu đô thị Yên Hòa Phường Yên Hòa Quận Cầu Giấy Hà Nội")</f>
        <v>Tòa Nhà HH1 Khu đô thị Yên Hòa Phường Yên Hòa Quận Cầu Giấy Hà Nội</v>
      </c>
      <c r="O175" s="122" t="str">
        <f>IFERROR(__xludf.DUMMYFUNCTION("""COMPUTED_VALUE"""),"Hiên")</f>
        <v>Hiên</v>
      </c>
      <c r="P175" s="123" t="str">
        <f>IFERROR(__xludf.DUMMYFUNCTION("""COMPUTED_VALUE"""),"Hiên")</f>
        <v>Hiên</v>
      </c>
      <c r="Q175" s="122"/>
      <c r="R175" s="122" t="str">
        <f>IFERROR(__xludf.DUMMYFUNCTION("""COMPUTED_VALUE"""),"INFVAN967")</f>
        <v>INFVAN967</v>
      </c>
      <c r="S175" s="124" t="str">
        <f>IFERROR(__xludf.DUMMYFUNCTION("""COMPUTED_VALUE"""),"http://yody.vn?affcode=INFVAN967")</f>
        <v>http://yody.vn?affcode=INFVAN967</v>
      </c>
    </row>
    <row r="176">
      <c r="A176" s="122" t="str">
        <f>IFERROR(__xludf.DUMMYFUNCTION("""COMPUTED_VALUE"""),"INFNUONG666")</f>
        <v>INFNUONG666</v>
      </c>
      <c r="B176" s="122" t="str">
        <f>IFERROR(__xludf.DUMMYFUNCTION("""COMPUTED_VALUE"""),"Truong Thi My Nuong")</f>
        <v>Truong Thi My Nuong</v>
      </c>
      <c r="C176" s="124" t="str">
        <f>IFERROR(__xludf.DUMMYFUNCTION("""COMPUTED_VALUE"""),"Fb")</f>
        <v>Fb</v>
      </c>
      <c r="D176" s="122"/>
      <c r="E176" s="122" t="str">
        <f>IFERROR(__xludf.DUMMYFUNCTION("""COMPUTED_VALUE"""),"153k")</f>
        <v>153k</v>
      </c>
      <c r="F176" s="122" t="str">
        <f>IFERROR(__xludf.DUMMYFUNCTION("""COMPUTED_VALUE"""),"Trương Thị Mỹ Nương")</f>
        <v>Trương Thị Mỹ Nương</v>
      </c>
      <c r="G176" s="122">
        <f>IFERROR(__xludf.DUMMYFUNCTION("""COMPUTED_VALUE"""),1993.0)</f>
        <v>1993</v>
      </c>
      <c r="H176" s="122">
        <f>IFERROR(__xludf.DUMMYFUNCTION("""COMPUTED_VALUE"""),1.87341501E8)</f>
        <v>187341501</v>
      </c>
      <c r="I176" s="122">
        <f>IFERROR(__xludf.DUMMYFUNCTION("""COMPUTED_VALUE"""),3.34457666E8)</f>
        <v>334457666</v>
      </c>
      <c r="J176" s="122" t="str">
        <f>IFERROR(__xludf.DUMMYFUNCTION("""COMPUTED_VALUE"""),"mynuong.tyc@gmail.com")</f>
        <v>mynuong.tyc@gmail.com</v>
      </c>
      <c r="K176" s="122">
        <f>IFERROR(__xludf.DUMMYFUNCTION("""COMPUTED_VALUE"""),5.334457666E9)</f>
        <v>5334457666</v>
      </c>
      <c r="L176" s="122" t="str">
        <f>IFERROR(__xludf.DUMMYFUNCTION("""COMPUTED_VALUE"""),"Truong Thi My Nuong
")</f>
        <v>Truong Thi My Nuong
</v>
      </c>
      <c r="M176" s="122" t="str">
        <f>IFERROR(__xludf.DUMMYFUNCTION("""COMPUTED_VALUE"""),"VP Bank")</f>
        <v>VP Bank</v>
      </c>
      <c r="N176" s="122" t="str">
        <f>IFERROR(__xludf.DUMMYFUNCTION("""COMPUTED_VALUE"""),"SN 147, Thôn Đồng, Tân Mỹ, Tp.Bắc Giang")</f>
        <v>SN 147, Thôn Đồng, Tân Mỹ, Tp.Bắc Giang</v>
      </c>
      <c r="O176" s="122" t="str">
        <f>IFERROR(__xludf.DUMMYFUNCTION("""COMPUTED_VALUE"""),"Hiên")</f>
        <v>Hiên</v>
      </c>
      <c r="P176" s="123" t="str">
        <f>IFERROR(__xludf.DUMMYFUNCTION("""COMPUTED_VALUE"""),"Mến")</f>
        <v>Mến</v>
      </c>
      <c r="Q176" s="122"/>
      <c r="R176" s="122" t="str">
        <f>IFERROR(__xludf.DUMMYFUNCTION("""COMPUTED_VALUE"""),"INFNUONG666")</f>
        <v>INFNUONG666</v>
      </c>
      <c r="S176" s="124" t="str">
        <f>IFERROR(__xludf.DUMMYFUNCTION("""COMPUTED_VALUE"""),"http://yody.vn?affcode=INFNUONG666")</f>
        <v>http://yody.vn?affcode=INFNUONG666</v>
      </c>
    </row>
    <row r="177">
      <c r="A177" s="122" t="str">
        <f>IFERROR(__xludf.DUMMYFUNCTION("""COMPUTED_VALUE"""),"INFQUYNH598")</f>
        <v>INFQUYNH598</v>
      </c>
      <c r="B177" s="122" t="str">
        <f>IFERROR(__xludf.DUMMYFUNCTION("""COMPUTED_VALUE"""),"Nguyễn Thị Quỳnh")</f>
        <v>Nguyễn Thị Quỳnh</v>
      </c>
      <c r="C177" s="124" t="str">
        <f>IFERROR(__xludf.DUMMYFUNCTION("""COMPUTED_VALUE"""),"Fb")</f>
        <v>Fb</v>
      </c>
      <c r="D177" s="122"/>
      <c r="E177" s="122" t="str">
        <f>IFERROR(__xludf.DUMMYFUNCTION("""COMPUTED_VALUE"""),"129k")</f>
        <v>129k</v>
      </c>
      <c r="F177" s="122" t="str">
        <f>IFERROR(__xludf.DUMMYFUNCTION("""COMPUTED_VALUE"""),"Nguyễn Thị Quỳnh")</f>
        <v>Nguyễn Thị Quỳnh</v>
      </c>
      <c r="G177" s="122">
        <f>IFERROR(__xludf.DUMMYFUNCTION("""COMPUTED_VALUE"""),1991.0)</f>
        <v>1991</v>
      </c>
      <c r="H177" s="122">
        <f>IFERROR(__xludf.DUMMYFUNCTION("""COMPUTED_VALUE"""),1.21920276E8)</f>
        <v>121920276</v>
      </c>
      <c r="I177" s="122">
        <f>IFERROR(__xludf.DUMMYFUNCTION("""COMPUTED_VALUE"""),9.88996598E8)</f>
        <v>988996598</v>
      </c>
      <c r="J177" s="122" t="str">
        <f>IFERROR(__xludf.DUMMYFUNCTION("""COMPUTED_VALUE"""),"nguyenthiquynh2307@gmail.com")</f>
        <v>nguyenthiquynh2307@gmail.com</v>
      </c>
      <c r="K177" s="122">
        <f>IFERROR(__xludf.DUMMYFUNCTION("""COMPUTED_VALUE"""),1.9034143737015E13)</f>
        <v>19034143737015</v>
      </c>
      <c r="L177" s="122" t="str">
        <f>IFERROR(__xludf.DUMMYFUNCTION("""COMPUTED_VALUE"""),"Nguyen Thi Quynh")</f>
        <v>Nguyen Thi Quynh</v>
      </c>
      <c r="M177" s="122" t="str">
        <f>IFERROR(__xludf.DUMMYFUNCTION("""COMPUTED_VALUE"""),"Techcombank")</f>
        <v>Techcombank</v>
      </c>
      <c r="N177" s="122" t="str">
        <f>IFERROR(__xludf.DUMMYFUNCTION("""COMPUTED_VALUE"""),"Sn03, Ngõ 05, Đ Nguyễn Doãn Địch, P Thọ Xương, TP Bắc Giang, Tỉnh Bắc Giang")</f>
        <v>Sn03, Ngõ 05, Đ Nguyễn Doãn Địch, P Thọ Xương, TP Bắc Giang, Tỉnh Bắc Giang</v>
      </c>
      <c r="O177" s="122" t="str">
        <f>IFERROR(__xludf.DUMMYFUNCTION("""COMPUTED_VALUE"""),"Hiên")</f>
        <v>Hiên</v>
      </c>
      <c r="P177" s="123" t="str">
        <f>IFERROR(__xludf.DUMMYFUNCTION("""COMPUTED_VALUE"""),"Hiên")</f>
        <v>Hiên</v>
      </c>
      <c r="Q177" s="122"/>
      <c r="R177" s="122" t="str">
        <f>IFERROR(__xludf.DUMMYFUNCTION("""COMPUTED_VALUE"""),"INFQUYNH598")</f>
        <v>INFQUYNH598</v>
      </c>
      <c r="S177" s="124" t="str">
        <f>IFERROR(__xludf.DUMMYFUNCTION("""COMPUTED_VALUE"""),"http://yody.vn?affcode=INFQUYNH598")</f>
        <v>http://yody.vn?affcode=INFQUYNH598</v>
      </c>
    </row>
    <row r="178">
      <c r="A178" s="122" t="str">
        <f>IFERROR(__xludf.DUMMYFUNCTION("""COMPUTED_VALUE"""),"INFHOA917")</f>
        <v>INFHOA917</v>
      </c>
      <c r="B178" s="122" t="str">
        <f>IFERROR(__xludf.DUMMYFUNCTION("""COMPUTED_VALUE"""),"Pham quỳnh hoa 2004")</f>
        <v>Pham quỳnh hoa 2004</v>
      </c>
      <c r="C178" s="124" t="str">
        <f>IFERROR(__xludf.DUMMYFUNCTION("""COMPUTED_VALUE""")," tiktok")</f>
        <v> tiktok</v>
      </c>
      <c r="D178" s="122"/>
      <c r="E178" s="122" t="str">
        <f>IFERROR(__xludf.DUMMYFUNCTION("""COMPUTED_VALUE"""),"952k")</f>
        <v>952k</v>
      </c>
      <c r="F178" s="122" t="str">
        <f>IFERROR(__xludf.DUMMYFUNCTION("""COMPUTED_VALUE"""),"Phạm Thị Quỳnh Hoa")</f>
        <v>Phạm Thị Quỳnh Hoa</v>
      </c>
      <c r="G178" s="126">
        <f>IFERROR(__xludf.DUMMYFUNCTION("""COMPUTED_VALUE"""),38056.0)</f>
        <v>38056</v>
      </c>
      <c r="H178" s="122"/>
      <c r="I178" s="122" t="str">
        <f>IFERROR(__xludf.DUMMYFUNCTION("""COMPUTED_VALUE"""),"0333059917")</f>
        <v>0333059917</v>
      </c>
      <c r="J178" s="122" t="str">
        <f>IFERROR(__xludf.DUMMYFUNCTION("""COMPUTED_VALUE"""),"phamquynhhoa.2k4@gmail.com")</f>
        <v>phamquynhhoa.2k4@gmail.com</v>
      </c>
      <c r="K178" s="122" t="str">
        <f>IFERROR(__xludf.DUMMYFUNCTION("""COMPUTED_VALUE"""),"3525205271535 
agribank 
PHẠM THỊ QUỲNH HOA")</f>
        <v>3525205271535 
agribank 
PHẠM THỊ QUỲNH HOA</v>
      </c>
      <c r="L178" s="122" t="str">
        <f>IFERROR(__xludf.DUMMYFUNCTION("""COMPUTED_VALUE"""),"PHẠM THỊ QUỲNH HOA")</f>
        <v>PHẠM THỊ QUỲNH HOA</v>
      </c>
      <c r="M178" s="122" t="str">
        <f>IFERROR(__xludf.DUMMYFUNCTION("""COMPUTED_VALUE"""),"agribank ")</f>
        <v>agribank </v>
      </c>
      <c r="N178" s="122" t="str">
        <f>IFERROR(__xludf.DUMMYFUNCTION("""COMPUTED_VALUE"""),"Thôn 1-Thiệu Trung-Thiệu Hoá-Thanh Hoá")</f>
        <v>Thôn 1-Thiệu Trung-Thiệu Hoá-Thanh Hoá</v>
      </c>
      <c r="O178" s="122" t="str">
        <f>IFERROR(__xludf.DUMMYFUNCTION("""COMPUTED_VALUE"""),"Trâm")</f>
        <v>Trâm</v>
      </c>
      <c r="P178" s="123" t="str">
        <f>IFERROR(__xludf.DUMMYFUNCTION("""COMPUTED_VALUE"""),"Trâm")</f>
        <v>Trâm</v>
      </c>
      <c r="Q178" s="122"/>
      <c r="R178" s="122" t="str">
        <f>IFERROR(__xludf.DUMMYFUNCTION("""COMPUTED_VALUE"""),"INFHOA917")</f>
        <v>INFHOA917</v>
      </c>
      <c r="S178" s="124" t="str">
        <f>IFERROR(__xludf.DUMMYFUNCTION("""COMPUTED_VALUE"""),"http://yody.vn?affcode=INFHOA917")</f>
        <v>http://yody.vn?affcode=INFHOA917</v>
      </c>
    </row>
    <row r="179">
      <c r="A179" s="122" t="str">
        <f>IFERROR(__xludf.DUMMYFUNCTION("""COMPUTED_VALUE"""),"INFHAO366")</f>
        <v>INFHAO366</v>
      </c>
      <c r="B179" s="122" t="str">
        <f>IFERROR(__xludf.DUMMYFUNCTION("""COMPUTED_VALUE"""),"Trương Anh Hào")</f>
        <v>Trương Anh Hào</v>
      </c>
      <c r="C179" s="124" t="str">
        <f>IFERROR(__xludf.DUMMYFUNCTION("""COMPUTED_VALUE"""),"fb")</f>
        <v>fb</v>
      </c>
      <c r="D179" s="122"/>
      <c r="E179" s="122" t="str">
        <f>IFERROR(__xludf.DUMMYFUNCTION("""COMPUTED_VALUE"""),"128,8k")</f>
        <v>128,8k</v>
      </c>
      <c r="F179" s="122" t="str">
        <f>IFERROR(__xludf.DUMMYFUNCTION("""COMPUTED_VALUE"""),"Trương Anh Hào")</f>
        <v>Trương Anh Hào</v>
      </c>
      <c r="G179" s="122" t="str">
        <f>IFERROR(__xludf.DUMMYFUNCTION("""COMPUTED_VALUE"""),"16/08/1997")</f>
        <v>16/08/1997</v>
      </c>
      <c r="H179" s="122" t="str">
        <f>IFERROR(__xludf.DUMMYFUNCTION("""COMPUTED_VALUE"""),"079097006932")</f>
        <v>079097006932</v>
      </c>
      <c r="I179" s="122" t="str">
        <f>IFERROR(__xludf.DUMMYFUNCTION("""COMPUTED_VALUE"""),"0356635366")</f>
        <v>0356635366</v>
      </c>
      <c r="J179" s="122" t="str">
        <f>IFERROR(__xludf.DUMMYFUNCTION("""COMPUTED_VALUE"""),"Tahao16081997@gmail.com")</f>
        <v>Tahao16081997@gmail.com</v>
      </c>
      <c r="K179" s="122">
        <f>IFERROR(__xludf.DUMMYFUNCTION("""COMPUTED_VALUE"""),1.9032213429019E13)</f>
        <v>19032213429019</v>
      </c>
      <c r="L179" s="122" t="str">
        <f>IFERROR(__xludf.DUMMYFUNCTION("""COMPUTED_VALUE"""),"Trương Anh Hào")</f>
        <v>Trương Anh Hào</v>
      </c>
      <c r="M179" s="122" t="str">
        <f>IFERROR(__xludf.DUMMYFUNCTION("""COMPUTED_VALUE"""),"Techcombank  ")</f>
        <v>Techcombank  </v>
      </c>
      <c r="N179" s="122" t="str">
        <f>IFERROR(__xludf.DUMMYFUNCTION("""COMPUTED_VALUE"""),"36 đường 892 Tạ Quang Bửu, chung cư Bông Sao B1 P5 Q8 tphcm")</f>
        <v>36 đường 892 Tạ Quang Bửu, chung cư Bông Sao B1 P5 Q8 tphcm</v>
      </c>
      <c r="O179" s="122" t="str">
        <f>IFERROR(__xludf.DUMMYFUNCTION("""COMPUTED_VALUE"""),"Hoa")</f>
        <v>Hoa</v>
      </c>
      <c r="P179" s="123" t="str">
        <f>IFERROR(__xludf.DUMMYFUNCTION("""COMPUTED_VALUE"""),"Hoa")</f>
        <v>Hoa</v>
      </c>
      <c r="Q179" s="122"/>
      <c r="R179" s="122" t="str">
        <f>IFERROR(__xludf.DUMMYFUNCTION("""COMPUTED_VALUE"""),"INFHAO366")</f>
        <v>INFHAO366</v>
      </c>
      <c r="S179" s="124" t="str">
        <f>IFERROR(__xludf.DUMMYFUNCTION("""COMPUTED_VALUE"""),"http://yody.vn?affcode=INFHAO366")</f>
        <v>http://yody.vn?affcode=INFHAO366</v>
      </c>
    </row>
    <row r="180">
      <c r="A180" s="122" t="str">
        <f>IFERROR(__xludf.DUMMYFUNCTION("""COMPUTED_VALUE"""),"INFANH073")</f>
        <v>INFANH073</v>
      </c>
      <c r="B180" s="122" t="str">
        <f>IFERROR(__xludf.DUMMYFUNCTION("""COMPUTED_VALUE"""),"Hoàng Việt Anh")</f>
        <v>Hoàng Việt Anh</v>
      </c>
      <c r="C180" s="124" t="str">
        <f>IFERROR(__xludf.DUMMYFUNCTION("""COMPUTED_VALUE"""),"fb")</f>
        <v>fb</v>
      </c>
      <c r="D180" s="122"/>
      <c r="E180" s="122" t="str">
        <f>IFERROR(__xludf.DUMMYFUNCTION("""COMPUTED_VALUE"""),"98,4k")</f>
        <v>98,4k</v>
      </c>
      <c r="F180" s="122" t="str">
        <f>IFERROR(__xludf.DUMMYFUNCTION("""COMPUTED_VALUE"""),"Hoàng Việt Anh")</f>
        <v>Hoàng Việt Anh</v>
      </c>
      <c r="G180" s="122" t="str">
        <f>IFERROR(__xludf.DUMMYFUNCTION("""COMPUTED_VALUE"""),"24/12/1999")</f>
        <v>24/12/1999</v>
      </c>
      <c r="H180" s="122" t="str">
        <f>IFERROR(__xludf.DUMMYFUNCTION("""COMPUTED_VALUE"""),"071047881")</f>
        <v>071047881</v>
      </c>
      <c r="I180" s="122" t="str">
        <f>IFERROR(__xludf.DUMMYFUNCTION("""COMPUTED_VALUE"""),"0967580073")</f>
        <v>0967580073</v>
      </c>
      <c r="J180" s="122" t="str">
        <f>IFERROR(__xludf.DUMMYFUNCTION("""COMPUTED_VALUE"""),"vietanhhy1112@gmail.com")</f>
        <v>vietanhhy1112@gmail.com</v>
      </c>
      <c r="K180" s="122">
        <f>IFERROR(__xludf.DUMMYFUNCTION("""COMPUTED_VALUE"""),3.4110001129745E13)</f>
        <v>34110001129745</v>
      </c>
      <c r="L180" s="122" t="str">
        <f>IFERROR(__xludf.DUMMYFUNCTION("""COMPUTED_VALUE"""),"Hoàng Việt Anh")</f>
        <v>Hoàng Việt Anh</v>
      </c>
      <c r="M180" s="122" t="str">
        <f>IFERROR(__xludf.DUMMYFUNCTION("""COMPUTED_VALUE"""),"BIDV chi nhánh Tuyên Quang")</f>
        <v>BIDV chi nhánh Tuyên Quang</v>
      </c>
      <c r="N180" s="122" t="str">
        <f>IFERROR(__xludf.DUMMYFUNCTION("""COMPUTED_VALUE"""),"Số 435 đường 17 tháng 8,phường Phan Thiết, thành phố Tuyên Quang, tỉnh Tuyên Quang")</f>
        <v>Số 435 đường 17 tháng 8,phường Phan Thiết, thành phố Tuyên Quang, tỉnh Tuyên Quang</v>
      </c>
      <c r="O180" s="122" t="str">
        <f>IFERROR(__xludf.DUMMYFUNCTION("""COMPUTED_VALUE"""),"Hoa")</f>
        <v>Hoa</v>
      </c>
      <c r="P180" s="123" t="str">
        <f>IFERROR(__xludf.DUMMYFUNCTION("""COMPUTED_VALUE"""),"Hoa")</f>
        <v>Hoa</v>
      </c>
      <c r="Q180" s="122"/>
      <c r="R180" s="122" t="str">
        <f>IFERROR(__xludf.DUMMYFUNCTION("""COMPUTED_VALUE"""),"INFANH073")</f>
        <v>INFANH073</v>
      </c>
      <c r="S180" s="124" t="str">
        <f>IFERROR(__xludf.DUMMYFUNCTION("""COMPUTED_VALUE"""),"http://yody.vn?affcode=INFANH073")</f>
        <v>http://yody.vn?affcode=INFANH073</v>
      </c>
    </row>
    <row r="181">
      <c r="A181" s="122" t="str">
        <f>IFERROR(__xludf.DUMMYFUNCTION("""COMPUTED_VALUE"""),"INFLAN691")</f>
        <v>INFLAN691</v>
      </c>
      <c r="B181" s="122" t="str">
        <f>IFERROR(__xludf.DUMMYFUNCTION("""COMPUTED_VALUE"""),"Trương Ngọc Lan")</f>
        <v>Trương Ngọc Lan</v>
      </c>
      <c r="C181" s="124" t="str">
        <f>IFERROR(__xludf.DUMMYFUNCTION("""COMPUTED_VALUE"""),"fb")</f>
        <v>fb</v>
      </c>
      <c r="D181" s="122"/>
      <c r="E181" s="122" t="str">
        <f>IFERROR(__xludf.DUMMYFUNCTION("""COMPUTED_VALUE"""),"152,7k")</f>
        <v>152,7k</v>
      </c>
      <c r="F181" s="122" t="str">
        <f>IFERROR(__xludf.DUMMYFUNCTION("""COMPUTED_VALUE"""),"Trương Ngọc Lan")</f>
        <v>Trương Ngọc Lan</v>
      </c>
      <c r="G181" s="126">
        <f>IFERROR(__xludf.DUMMYFUNCTION("""COMPUTED_VALUE"""),33578.0)</f>
        <v>33578</v>
      </c>
      <c r="H181" s="122" t="str">
        <f>IFERROR(__xludf.DUMMYFUNCTION("""COMPUTED_VALUE"""),"017038596")</f>
        <v>017038596</v>
      </c>
      <c r="I181" s="122" t="str">
        <f>IFERROR(__xludf.DUMMYFUNCTION("""COMPUTED_VALUE"""),"0902120691")</f>
        <v>0902120691</v>
      </c>
      <c r="J181" s="122" t="str">
        <f>IFERROR(__xludf.DUMMYFUNCTION("""COMPUTED_VALUE"""),"Phuonglan120810@gmail.com")</f>
        <v>Phuonglan120810@gmail.com</v>
      </c>
      <c r="K181" s="122">
        <f>IFERROR(__xludf.DUMMYFUNCTION("""COMPUTED_VALUE"""),1.1004236992E10)</f>
        <v>11004236992</v>
      </c>
      <c r="L181" s="122" t="str">
        <f>IFERROR(__xludf.DUMMYFUNCTION("""COMPUTED_VALUE"""),"Trương Thị Lan")</f>
        <v>Trương Thị Lan</v>
      </c>
      <c r="M181" s="122" t="str">
        <f>IFERROR(__xludf.DUMMYFUNCTION("""COMPUTED_VALUE"""),"Vietcombank  ")</f>
        <v>Vietcombank  </v>
      </c>
      <c r="N181" s="122" t="str">
        <f>IFERROR(__xludf.DUMMYFUNCTION("""COMPUTED_VALUE"""),"C1A Ecohome 2 - Đông Ngạc - Bắc Từ Liêm -HN")</f>
        <v>C1A Ecohome 2 - Đông Ngạc - Bắc Từ Liêm -HN</v>
      </c>
      <c r="O181" s="122" t="str">
        <f>IFERROR(__xludf.DUMMYFUNCTION("""COMPUTED_VALUE"""),"Hoa")</f>
        <v>Hoa</v>
      </c>
      <c r="P181" s="123" t="str">
        <f>IFERROR(__xludf.DUMMYFUNCTION("""COMPUTED_VALUE"""),"Hoa")</f>
        <v>Hoa</v>
      </c>
      <c r="Q181" s="122"/>
      <c r="R181" s="122" t="str">
        <f>IFERROR(__xludf.DUMMYFUNCTION("""COMPUTED_VALUE"""),"INFLAN691")</f>
        <v>INFLAN691</v>
      </c>
      <c r="S181" s="124" t="str">
        <f>IFERROR(__xludf.DUMMYFUNCTION("""COMPUTED_VALUE"""),"http://yody.vn?affcode=INFLAN691")</f>
        <v>http://yody.vn?affcode=INFLAN691</v>
      </c>
    </row>
    <row r="182">
      <c r="A182" s="122" t="str">
        <f>IFERROR(__xludf.DUMMYFUNCTION("""COMPUTED_VALUE"""),"INFPHUONG399")</f>
        <v>INFPHUONG399</v>
      </c>
      <c r="B182" s="122" t="str">
        <f>IFERROR(__xludf.DUMMYFUNCTION("""COMPUTED_VALUE"""),"Truong Lan Phương")</f>
        <v>Truong Lan Phương</v>
      </c>
      <c r="C182" s="124" t="str">
        <f>IFERROR(__xludf.DUMMYFUNCTION("""COMPUTED_VALUE"""),"fb")</f>
        <v>fb</v>
      </c>
      <c r="D182" s="122"/>
      <c r="E182" s="122" t="str">
        <f>IFERROR(__xludf.DUMMYFUNCTION("""COMPUTED_VALUE"""),"147,9k")</f>
        <v>147,9k</v>
      </c>
      <c r="F182" s="122" t="str">
        <f>IFERROR(__xludf.DUMMYFUNCTION("""COMPUTED_VALUE"""),"Trương Thị Phương")</f>
        <v>Trương Thị Phương</v>
      </c>
      <c r="G182" s="126">
        <f>IFERROR(__xludf.DUMMYFUNCTION("""COMPUTED_VALUE"""),32606.0)</f>
        <v>32606</v>
      </c>
      <c r="H182" s="122" t="str">
        <f>IFERROR(__xludf.DUMMYFUNCTION("""COMPUTED_VALUE"""),"001189002354")</f>
        <v>001189002354</v>
      </c>
      <c r="I182" s="122" t="str">
        <f>IFERROR(__xludf.DUMMYFUNCTION("""COMPUTED_VALUE"""),"0968994399")</f>
        <v>0968994399</v>
      </c>
      <c r="J182" s="122" t="str">
        <f>IFERROR(__xludf.DUMMYFUNCTION("""COMPUTED_VALUE"""),"lanphuong4889@gmail.com")</f>
        <v>lanphuong4889@gmail.com</v>
      </c>
      <c r="K182" s="122">
        <f>IFERROR(__xludf.DUMMYFUNCTION("""COMPUTED_VALUE"""),5.20133885009E11)</f>
        <v>520133885009</v>
      </c>
      <c r="L182" s="122" t="str">
        <f>IFERROR(__xludf.DUMMYFUNCTION("""COMPUTED_VALUE"""),"Trương Thị Phương")</f>
        <v>Trương Thị Phương</v>
      </c>
      <c r="M182" s="122" t="str">
        <f>IFERROR(__xludf.DUMMYFUNCTION("""COMPUTED_VALUE"""),"MB Bank ")</f>
        <v>MB Bank </v>
      </c>
      <c r="N182" s="122" t="str">
        <f>IFERROR(__xludf.DUMMYFUNCTION("""COMPUTED_VALUE"""),"Số nhà 11 ngách 76/42 phố Mai Dịch, phường Mai Dịch - Cầu Giấy - Hà Nội")</f>
        <v>Số nhà 11 ngách 76/42 phố Mai Dịch, phường Mai Dịch - Cầu Giấy - Hà Nội</v>
      </c>
      <c r="O182" s="122" t="str">
        <f>IFERROR(__xludf.DUMMYFUNCTION("""COMPUTED_VALUE"""),"Hoa")</f>
        <v>Hoa</v>
      </c>
      <c r="P182" s="123" t="str">
        <f>IFERROR(__xludf.DUMMYFUNCTION("""COMPUTED_VALUE"""),"Hoa")</f>
        <v>Hoa</v>
      </c>
      <c r="Q182" s="122"/>
      <c r="R182" s="122" t="str">
        <f>IFERROR(__xludf.DUMMYFUNCTION("""COMPUTED_VALUE"""),"INFPHUONG399")</f>
        <v>INFPHUONG399</v>
      </c>
      <c r="S182" s="124" t="str">
        <f>IFERROR(__xludf.DUMMYFUNCTION("""COMPUTED_VALUE"""),"http://yody.vn?affcode=INFPHUONG399")</f>
        <v>http://yody.vn?affcode=INFPHUONG399</v>
      </c>
    </row>
    <row r="183">
      <c r="A183" s="122" t="str">
        <f>IFERROR(__xludf.DUMMYFUNCTION("""COMPUTED_VALUE"""),"INFNGA490")</f>
        <v>INFNGA490</v>
      </c>
      <c r="B183" s="122" t="str">
        <f>IFERROR(__xludf.DUMMYFUNCTION("""COMPUTED_VALUE"""),"Trần Phương Thảo")</f>
        <v>Trần Phương Thảo</v>
      </c>
      <c r="C183" s="124" t="str">
        <f>IFERROR(__xludf.DUMMYFUNCTION("""COMPUTED_VALUE"""),"fb")</f>
        <v>fb</v>
      </c>
      <c r="D183" s="122"/>
      <c r="E183" s="122" t="str">
        <f>IFERROR(__xludf.DUMMYFUNCTION("""COMPUTED_VALUE"""),"130,2k")</f>
        <v>130,2k</v>
      </c>
      <c r="F183" s="122" t="str">
        <f>IFERROR(__xludf.DUMMYFUNCTION("""COMPUTED_VALUE"""),"Phạm Thi Thanh Nga")</f>
        <v>Phạm Thi Thanh Nga</v>
      </c>
      <c r="G183" s="122" t="str">
        <f>IFERROR(__xludf.DUMMYFUNCTION("""COMPUTED_VALUE"""),"13/06/1990")</f>
        <v>13/06/1990</v>
      </c>
      <c r="H183" s="122">
        <f>IFERROR(__xludf.DUMMYFUNCTION("""COMPUTED_VALUE"""),1.51810475E8)</f>
        <v>151810475</v>
      </c>
      <c r="I183" s="122" t="str">
        <f>IFERROR(__xludf.DUMMYFUNCTION("""COMPUTED_VALUE"""),"0989904490")</f>
        <v>0989904490</v>
      </c>
      <c r="J183" s="122" t="str">
        <f>IFERROR(__xludf.DUMMYFUNCTION("""COMPUTED_VALUE"""),"phuongphuongbui6868@gmail.com")</f>
        <v>phuongphuongbui6868@gmail.com</v>
      </c>
      <c r="K183" s="122">
        <f>IFERROR(__xludf.DUMMYFUNCTION("""COMPUTED_VALUE"""),1.9033718846011E13)</f>
        <v>19033718846011</v>
      </c>
      <c r="L183" s="122" t="str">
        <f>IFERROR(__xludf.DUMMYFUNCTION("""COMPUTED_VALUE"""),"Pham Thị Thanh Nga ")</f>
        <v>Pham Thị Thanh Nga </v>
      </c>
      <c r="M183" s="122" t="str">
        <f>IFERROR(__xludf.DUMMYFUNCTION("""COMPUTED_VALUE"""),"Techcombank CN Đông ĐÔ")</f>
        <v>Techcombank CN Đông ĐÔ</v>
      </c>
      <c r="N183" s="122" t="str">
        <f>IFERROR(__xludf.DUMMYFUNCTION("""COMPUTED_VALUE"""),"Số 13, ngõ 246/38 Phương Canh, Nam Từ Liêm, Hà Nội")</f>
        <v>Số 13, ngõ 246/38 Phương Canh, Nam Từ Liêm, Hà Nội</v>
      </c>
      <c r="O183" s="122" t="str">
        <f>IFERROR(__xludf.DUMMYFUNCTION("""COMPUTED_VALUE"""),"Hoa")</f>
        <v>Hoa</v>
      </c>
      <c r="P183" s="123" t="str">
        <f>IFERROR(__xludf.DUMMYFUNCTION("""COMPUTED_VALUE"""),"Hoa")</f>
        <v>Hoa</v>
      </c>
      <c r="Q183" s="122"/>
      <c r="R183" s="122" t="str">
        <f>IFERROR(__xludf.DUMMYFUNCTION("""COMPUTED_VALUE"""),"INFNGA490")</f>
        <v>INFNGA490</v>
      </c>
      <c r="S183" s="124" t="str">
        <f>IFERROR(__xludf.DUMMYFUNCTION("""COMPUTED_VALUE"""),"http://yody.vn?affcode=INFNGA490")</f>
        <v>http://yody.vn?affcode=INFNGA490</v>
      </c>
    </row>
    <row r="184">
      <c r="A184" s="122" t="str">
        <f>IFERROR(__xludf.DUMMYFUNCTION("""COMPUTED_VALUE"""),"INFVIEN003")</f>
        <v>INFVIEN003</v>
      </c>
      <c r="B184" s="122" t="str">
        <f>IFERROR(__xludf.DUMMYFUNCTION("""COMPUTED_VALUE"""),"Nguyễn Hữu Tuyết Viên")</f>
        <v>Nguyễn Hữu Tuyết Viên</v>
      </c>
      <c r="C184" s="124" t="str">
        <f>IFERROR(__xludf.DUMMYFUNCTION("""COMPUTED_VALUE"""),"fb")</f>
        <v>fb</v>
      </c>
      <c r="D184" s="124" t="str">
        <f>IFERROR(__xludf.DUMMYFUNCTION("""COMPUTED_VALUE"""),"ins")</f>
        <v>ins</v>
      </c>
      <c r="E184" s="122" t="str">
        <f>IFERROR(__xludf.DUMMYFUNCTION("""COMPUTED_VALUE"""),"259k")</f>
        <v>259k</v>
      </c>
      <c r="F184" s="122" t="str">
        <f>IFERROR(__xludf.DUMMYFUNCTION("""COMPUTED_VALUE"""),"Nguyễn Hữu Tuyết Viên")</f>
        <v>Nguyễn Hữu Tuyết Viên</v>
      </c>
      <c r="G184" s="122" t="str">
        <f>IFERROR(__xludf.DUMMYFUNCTION("""COMPUTED_VALUE"""),"18/02/1982")</f>
        <v>18/02/1982</v>
      </c>
      <c r="H184" s="122">
        <f>IFERROR(__xludf.DUMMYFUNCTION("""COMPUTED_VALUE"""),2.60877049E8)</f>
        <v>260877049</v>
      </c>
      <c r="I184" s="122" t="str">
        <f>IFERROR(__xludf.DUMMYFUNCTION("""COMPUTED_VALUE"""),"0916123003")</f>
        <v>0916123003</v>
      </c>
      <c r="J184" s="122" t="str">
        <f>IFERROR(__xludf.DUMMYFUNCTION("""COMPUTED_VALUE"""),"Congdongkols@gmail.com")</f>
        <v>Congdongkols@gmail.com</v>
      </c>
      <c r="K184" s="122" t="str">
        <f>IFERROR(__xludf.DUMMYFUNCTION("""COMPUTED_VALUE"""),"0916123003 ")</f>
        <v>0916123003 </v>
      </c>
      <c r="L184" s="122"/>
      <c r="M184" s="122" t="str">
        <f>IFERROR(__xludf.DUMMYFUNCTION("""COMPUTED_VALUE""")," TECHCOMBANK")</f>
        <v> TECHCOMBANK</v>
      </c>
      <c r="N184" s="122" t="str">
        <f>IFERROR(__xludf.DUMMYFUNCTION("""COMPUTED_VALUE"""),"Lô X10 KDC 19/4 Phú Trinh Phan Thiết Bình Thuận")</f>
        <v>Lô X10 KDC 19/4 Phú Trinh Phan Thiết Bình Thuận</v>
      </c>
      <c r="O184" s="122" t="str">
        <f>IFERROR(__xludf.DUMMYFUNCTION("""COMPUTED_VALUE"""),"Hoa")</f>
        <v>Hoa</v>
      </c>
      <c r="P184" s="123" t="str">
        <f>IFERROR(__xludf.DUMMYFUNCTION("""COMPUTED_VALUE"""),"Hoa")</f>
        <v>Hoa</v>
      </c>
      <c r="Q184" s="122"/>
      <c r="R184" s="122" t="str">
        <f>IFERROR(__xludf.DUMMYFUNCTION("""COMPUTED_VALUE"""),"INFVIEN003")</f>
        <v>INFVIEN003</v>
      </c>
      <c r="S184" s="124" t="str">
        <f>IFERROR(__xludf.DUMMYFUNCTION("""COMPUTED_VALUE"""),"http://yody.vn?affcode=INFVIEN003")</f>
        <v>http://yody.vn?affcode=INFVIEN003</v>
      </c>
    </row>
    <row r="185">
      <c r="A185" s="122" t="str">
        <f>IFERROR(__xludf.DUMMYFUNCTION("""COMPUTED_VALUE"""),"INFNGHI944")</f>
        <v>INFNGHI944</v>
      </c>
      <c r="B185" s="122" t="str">
        <f>IFERROR(__xludf.DUMMYFUNCTION("""COMPUTED_VALUE"""),"Nguyễn Thoại Nghi")</f>
        <v>Nguyễn Thoại Nghi</v>
      </c>
      <c r="C185" s="124" t="str">
        <f>IFERROR(__xludf.DUMMYFUNCTION("""COMPUTED_VALUE"""),"fb")</f>
        <v>fb</v>
      </c>
      <c r="D185" s="124" t="str">
        <f>IFERROR(__xludf.DUMMYFUNCTION("""COMPUTED_VALUE"""),"tiktok")</f>
        <v>tiktok</v>
      </c>
      <c r="E185" s="122" t="str">
        <f>IFERROR(__xludf.DUMMYFUNCTION("""COMPUTED_VALUE"""),"256,5k / 71,4k")</f>
        <v>256,5k / 71,4k</v>
      </c>
      <c r="F185" s="122" t="str">
        <f>IFERROR(__xludf.DUMMYFUNCTION("""COMPUTED_VALUE"""),"Nguyễn Thoại Nghi")</f>
        <v>Nguyễn Thoại Nghi</v>
      </c>
      <c r="G185" s="122" t="str">
        <f>IFERROR(__xludf.DUMMYFUNCTION("""COMPUTED_VALUE"""),"14/09/2005")</f>
        <v>14/09/2005</v>
      </c>
      <c r="H185" s="122" t="str">
        <f>IFERROR(__xludf.DUMMYFUNCTION("""COMPUTED_VALUE"""),"079305024493")</f>
        <v>079305024493</v>
      </c>
      <c r="I185" s="122" t="str">
        <f>IFERROR(__xludf.DUMMYFUNCTION("""COMPUTED_VALUE"""),"0929265944")</f>
        <v>0929265944</v>
      </c>
      <c r="J185" s="122" t="str">
        <f>IFERROR(__xludf.DUMMYFUNCTION("""COMPUTED_VALUE"""),"danquynh3011@gmail.com")</f>
        <v>danquynh3011@gmail.com</v>
      </c>
      <c r="K185" s="122" t="str">
        <f>IFERROR(__xludf.DUMMYFUNCTION("""COMPUTED_VALUE"""),"1017616855 Vietcombank Tân Phú Nguyễn Vũ Thoại Nghi")</f>
        <v>1017616855 Vietcombank Tân Phú Nguyễn Vũ Thoại Nghi</v>
      </c>
      <c r="L185" s="122"/>
      <c r="M185" s="122"/>
      <c r="N185" s="122" t="str">
        <f>IFERROR(__xludf.DUMMYFUNCTION("""COMPUTED_VALUE"""),"368/24 Tân Sơn Nhì, phường Tân Sơn Nhì, Quận Tân Phú, TPHCM")</f>
        <v>368/24 Tân Sơn Nhì, phường Tân Sơn Nhì, Quận Tân Phú, TPHCM</v>
      </c>
      <c r="O185" s="122" t="str">
        <f>IFERROR(__xludf.DUMMYFUNCTION("""COMPUTED_VALUE"""),"Hoa")</f>
        <v>Hoa</v>
      </c>
      <c r="P185" s="123" t="str">
        <f>IFERROR(__xludf.DUMMYFUNCTION("""COMPUTED_VALUE"""),"Hoa")</f>
        <v>Hoa</v>
      </c>
      <c r="Q185" s="122"/>
      <c r="R185" s="122" t="str">
        <f>IFERROR(__xludf.DUMMYFUNCTION("""COMPUTED_VALUE"""),"INFNGHI944")</f>
        <v>INFNGHI944</v>
      </c>
      <c r="S185" s="124" t="str">
        <f>IFERROR(__xludf.DUMMYFUNCTION("""COMPUTED_VALUE"""),"http://yody.vn?affcode=INFNGHI944")</f>
        <v>http://yody.vn?affcode=INFNGHI944</v>
      </c>
    </row>
    <row r="186">
      <c r="A186" s="122" t="str">
        <f>IFERROR(__xludf.DUMMYFUNCTION("""COMPUTED_VALUE"""),"INFQUAN960")</f>
        <v>INFQUAN960</v>
      </c>
      <c r="B186" s="122" t="str">
        <f>IFERROR(__xludf.DUMMYFUNCTION("""COMPUTED_VALUE"""),"Trần Quân")</f>
        <v>Trần Quân</v>
      </c>
      <c r="C186" s="124" t="str">
        <f>IFERROR(__xludf.DUMMYFUNCTION("""COMPUTED_VALUE"""),"fb")</f>
        <v>fb</v>
      </c>
      <c r="D186" s="122"/>
      <c r="E186" s="122" t="str">
        <f>IFERROR(__xludf.DUMMYFUNCTION("""COMPUTED_VALUE"""),"71,6k")</f>
        <v>71,6k</v>
      </c>
      <c r="F186" s="122" t="str">
        <f>IFERROR(__xludf.DUMMYFUNCTION("""COMPUTED_VALUE"""),"Trần Văn Quân")</f>
        <v>Trần Văn Quân</v>
      </c>
      <c r="G186" s="126">
        <f>IFERROR(__xludf.DUMMYFUNCTION("""COMPUTED_VALUE"""),34767.0)</f>
        <v>34767</v>
      </c>
      <c r="H186" s="122" t="str">
        <f>IFERROR(__xludf.DUMMYFUNCTION("""COMPUTED_VALUE"""),"070095000061")</f>
        <v>070095000061</v>
      </c>
      <c r="I186" s="122" t="str">
        <f>IFERROR(__xludf.DUMMYFUNCTION("""COMPUTED_VALUE"""),"0965623960")</f>
        <v>0965623960</v>
      </c>
      <c r="J186" s="122" t="str">
        <f>IFERROR(__xludf.DUMMYFUNCTION("""COMPUTED_VALUE"""),"trancongquan3994@gmail.com")</f>
        <v>trancongquan3994@gmail.com</v>
      </c>
      <c r="K186" s="122">
        <f>IFERROR(__xludf.DUMMYFUNCTION("""COMPUTED_VALUE"""),3.0919947979E10)</f>
        <v>30919947979</v>
      </c>
      <c r="L186" s="122" t="str">
        <f>IFERROR(__xludf.DUMMYFUNCTION("""COMPUTED_VALUE"""),"Tran Van Quan")</f>
        <v>Tran Van Quan</v>
      </c>
      <c r="M186" s="122" t="str">
        <f>IFERROR(__xludf.DUMMYFUNCTION("""COMPUTED_VALUE"""),"MB")</f>
        <v>MB</v>
      </c>
      <c r="N186" s="122" t="str">
        <f>IFERROR(__xludf.DUMMYFUNCTION("""COMPUTED_VALUE"""),"156 phạm văn chí phường 4 Quận 6 HCM")</f>
        <v>156 phạm văn chí phường 4 Quận 6 HCM</v>
      </c>
      <c r="O186" s="122" t="str">
        <f>IFERROR(__xludf.DUMMYFUNCTION("""COMPUTED_VALUE"""),"Hoa")</f>
        <v>Hoa</v>
      </c>
      <c r="P186" s="123" t="str">
        <f>IFERROR(__xludf.DUMMYFUNCTION("""COMPUTED_VALUE"""),"Hoa")</f>
        <v>Hoa</v>
      </c>
      <c r="Q186" s="122"/>
      <c r="R186" s="122" t="str">
        <f>IFERROR(__xludf.DUMMYFUNCTION("""COMPUTED_VALUE"""),"INFQUAN960")</f>
        <v>INFQUAN960</v>
      </c>
      <c r="S186" s="124" t="str">
        <f>IFERROR(__xludf.DUMMYFUNCTION("""COMPUTED_VALUE"""),"http://yody.vn?affcode=INFQUAN960")</f>
        <v>http://yody.vn?affcode=INFQUAN960</v>
      </c>
    </row>
    <row r="187">
      <c r="A187" s="122" t="str">
        <f>IFERROR(__xludf.DUMMYFUNCTION("""COMPUTED_VALUE"""),"INFYEN795")</f>
        <v>INFYEN795</v>
      </c>
      <c r="B187" s="122" t="str">
        <f>IFERROR(__xludf.DUMMYFUNCTION("""COMPUTED_VALUE"""),"Yen Nguyen Alicia")</f>
        <v>Yen Nguyen Alicia</v>
      </c>
      <c r="C187" s="124" t="str">
        <f>IFERROR(__xludf.DUMMYFUNCTION("""COMPUTED_VALUE"""),"fb")</f>
        <v>fb</v>
      </c>
      <c r="D187" s="122"/>
      <c r="E187" s="122" t="str">
        <f>IFERROR(__xludf.DUMMYFUNCTION("""COMPUTED_VALUE"""),"107,2k")</f>
        <v>107,2k</v>
      </c>
      <c r="F187" s="122" t="str">
        <f>IFERROR(__xludf.DUMMYFUNCTION("""COMPUTED_VALUE"""),"Nguyễn Thị Hải Yến")</f>
        <v>Nguyễn Thị Hải Yến</v>
      </c>
      <c r="G187" s="126">
        <f>IFERROR(__xludf.DUMMYFUNCTION("""COMPUTED_VALUE"""),29866.0)</f>
        <v>29866</v>
      </c>
      <c r="H187" s="122" t="str">
        <f>IFERROR(__xludf.DUMMYFUNCTION("""COMPUTED_VALUE"""),"001181016765")</f>
        <v>001181016765</v>
      </c>
      <c r="I187" s="122" t="str">
        <f>IFERROR(__xludf.DUMMYFUNCTION("""COMPUTED_VALUE"""),"0914320795")</f>
        <v>0914320795</v>
      </c>
      <c r="J187" s="122" t="str">
        <f>IFERROR(__xludf.DUMMYFUNCTION("""COMPUTED_VALUE"""),"Yennguyen10781@gmail.com")</f>
        <v>Yennguyen10781@gmail.com</v>
      </c>
      <c r="K187" s="122">
        <f>IFERROR(__xludf.DUMMYFUNCTION("""COMPUTED_VALUE"""),2.2010003430034E13)</f>
        <v>22010003430034</v>
      </c>
      <c r="L187" s="122" t="str">
        <f>IFERROR(__xludf.DUMMYFUNCTION("""COMPUTED_VALUE"""),"Nguyễn Thị Hải Yến")</f>
        <v>Nguyễn Thị Hải Yến</v>
      </c>
      <c r="M187" s="122" t="str">
        <f>IFERROR(__xludf.DUMMYFUNCTION("""COMPUTED_VALUE"""),"BIDV ")</f>
        <v>BIDV </v>
      </c>
      <c r="N187" s="122" t="str">
        <f>IFERROR(__xludf.DUMMYFUNCTION("""COMPUTED_VALUE"""),"Số 34 Phố Hoè Thị, Nam Từ Liêm, HN")</f>
        <v>Số 34 Phố Hoè Thị, Nam Từ Liêm, HN</v>
      </c>
      <c r="O187" s="122" t="str">
        <f>IFERROR(__xludf.DUMMYFUNCTION("""COMPUTED_VALUE"""),"Hoa")</f>
        <v>Hoa</v>
      </c>
      <c r="P187" s="123" t="str">
        <f>IFERROR(__xludf.DUMMYFUNCTION("""COMPUTED_VALUE"""),"Hoa")</f>
        <v>Hoa</v>
      </c>
      <c r="Q187" s="122"/>
      <c r="R187" s="122" t="str">
        <f>IFERROR(__xludf.DUMMYFUNCTION("""COMPUTED_VALUE"""),"INFYEN795")</f>
        <v>INFYEN795</v>
      </c>
      <c r="S187" s="124" t="str">
        <f>IFERROR(__xludf.DUMMYFUNCTION("""COMPUTED_VALUE"""),"http://yody.vn?affcode=INFYEN795")</f>
        <v>http://yody.vn?affcode=INFYEN795</v>
      </c>
    </row>
    <row r="188">
      <c r="A188" s="122" t="str">
        <f>IFERROR(__xludf.DUMMYFUNCTION("""COMPUTED_VALUE"""),"INFPHUONG002")</f>
        <v>INFPHUONG002</v>
      </c>
      <c r="B188" s="122" t="str">
        <f>IFERROR(__xludf.DUMMYFUNCTION("""COMPUTED_VALUE"""),"Huyền Linh")</f>
        <v>Huyền Linh</v>
      </c>
      <c r="C188" s="124" t="str">
        <f>IFERROR(__xludf.DUMMYFUNCTION("""COMPUTED_VALUE"""),"fb")</f>
        <v>fb</v>
      </c>
      <c r="D188" s="122"/>
      <c r="E188" s="122" t="str">
        <f>IFERROR(__xludf.DUMMYFUNCTION("""COMPUTED_VALUE"""),"77,4k")</f>
        <v>77,4k</v>
      </c>
      <c r="F188" s="122" t="str">
        <f>IFERROR(__xludf.DUMMYFUNCTION("""COMPUTED_VALUE"""),"Bùi Thị Phương")</f>
        <v>Bùi Thị Phương</v>
      </c>
      <c r="G188" s="126">
        <f>IFERROR(__xludf.DUMMYFUNCTION("""COMPUTED_VALUE"""),31138.0)</f>
        <v>31138</v>
      </c>
      <c r="H188" s="122">
        <f>IFERROR(__xludf.DUMMYFUNCTION("""COMPUTED_VALUE"""),1.87699782E8)</f>
        <v>187699782</v>
      </c>
      <c r="I188" s="122" t="str">
        <f>IFERROR(__xludf.DUMMYFUNCTION("""COMPUTED_VALUE"""),"0973878002")</f>
        <v>0973878002</v>
      </c>
      <c r="J188" s="122" t="str">
        <f>IFERROR(__xludf.DUMMYFUNCTION("""COMPUTED_VALUE"""),"nnanvy131014@gmail.com")</f>
        <v>nnanvy131014@gmail.com</v>
      </c>
      <c r="K188" s="122">
        <f>IFERROR(__xludf.DUMMYFUNCTION("""COMPUTED_VALUE"""),9.60118886868E11)</f>
        <v>960118886868</v>
      </c>
      <c r="L188" s="122" t="str">
        <f>IFERROR(__xludf.DUMMYFUNCTION("""COMPUTED_VALUE"""),"Bui Thi Phuong")</f>
        <v>Bui Thi Phuong</v>
      </c>
      <c r="M188" s="122" t="str">
        <f>IFERROR(__xludf.DUMMYFUNCTION("""COMPUTED_VALUE"""),"MB Bank ")</f>
        <v>MB Bank </v>
      </c>
      <c r="N188" s="122" t="str">
        <f>IFERROR(__xludf.DUMMYFUNCTION("""COMPUTED_VALUE"""),"HH3.1 FLC Đại Mỗ, phường Đại Mỗ, Nam Từ Liêm, Hà Nội")</f>
        <v>HH3.1 FLC Đại Mỗ, phường Đại Mỗ, Nam Từ Liêm, Hà Nội</v>
      </c>
      <c r="O188" s="122" t="str">
        <f>IFERROR(__xludf.DUMMYFUNCTION("""COMPUTED_VALUE"""),"Hoa")</f>
        <v>Hoa</v>
      </c>
      <c r="P188" s="123" t="str">
        <f>IFERROR(__xludf.DUMMYFUNCTION("""COMPUTED_VALUE"""),"Hoa")</f>
        <v>Hoa</v>
      </c>
      <c r="Q188" s="122"/>
      <c r="R188" s="122" t="str">
        <f>IFERROR(__xludf.DUMMYFUNCTION("""COMPUTED_VALUE"""),"INFPHUONG002")</f>
        <v>INFPHUONG002</v>
      </c>
      <c r="S188" s="124" t="str">
        <f>IFERROR(__xludf.DUMMYFUNCTION("""COMPUTED_VALUE"""),"http://yody.vn?affcode=INFPHUONG002")</f>
        <v>http://yody.vn?affcode=INFPHUONG002</v>
      </c>
    </row>
    <row r="189">
      <c r="A189" s="122" t="str">
        <f>IFERROR(__xludf.DUMMYFUNCTION("""COMPUTED_VALUE"""),"INFHA277")</f>
        <v>INFHA277</v>
      </c>
      <c r="B189" s="122" t="str">
        <f>IFERROR(__xludf.DUMMYFUNCTION("""COMPUTED_VALUE"""),"Hà Trịnh")</f>
        <v>Hà Trịnh</v>
      </c>
      <c r="C189" s="124" t="str">
        <f>IFERROR(__xludf.DUMMYFUNCTION("""COMPUTED_VALUE"""),"fb")</f>
        <v>fb</v>
      </c>
      <c r="D189" s="124" t="str">
        <f>IFERROR(__xludf.DUMMYFUNCTION("""COMPUTED_VALUE"""),"tiktok")</f>
        <v>tiktok</v>
      </c>
      <c r="E189" s="122" t="str">
        <f>IFERROR(__xludf.DUMMYFUNCTION("""COMPUTED_VALUE"""),"115,3k / 106,9k")</f>
        <v>115,3k / 106,9k</v>
      </c>
      <c r="F189" s="122" t="str">
        <f>IFERROR(__xludf.DUMMYFUNCTION("""COMPUTED_VALUE"""),"Trịnh Thị Hà")</f>
        <v>Trịnh Thị Hà</v>
      </c>
      <c r="G189" s="125">
        <f>IFERROR(__xludf.DUMMYFUNCTION("""COMPUTED_VALUE"""),34983.0)</f>
        <v>34983</v>
      </c>
      <c r="H189" s="122" t="str">
        <f>IFERROR(__xludf.DUMMYFUNCTION("""COMPUTED_VALUE"""),"038195004063")</f>
        <v>038195004063</v>
      </c>
      <c r="I189" s="122" t="str">
        <f>IFERROR(__xludf.DUMMYFUNCTION("""COMPUTED_VALUE"""),"0974639277")</f>
        <v>0974639277</v>
      </c>
      <c r="J189" s="122" t="str">
        <f>IFERROR(__xludf.DUMMYFUNCTION("""COMPUTED_VALUE"""),"Hanhangiahan2018@gmail.com")</f>
        <v>Hanhangiahan2018@gmail.com</v>
      </c>
      <c r="K189" s="122">
        <f>IFERROR(__xludf.DUMMYFUNCTION("""COMPUTED_VALUE"""),1.9033300241014E13)</f>
        <v>19033300241014</v>
      </c>
      <c r="L189" s="122" t="str">
        <f>IFERROR(__xludf.DUMMYFUNCTION("""COMPUTED_VALUE"""),"Trịnh Thị Hà")</f>
        <v>Trịnh Thị Hà</v>
      </c>
      <c r="M189" s="122" t="str">
        <f>IFERROR(__xludf.DUMMYFUNCTION("""COMPUTED_VALUE"""),"TechcombankTrịnh Thị Hà")</f>
        <v>TechcombankTrịnh Thị Hà</v>
      </c>
      <c r="N189" s="122" t="str">
        <f>IFERROR(__xludf.DUMMYFUNCTION("""COMPUTED_VALUE"""),"127. Mai dịch. Cầu Giấy. Hà Nội")</f>
        <v>127. Mai dịch. Cầu Giấy. Hà Nội</v>
      </c>
      <c r="O189" s="122" t="str">
        <f>IFERROR(__xludf.DUMMYFUNCTION("""COMPUTED_VALUE"""),"Hoa")</f>
        <v>Hoa</v>
      </c>
      <c r="P189" s="123" t="str">
        <f>IFERROR(__xludf.DUMMYFUNCTION("""COMPUTED_VALUE"""),"Hoa")</f>
        <v>Hoa</v>
      </c>
      <c r="Q189" s="122"/>
      <c r="R189" s="122" t="str">
        <f>IFERROR(__xludf.DUMMYFUNCTION("""COMPUTED_VALUE"""),"INFHA277")</f>
        <v>INFHA277</v>
      </c>
      <c r="S189" s="124" t="str">
        <f>IFERROR(__xludf.DUMMYFUNCTION("""COMPUTED_VALUE"""),"http://yody.vn?affcode=INFHA277")</f>
        <v>http://yody.vn?affcode=INFHA277</v>
      </c>
    </row>
    <row r="190">
      <c r="A190" s="122" t="str">
        <f>IFERROR(__xludf.DUMMYFUNCTION("""COMPUTED_VALUE"""),"INFPHUONG456")</f>
        <v>INFPHUONG456</v>
      </c>
      <c r="B190" s="122" t="str">
        <f>IFERROR(__xludf.DUMMYFUNCTION("""COMPUTED_VALUE"""),"Lâm Phượng")</f>
        <v>Lâm Phượng</v>
      </c>
      <c r="C190" s="124" t="str">
        <f>IFERROR(__xludf.DUMMYFUNCTION("""COMPUTED_VALUE"""),"fb")</f>
        <v>fb</v>
      </c>
      <c r="D190" s="122"/>
      <c r="E190" s="122" t="str">
        <f>IFERROR(__xludf.DUMMYFUNCTION("""COMPUTED_VALUE"""),"199k")</f>
        <v>199k</v>
      </c>
      <c r="F190" s="122" t="str">
        <f>IFERROR(__xludf.DUMMYFUNCTION("""COMPUTED_VALUE"""),"Lâm Phượng ")</f>
        <v>Lâm Phượng </v>
      </c>
      <c r="G190" s="126">
        <f>IFERROR(__xludf.DUMMYFUNCTION("""COMPUTED_VALUE"""),35799.0)</f>
        <v>35799</v>
      </c>
      <c r="H190" s="122">
        <f>IFERROR(__xludf.DUMMYFUNCTION("""COMPUTED_VALUE"""),2.01772982E8)</f>
        <v>201772982</v>
      </c>
      <c r="I190" s="122" t="str">
        <f>IFERROR(__xludf.DUMMYFUNCTION("""COMPUTED_VALUE"""),"0819456456")</f>
        <v>0819456456</v>
      </c>
      <c r="J190" s="122" t="str">
        <f>IFERROR(__xludf.DUMMYFUNCTION("""COMPUTED_VALUE"""),"ut.titlin@gmail.com")</f>
        <v>ut.titlin@gmail.com</v>
      </c>
      <c r="K190" s="122" t="str">
        <f>IFERROR(__xludf.DUMMYFUNCTION("""COMPUTED_VALUE"""),"Quân Đội ( MB )  Bank  :  
stk : 0790199899999
ctk : Lâm Minh Phượng . ")</f>
        <v>Quân Đội ( MB )  Bank  :  
stk : 0790199899999
ctk : Lâm Minh Phượng . </v>
      </c>
      <c r="L190" s="122"/>
      <c r="M190" s="122"/>
      <c r="N190" s="122" t="str">
        <f>IFERROR(__xludf.DUMMYFUNCTION("""COMPUTED_VALUE"""),"24 Đa Mặn 14. Ngũ Hành Sơn. Đà Nẵng ")</f>
        <v>24 Đa Mặn 14. Ngũ Hành Sơn. Đà Nẵng </v>
      </c>
      <c r="O190" s="122" t="str">
        <f>IFERROR(__xludf.DUMMYFUNCTION("""COMPUTED_VALUE"""),"Trâm")</f>
        <v>Trâm</v>
      </c>
      <c r="P190" s="123" t="str">
        <f>IFERROR(__xludf.DUMMYFUNCTION("""COMPUTED_VALUE"""),"Trâm")</f>
        <v>Trâm</v>
      </c>
      <c r="Q190" s="122"/>
      <c r="R190" s="122" t="str">
        <f>IFERROR(__xludf.DUMMYFUNCTION("""COMPUTED_VALUE"""),"INFPHUONG456")</f>
        <v>INFPHUONG456</v>
      </c>
      <c r="S190" s="124" t="str">
        <f>IFERROR(__xludf.DUMMYFUNCTION("""COMPUTED_VALUE"""),"http://yody.vn?affcode=INFPHUONG456")</f>
        <v>http://yody.vn?affcode=INFPHUONG456</v>
      </c>
    </row>
    <row r="191">
      <c r="A191" s="122" t="str">
        <f>IFERROR(__xludf.DUMMYFUNCTION("""COMPUTED_VALUE"""),"INFDIEP502")</f>
        <v>INFDIEP502</v>
      </c>
      <c r="B191" s="122" t="str">
        <f>IFERROR(__xludf.DUMMYFUNCTION("""COMPUTED_VALUE"""),"Monkey Vlog")</f>
        <v>Monkey Vlog</v>
      </c>
      <c r="C191" s="124" t="str">
        <f>IFERROR(__xludf.DUMMYFUNCTION("""COMPUTED_VALUE"""),"tiktok")</f>
        <v>tiktok</v>
      </c>
      <c r="D191" s="122"/>
      <c r="E191" s="122" t="str">
        <f>IFERROR(__xludf.DUMMYFUNCTION("""COMPUTED_VALUE"""),"108k")</f>
        <v>108k</v>
      </c>
      <c r="F191" s="122" t="str">
        <f>IFERROR(__xludf.DUMMYFUNCTION("""COMPUTED_VALUE"""),"Nguyễn Phương Điệp")</f>
        <v>Nguyễn Phương Điệp</v>
      </c>
      <c r="G191" s="122" t="str">
        <f>IFERROR(__xludf.DUMMYFUNCTION("""COMPUTED_VALUE"""),"26/02/1992")</f>
        <v>26/02/1992</v>
      </c>
      <c r="H191" s="122">
        <f>IFERROR(__xludf.DUMMYFUNCTION("""COMPUTED_VALUE"""),1.45513156E8)</f>
        <v>145513156</v>
      </c>
      <c r="I191" s="122" t="str">
        <f>IFERROR(__xludf.DUMMYFUNCTION("""COMPUTED_VALUE"""),"0989570502
")</f>
        <v>0989570502
</v>
      </c>
      <c r="J191" s="122" t="str">
        <f>IFERROR(__xludf.DUMMYFUNCTION("""COMPUTED_VALUE"""),"nguyendiep26292@gmail.com")</f>
        <v>nguyendiep26292@gmail.com</v>
      </c>
      <c r="K191" s="122" t="str">
        <f>IFERROR(__xludf.DUMMYFUNCTION("""COMPUTED_VALUE"""),"19033961018011 NGUYEN PHUONG DIEP - TECHCOMBANK")</f>
        <v>19033961018011 NGUYEN PHUONG DIEP - TECHCOMBANK</v>
      </c>
      <c r="L191" s="122"/>
      <c r="M191" s="122"/>
      <c r="N191" s="122" t="str">
        <f>IFERROR(__xludf.DUMMYFUNCTION("""COMPUTED_VALUE"""),"P1906, Toà nhà Hoàng Dương, số 50 ngõ 83 Ngọc Hồi, Hoàng Liệt, Hoàng Mai, Hà Nội")</f>
        <v>P1906, Toà nhà Hoàng Dương, số 50 ngõ 83 Ngọc Hồi, Hoàng Liệt, Hoàng Mai, Hà Nội</v>
      </c>
      <c r="O191" s="122" t="str">
        <f>IFERROR(__xludf.DUMMYFUNCTION("""COMPUTED_VALUE"""),"Trâm")</f>
        <v>Trâm</v>
      </c>
      <c r="P191" s="123" t="str">
        <f>IFERROR(__xludf.DUMMYFUNCTION("""COMPUTED_VALUE"""),"Trâm")</f>
        <v>Trâm</v>
      </c>
      <c r="Q191" s="122"/>
      <c r="R191" s="122" t="str">
        <f>IFERROR(__xludf.DUMMYFUNCTION("""COMPUTED_VALUE"""),"INFDIEP502")</f>
        <v>INFDIEP502</v>
      </c>
      <c r="S191" s="124" t="str">
        <f>IFERROR(__xludf.DUMMYFUNCTION("""COMPUTED_VALUE"""),"http://yody.vn?affcode=INFDIEP502")</f>
        <v>http://yody.vn?affcode=INFDIEP502</v>
      </c>
    </row>
    <row r="192">
      <c r="A192" s="122" t="str">
        <f>IFERROR(__xludf.DUMMYFUNCTION("""COMPUTED_VALUE"""),"INFNHAT993")</f>
        <v>INFNHAT993</v>
      </c>
      <c r="B192" s="122" t="str">
        <f>IFERROR(__xludf.DUMMYFUNCTION("""COMPUTED_VALUE"""),"Vũ Ánh Nhật")</f>
        <v>Vũ Ánh Nhật</v>
      </c>
      <c r="C192" s="124" t="str">
        <f>IFERROR(__xludf.DUMMYFUNCTION("""COMPUTED_VALUE"""),"FB")</f>
        <v>FB</v>
      </c>
      <c r="D192" s="122"/>
      <c r="E192" s="122" t="str">
        <f>IFERROR(__xludf.DUMMYFUNCTION("""COMPUTED_VALUE"""),"102k")</f>
        <v>102k</v>
      </c>
      <c r="F192" s="122" t="str">
        <f>IFERROR(__xludf.DUMMYFUNCTION("""COMPUTED_VALUE"""),"Vũ Ánh Nhật")</f>
        <v>Vũ Ánh Nhật</v>
      </c>
      <c r="G192" s="122">
        <f>IFERROR(__xludf.DUMMYFUNCTION("""COMPUTED_VALUE"""),1993.0)</f>
        <v>1993</v>
      </c>
      <c r="H192" s="122" t="str">
        <f>IFERROR(__xludf.DUMMYFUNCTION("""COMPUTED_VALUE"""),"012961146")</f>
        <v>012961146</v>
      </c>
      <c r="I192" s="122">
        <f>IFERROR(__xludf.DUMMYFUNCTION("""COMPUTED_VALUE"""),9.36161993E8)</f>
        <v>936161993</v>
      </c>
      <c r="J192" s="122" t="str">
        <f>IFERROR(__xludf.DUMMYFUNCTION("""COMPUTED_VALUE"""),"nhat.vu20293@gmail.com")</f>
        <v>nhat.vu20293@gmail.com</v>
      </c>
      <c r="K192" s="122" t="str">
        <f>IFERROR(__xludf.DUMMYFUNCTION("""COMPUTED_VALUE"""),"0851000012701
")</f>
        <v>0851000012701
</v>
      </c>
      <c r="L192" s="122" t="str">
        <f>IFERROR(__xludf.DUMMYFUNCTION("""COMPUTED_VALUE"""),"Vu Anh Nhat")</f>
        <v>Vu Anh Nhat</v>
      </c>
      <c r="M192" s="122" t="str">
        <f>IFERROR(__xludf.DUMMYFUNCTION("""COMPUTED_VALUE"""),"Vietcombank")</f>
        <v>Vietcombank</v>
      </c>
      <c r="N192" s="122" t="str">
        <f>IFERROR(__xludf.DUMMYFUNCTION("""COMPUTED_VALUE"""),"205 Tập thể A15 Nam Đồng ngõ 119 Hồ Đắc Di, Đống Đa, HN.")</f>
        <v>205 Tập thể A15 Nam Đồng ngõ 119 Hồ Đắc Di, Đống Đa, HN.</v>
      </c>
      <c r="O192" s="122" t="str">
        <f>IFERROR(__xludf.DUMMYFUNCTION("""COMPUTED_VALUE"""),"Hiên")</f>
        <v>Hiên</v>
      </c>
      <c r="P192" s="123" t="str">
        <f>IFERROR(__xludf.DUMMYFUNCTION("""COMPUTED_VALUE"""),"Hiên")</f>
        <v>Hiên</v>
      </c>
      <c r="Q192" s="122"/>
      <c r="R192" s="122" t="str">
        <f>IFERROR(__xludf.DUMMYFUNCTION("""COMPUTED_VALUE"""),"INFNHAT993")</f>
        <v>INFNHAT993</v>
      </c>
      <c r="S192" s="124" t="str">
        <f>IFERROR(__xludf.DUMMYFUNCTION("""COMPUTED_VALUE"""),"http://yody.vn?affcode=INFNHAT993")</f>
        <v>http://yody.vn?affcode=INFNHAT993</v>
      </c>
    </row>
    <row r="193">
      <c r="A193" s="122" t="str">
        <f>IFERROR(__xludf.DUMMYFUNCTION("""COMPUTED_VALUE"""),"INFVUNG495")</f>
        <v>INFVUNG495</v>
      </c>
      <c r="B193" s="122" t="str">
        <f>IFERROR(__xludf.DUMMYFUNCTION("""COMPUTED_VALUE"""),"Diệu Linh")</f>
        <v>Diệu Linh</v>
      </c>
      <c r="C193" s="124" t="str">
        <f>IFERROR(__xludf.DUMMYFUNCTION("""COMPUTED_VALUE"""),"fb")</f>
        <v>fb</v>
      </c>
      <c r="D193" s="122"/>
      <c r="E193" s="122" t="str">
        <f>IFERROR(__xludf.DUMMYFUNCTION("""COMPUTED_VALUE"""),"110,1k")</f>
        <v>110,1k</v>
      </c>
      <c r="F193" s="122" t="str">
        <f>IFERROR(__xludf.DUMMYFUNCTION("""COMPUTED_VALUE"""),"Hạ Thị Vững")</f>
        <v>Hạ Thị Vững</v>
      </c>
      <c r="G193" s="122" t="str">
        <f>IFERROR(__xludf.DUMMYFUNCTION("""COMPUTED_VALUE"""),"14/10/1995")</f>
        <v>14/10/1995</v>
      </c>
      <c r="H193" s="122" t="str">
        <f>IFERROR(__xludf.DUMMYFUNCTION("""COMPUTED_VALUE"""),"026195003300")</f>
        <v>026195003300</v>
      </c>
      <c r="I193" s="122" t="str">
        <f>IFERROR(__xludf.DUMMYFUNCTION("""COMPUTED_VALUE"""),"0988872495")</f>
        <v>0988872495</v>
      </c>
      <c r="J193" s="122" t="str">
        <f>IFERROR(__xludf.DUMMYFUNCTION("""COMPUTED_VALUE"""),"Hangkhonghahoa@gmail.com")</f>
        <v>Hangkhonghahoa@gmail.com</v>
      </c>
      <c r="K193" s="122">
        <f>IFERROR(__xludf.DUMMYFUNCTION("""COMPUTED_VALUE"""),1.9035859698017E13)</f>
        <v>19035859698017</v>
      </c>
      <c r="L193" s="122" t="str">
        <f>IFERROR(__xludf.DUMMYFUNCTION("""COMPUTED_VALUE"""),"Hạ Thị Vững")</f>
        <v>Hạ Thị Vững</v>
      </c>
      <c r="M193" s="122" t="str">
        <f>IFERROR(__xludf.DUMMYFUNCTION("""COMPUTED_VALUE"""),"Techcombank  ")</f>
        <v>Techcombank  </v>
      </c>
      <c r="N193" s="122" t="str">
        <f>IFERROR(__xludf.DUMMYFUNCTION("""COMPUTED_VALUE"""),"LK3 - số 14, KDT mới Văn Khê, La Khê, Hà Đông")</f>
        <v>LK3 - số 14, KDT mới Văn Khê, La Khê, Hà Đông</v>
      </c>
      <c r="O193" s="122"/>
      <c r="P193" s="123" t="str">
        <f>IFERROR(__xludf.DUMMYFUNCTION("""COMPUTED_VALUE"""),"Hoa")</f>
        <v>Hoa</v>
      </c>
      <c r="Q193" s="122"/>
      <c r="R193" s="122" t="str">
        <f>IFERROR(__xludf.DUMMYFUNCTION("""COMPUTED_VALUE"""),"INFVUNG495")</f>
        <v>INFVUNG495</v>
      </c>
      <c r="S193" s="124" t="str">
        <f>IFERROR(__xludf.DUMMYFUNCTION("""COMPUTED_VALUE"""),"http://yody.vn?affcode=INFVUNG495")</f>
        <v>http://yody.vn?affcode=INFVUNG495</v>
      </c>
    </row>
    <row r="194">
      <c r="A194" s="122" t="str">
        <f>IFERROR(__xludf.DUMMYFUNCTION("""COMPUTED_VALUE"""),"INFOANH529")</f>
        <v>INFOANH529</v>
      </c>
      <c r="B194" s="122" t="str">
        <f>IFERROR(__xludf.DUMMYFUNCTION("""COMPUTED_VALUE"""),"Oanh Oanh")</f>
        <v>Oanh Oanh</v>
      </c>
      <c r="C194" s="124" t="str">
        <f>IFERROR(__xludf.DUMMYFUNCTION("""COMPUTED_VALUE"""),"fb")</f>
        <v>fb</v>
      </c>
      <c r="D194" s="122"/>
      <c r="E194" s="122" t="str">
        <f>IFERROR(__xludf.DUMMYFUNCTION("""COMPUTED_VALUE"""),"102,4k")</f>
        <v>102,4k</v>
      </c>
      <c r="F194" s="122" t="str">
        <f>IFERROR(__xludf.DUMMYFUNCTION("""COMPUTED_VALUE"""),"Nguyễn Thị Oanh")</f>
        <v>Nguyễn Thị Oanh</v>
      </c>
      <c r="G194" s="126">
        <f>IFERROR(__xludf.DUMMYFUNCTION("""COMPUTED_VALUE"""),34675.0)</f>
        <v>34675</v>
      </c>
      <c r="H194" s="122">
        <f>IFERROR(__xludf.DUMMYFUNCTION("""COMPUTED_VALUE"""),1.74901902E8)</f>
        <v>174901902</v>
      </c>
      <c r="I194" s="122" t="str">
        <f>IFERROR(__xludf.DUMMYFUNCTION("""COMPUTED_VALUE"""),"0375515529")</f>
        <v>0375515529</v>
      </c>
      <c r="J194" s="122" t="str">
        <f>IFERROR(__xludf.DUMMYFUNCTION("""COMPUTED_VALUE"""),"hhenamminh@gmail.com")</f>
        <v>hhenamminh@gmail.com</v>
      </c>
      <c r="K194" s="122">
        <f>IFERROR(__xludf.DUMMYFUNCTION("""COMPUTED_VALUE"""),1.9033300241014E13)</f>
        <v>19033300241014</v>
      </c>
      <c r="L194" s="122" t="str">
        <f>IFERROR(__xludf.DUMMYFUNCTION("""COMPUTED_VALUE"""),"Trịnh Thị Hà")</f>
        <v>Trịnh Thị Hà</v>
      </c>
      <c r="M194" s="122" t="str">
        <f>IFERROR(__xludf.DUMMYFUNCTION("""COMPUTED_VALUE""")," Techcombank")</f>
        <v> Techcombank</v>
      </c>
      <c r="N194" s="122" t="str">
        <f>IFERROR(__xludf.DUMMYFUNCTION("""COMPUTED_VALUE"""),"Thôn Kỳ Anh, xã Quảng Ngọc, huyện Quảng Xương, tỉnh Thanh Hóa")</f>
        <v>Thôn Kỳ Anh, xã Quảng Ngọc, huyện Quảng Xương, tỉnh Thanh Hóa</v>
      </c>
      <c r="O194" s="122"/>
      <c r="P194" s="123" t="str">
        <f>IFERROR(__xludf.DUMMYFUNCTION("""COMPUTED_VALUE"""),"Hoa")</f>
        <v>Hoa</v>
      </c>
      <c r="Q194" s="122"/>
      <c r="R194" s="122" t="str">
        <f>IFERROR(__xludf.DUMMYFUNCTION("""COMPUTED_VALUE"""),"INFOANH529")</f>
        <v>INFOANH529</v>
      </c>
      <c r="S194" s="124" t="str">
        <f>IFERROR(__xludf.DUMMYFUNCTION("""COMPUTED_VALUE"""),"https://yody.vn/?affcode=INFOANH529")</f>
        <v>https://yody.vn/?affcode=INFOANH529</v>
      </c>
    </row>
    <row r="195">
      <c r="A195" s="122" t="str">
        <f>IFERROR(__xludf.DUMMYFUNCTION("""COMPUTED_VALUE"""),"INFHIEP784")</f>
        <v>INFHIEP784</v>
      </c>
      <c r="B195" s="122" t="str">
        <f>IFERROR(__xludf.DUMMYFUNCTION("""COMPUTED_VALUE"""),"Ngân Hiệp")</f>
        <v>Ngân Hiệp</v>
      </c>
      <c r="C195" s="124" t="str">
        <f>IFERROR(__xludf.DUMMYFUNCTION("""COMPUTED_VALUE"""),"fb")</f>
        <v>fb</v>
      </c>
      <c r="D195" s="122"/>
      <c r="E195" s="122" t="str">
        <f>IFERROR(__xludf.DUMMYFUNCTION("""COMPUTED_VALUE"""),"103,6k")</f>
        <v>103,6k</v>
      </c>
      <c r="F195" s="122" t="str">
        <f>IFERROR(__xludf.DUMMYFUNCTION("""COMPUTED_VALUE"""),"Ngân Thị Hiệp")</f>
        <v>Ngân Thị Hiệp</v>
      </c>
      <c r="G195" s="122" t="str">
        <f>IFERROR(__xludf.DUMMYFUNCTION("""COMPUTED_VALUE"""),"13/08/1996")</f>
        <v>13/08/1996</v>
      </c>
      <c r="H195" s="122">
        <f>IFERROR(__xludf.DUMMYFUNCTION("""COMPUTED_VALUE"""),2.4144918E8)</f>
        <v>241449180</v>
      </c>
      <c r="I195" s="122" t="str">
        <f>IFERROR(__xludf.DUMMYFUNCTION("""COMPUTED_VALUE"""),"0978873784")</f>
        <v>0978873784</v>
      </c>
      <c r="J195" s="122" t="str">
        <f>IFERROR(__xludf.DUMMYFUNCTION("""COMPUTED_VALUE"""),"hatrinhha1995@gmail.com")</f>
        <v>hatrinhha1995@gmail.com</v>
      </c>
      <c r="K195" s="122">
        <f>IFERROR(__xludf.DUMMYFUNCTION("""COMPUTED_VALUE"""),1.9033300241014E13)</f>
        <v>19033300241014</v>
      </c>
      <c r="L195" s="122" t="str">
        <f>IFERROR(__xludf.DUMMYFUNCTION("""COMPUTED_VALUE"""),"Trịnh Thị Hà")</f>
        <v>Trịnh Thị Hà</v>
      </c>
      <c r="M195" s="122" t="str">
        <f>IFERROR(__xludf.DUMMYFUNCTION("""COMPUTED_VALUE"""),"Techcombank ")</f>
        <v>Techcombank </v>
      </c>
      <c r="N195" s="122" t="str">
        <f>IFERROR(__xludf.DUMMYFUNCTION("""COMPUTED_VALUE"""),"127 Mai Dịch, Cầu Giấy, Hà Nội")</f>
        <v>127 Mai Dịch, Cầu Giấy, Hà Nội</v>
      </c>
      <c r="O195" s="122"/>
      <c r="P195" s="123" t="str">
        <f>IFERROR(__xludf.DUMMYFUNCTION("""COMPUTED_VALUE"""),"Hoa")</f>
        <v>Hoa</v>
      </c>
      <c r="Q195" s="122"/>
      <c r="R195" s="122" t="str">
        <f>IFERROR(__xludf.DUMMYFUNCTION("""COMPUTED_VALUE"""),"INFHIEP784")</f>
        <v>INFHIEP784</v>
      </c>
      <c r="S195" s="124" t="str">
        <f>IFERROR(__xludf.DUMMYFUNCTION("""COMPUTED_VALUE"""),"https://yody.vn/?affcode=INFHIEP784")</f>
        <v>https://yody.vn/?affcode=INFHIEP784</v>
      </c>
    </row>
    <row r="196">
      <c r="A196" s="122" t="str">
        <f>IFERROR(__xludf.DUMMYFUNCTION("""COMPUTED_VALUE"""),"INFTHANH316")</f>
        <v>INFTHANH316</v>
      </c>
      <c r="B196" s="122" t="str">
        <f>IFERROR(__xludf.DUMMYFUNCTION("""COMPUTED_VALUE"""),"Thanh Mùn")</f>
        <v>Thanh Mùn</v>
      </c>
      <c r="C196" s="124" t="str">
        <f>IFERROR(__xludf.DUMMYFUNCTION("""COMPUTED_VALUE"""),"fb")</f>
        <v>fb</v>
      </c>
      <c r="D196" s="122"/>
      <c r="E196" s="122" t="str">
        <f>IFERROR(__xludf.DUMMYFUNCTION("""COMPUTED_VALUE"""),"102,9k")</f>
        <v>102,9k</v>
      </c>
      <c r="F196" s="122" t="str">
        <f>IFERROR(__xludf.DUMMYFUNCTION("""COMPUTED_VALUE"""),"Trịnh Thị Thanh ")</f>
        <v>Trịnh Thị Thanh </v>
      </c>
      <c r="G196" s="122" t="str">
        <f>IFERROR(__xludf.DUMMYFUNCTION("""COMPUTED_VALUE"""),"14/12/1997")</f>
        <v>14/12/1997</v>
      </c>
      <c r="H196" s="122" t="str">
        <f>IFERROR(__xludf.DUMMYFUNCTION("""COMPUTED_VALUE"""),"038197003404")</f>
        <v>038197003404</v>
      </c>
      <c r="I196" s="122" t="str">
        <f>IFERROR(__xludf.DUMMYFUNCTION("""COMPUTED_VALUE"""),"0965404316")</f>
        <v>0965404316</v>
      </c>
      <c r="J196" s="122" t="str">
        <f>IFERROR(__xludf.DUMMYFUNCTION("""COMPUTED_VALUE"""),"linhhminhtinh11@gmail.com")</f>
        <v>linhhminhtinh11@gmail.com</v>
      </c>
      <c r="K196" s="122">
        <f>IFERROR(__xludf.DUMMYFUNCTION("""COMPUTED_VALUE"""),1.9033300241014E13)</f>
        <v>19033300241014</v>
      </c>
      <c r="L196" s="122" t="str">
        <f>IFERROR(__xludf.DUMMYFUNCTION("""COMPUTED_VALUE"""),"Trịnh Thị Hà")</f>
        <v>Trịnh Thị Hà</v>
      </c>
      <c r="M196" s="122" t="str">
        <f>IFERROR(__xludf.DUMMYFUNCTION("""COMPUTED_VALUE"""),"Techcombank ")</f>
        <v>Techcombank </v>
      </c>
      <c r="N196" s="122" t="str">
        <f>IFERROR(__xludf.DUMMYFUNCTION("""COMPUTED_VALUE"""),"04/08/78 Đỗ Đại, Quảng Thắng, TP Thanh Hóa")</f>
        <v>04/08/78 Đỗ Đại, Quảng Thắng, TP Thanh Hóa</v>
      </c>
      <c r="O196" s="122"/>
      <c r="P196" s="123" t="str">
        <f>IFERROR(__xludf.DUMMYFUNCTION("""COMPUTED_VALUE"""),"Hoa")</f>
        <v>Hoa</v>
      </c>
      <c r="Q196" s="122"/>
      <c r="R196" s="122" t="str">
        <f>IFERROR(__xludf.DUMMYFUNCTION("""COMPUTED_VALUE"""),"INFTHANH316")</f>
        <v>INFTHANH316</v>
      </c>
      <c r="S196" s="124" t="str">
        <f>IFERROR(__xludf.DUMMYFUNCTION("""COMPUTED_VALUE"""),"https://yody.vn/?affcode=INFTHANH316")</f>
        <v>https://yody.vn/?affcode=INFTHANH316</v>
      </c>
    </row>
    <row r="197">
      <c r="A197" s="122" t="str">
        <f>IFERROR(__xludf.DUMMYFUNCTION("""COMPUTED_VALUE"""),"INFUYEN356")</f>
        <v>INFUYEN356</v>
      </c>
      <c r="B197" s="122" t="str">
        <f>IFERROR(__xludf.DUMMYFUNCTION("""COMPUTED_VALUE"""),"Phạm Uyên")</f>
        <v>Phạm Uyên</v>
      </c>
      <c r="C197" s="124" t="str">
        <f>IFERROR(__xludf.DUMMYFUNCTION("""COMPUTED_VALUE"""),"Fb")</f>
        <v>Fb</v>
      </c>
      <c r="D197" s="124" t="str">
        <f>IFERROR(__xludf.DUMMYFUNCTION("""COMPUTED_VALUE"""),"Tiktok")</f>
        <v>Tiktok</v>
      </c>
      <c r="E197" s="122" t="str">
        <f>IFERROR(__xludf.DUMMYFUNCTION("""COMPUTED_VALUE"""),"158k")</f>
        <v>158k</v>
      </c>
      <c r="F197" s="122" t="str">
        <f>IFERROR(__xludf.DUMMYFUNCTION("""COMPUTED_VALUE"""),"Phạm Huỳnh Thuý Uyên")</f>
        <v>Phạm Huỳnh Thuý Uyên</v>
      </c>
      <c r="G197" s="122">
        <f>IFERROR(__xludf.DUMMYFUNCTION("""COMPUTED_VALUE"""),1996.0)</f>
        <v>1996</v>
      </c>
      <c r="H197" s="122">
        <f>IFERROR(__xludf.DUMMYFUNCTION("""COMPUTED_VALUE"""),3.41806346E8)</f>
        <v>341806346</v>
      </c>
      <c r="I197" s="122">
        <f>IFERROR(__xludf.DUMMYFUNCTION("""COMPUTED_VALUE"""),9.68895356E8)</f>
        <v>968895356</v>
      </c>
      <c r="J197" s="122" t="str">
        <f>IFERROR(__xludf.DUMMYFUNCTION("""COMPUTED_VALUE"""),"thuyuyen2018ct@gmail.com")</f>
        <v>thuyuyen2018ct@gmail.com</v>
      </c>
      <c r="K197" s="122" t="str">
        <f>IFERROR(__xludf.DUMMYFUNCTION("""COMPUTED_VALUE"""),"0601000473135
")</f>
        <v>0601000473135
</v>
      </c>
      <c r="L197" s="122" t="str">
        <f>IFERROR(__xludf.DUMMYFUNCTION("""COMPUTED_VALUE"""),"Pham Huynh Thuy Uyen")</f>
        <v>Pham Huynh Thuy Uyen</v>
      </c>
      <c r="M197" s="122" t="str">
        <f>IFERROR(__xludf.DUMMYFUNCTION("""COMPUTED_VALUE"""),"Vietcombank")</f>
        <v>Vietcombank</v>
      </c>
      <c r="N197" s="122" t="str">
        <f>IFERROR(__xludf.DUMMYFUNCTION("""COMPUTED_VALUE"""),"168 Cách Mạng Tháng 8 , Phường Bùi Hữu Nghĩa, Quận Bình Thuỷ, TP Cần Thơ")</f>
        <v>168 Cách Mạng Tháng 8 , Phường Bùi Hữu Nghĩa, Quận Bình Thuỷ, TP Cần Thơ</v>
      </c>
      <c r="O197" s="122" t="str">
        <f>IFERROR(__xludf.DUMMYFUNCTION("""COMPUTED_VALUE"""),"Hiên")</f>
        <v>Hiên</v>
      </c>
      <c r="P197" s="123" t="str">
        <f>IFERROR(__xludf.DUMMYFUNCTION("""COMPUTED_VALUE"""),"Mến")</f>
        <v>Mến</v>
      </c>
      <c r="Q197" s="122"/>
      <c r="R197" s="122" t="str">
        <f>IFERROR(__xludf.DUMMYFUNCTION("""COMPUTED_VALUE"""),"INFUYEN356")</f>
        <v>INFUYEN356</v>
      </c>
      <c r="S197" s="124" t="str">
        <f>IFERROR(__xludf.DUMMYFUNCTION("""COMPUTED_VALUE"""),"http://yody.vn?affcode=INFUYEN356")</f>
        <v>http://yody.vn?affcode=INFUYEN356</v>
      </c>
    </row>
    <row r="198">
      <c r="A198" s="122" t="str">
        <f>IFERROR(__xludf.DUMMYFUNCTION("""COMPUTED_VALUE"""),"INFHA960")</f>
        <v>INFHA960</v>
      </c>
      <c r="B198" s="122" t="str">
        <f>IFERROR(__xludf.DUMMYFUNCTION("""COMPUTED_VALUE"""),"Hà Vũ")</f>
        <v>Hà Vũ</v>
      </c>
      <c r="C198" s="124" t="str">
        <f>IFERROR(__xludf.DUMMYFUNCTION("""COMPUTED_VALUE"""),"Fb")</f>
        <v>Fb</v>
      </c>
      <c r="D198" s="122"/>
      <c r="E198" s="122" t="str">
        <f>IFERROR(__xludf.DUMMYFUNCTION("""COMPUTED_VALUE"""),"229k")</f>
        <v>229k</v>
      </c>
      <c r="F198" s="122" t="str">
        <f>IFERROR(__xludf.DUMMYFUNCTION("""COMPUTED_VALUE"""),"Vũ Thị Hà")</f>
        <v>Vũ Thị Hà</v>
      </c>
      <c r="G198" s="122">
        <f>IFERROR(__xludf.DUMMYFUNCTION("""COMPUTED_VALUE"""),1989.0)</f>
        <v>1989</v>
      </c>
      <c r="H198" s="122" t="str">
        <f>IFERROR(__xludf.DUMMYFUNCTION("""COMPUTED_VALUE"""),"022189002578")</f>
        <v>022189002578</v>
      </c>
      <c r="I198" s="122">
        <f>IFERROR(__xludf.DUMMYFUNCTION("""COMPUTED_VALUE"""),3.6382996E8)</f>
        <v>363829960</v>
      </c>
      <c r="J198" s="122" t="str">
        <f>IFERROR(__xludf.DUMMYFUNCTION("""COMPUTED_VALUE"""),"vuthiha1604@gmail.com")</f>
        <v>vuthiha1604@gmail.com</v>
      </c>
      <c r="K198" s="122">
        <f>IFERROR(__xludf.DUMMYFUNCTION("""COMPUTED_VALUE"""),1.9028801288998E13)</f>
        <v>19028801288998</v>
      </c>
      <c r="L198" s="122" t="str">
        <f>IFERROR(__xludf.DUMMYFUNCTION("""COMPUTED_VALUE"""),"Vu Thi Ha")</f>
        <v>Vu Thi Ha</v>
      </c>
      <c r="M198" s="122" t="str">
        <f>IFERROR(__xludf.DUMMYFUNCTION("""COMPUTED_VALUE"""),"Techcombank")</f>
        <v>Techcombank</v>
      </c>
      <c r="N198" s="122" t="str">
        <f>IFERROR(__xludf.DUMMYFUNCTION("""COMPUTED_VALUE"""),"Cẩm Phả, Quảng Ninh")</f>
        <v>Cẩm Phả, Quảng Ninh</v>
      </c>
      <c r="O198" s="122" t="str">
        <f>IFERROR(__xludf.DUMMYFUNCTION("""COMPUTED_VALUE"""),"Hiên")</f>
        <v>Hiên</v>
      </c>
      <c r="P198" s="123" t="str">
        <f>IFERROR(__xludf.DUMMYFUNCTION("""COMPUTED_VALUE"""),"Mến")</f>
        <v>Mến</v>
      </c>
      <c r="Q198" s="122"/>
      <c r="R198" s="122" t="str">
        <f>IFERROR(__xludf.DUMMYFUNCTION("""COMPUTED_VALUE"""),"INFHA960")</f>
        <v>INFHA960</v>
      </c>
      <c r="S198" s="124" t="str">
        <f>IFERROR(__xludf.DUMMYFUNCTION("""COMPUTED_VALUE"""),"http://yody.vn?affcode=INFHA960")</f>
        <v>http://yody.vn?affcode=INFHA960</v>
      </c>
    </row>
    <row r="199">
      <c r="A199" s="122" t="str">
        <f>IFERROR(__xludf.DUMMYFUNCTION("""COMPUTED_VALUE"""),"INFVY763")</f>
        <v>INFVY763</v>
      </c>
      <c r="B199" s="122" t="str">
        <f>IFERROR(__xludf.DUMMYFUNCTION("""COMPUTED_VALUE"""),"Cattia")</f>
        <v>Cattia</v>
      </c>
      <c r="C199" s="124" t="str">
        <f>IFERROR(__xludf.DUMMYFUNCTION("""COMPUTED_VALUE"""),"tiktok")</f>
        <v>tiktok</v>
      </c>
      <c r="D199" s="122"/>
      <c r="E199" s="122" t="str">
        <f>IFERROR(__xludf.DUMMYFUNCTION("""COMPUTED_VALUE"""),"471,5k")</f>
        <v>471,5k</v>
      </c>
      <c r="F199" s="122" t="str">
        <f>IFERROR(__xludf.DUMMYFUNCTION("""COMPUTED_VALUE"""),"Trịnh Thúy Vy")</f>
        <v>Trịnh Thúy Vy</v>
      </c>
      <c r="G199" s="122" t="str">
        <f>IFERROR(__xludf.DUMMYFUNCTION("""COMPUTED_VALUE"""),"15/12/2002")</f>
        <v>15/12/2002</v>
      </c>
      <c r="H199" s="122" t="str">
        <f>IFERROR(__xludf.DUMMYFUNCTION("""COMPUTED_VALUE"""),"079302030958")</f>
        <v>079302030958</v>
      </c>
      <c r="I199" s="122" t="str">
        <f>IFERROR(__xludf.DUMMYFUNCTION("""COMPUTED_VALUE"""),"0902433763")</f>
        <v>0902433763</v>
      </c>
      <c r="J199" s="122" t="str">
        <f>IFERROR(__xludf.DUMMYFUNCTION("""COMPUTED_VALUE"""),"Dzidzidangyeu1512@gmail.com")</f>
        <v>Dzidzidangyeu1512@gmail.com</v>
      </c>
      <c r="K199" s="122">
        <f>IFERROR(__xludf.DUMMYFUNCTION("""COMPUTED_VALUE"""),1.019515578E9)</f>
        <v>1019515578</v>
      </c>
      <c r="L199" s="122" t="str">
        <f>IFERROR(__xludf.DUMMYFUNCTION("""COMPUTED_VALUE"""),"Trinh Thuy Vy")</f>
        <v>Trinh Thuy Vy</v>
      </c>
      <c r="M199" s="122" t="str">
        <f>IFERROR(__xludf.DUMMYFUNCTION("""COMPUTED_VALUE""")," VCB ")</f>
        <v> VCB </v>
      </c>
      <c r="N199" s="122" t="str">
        <f>IFERROR(__xludf.DUMMYFUNCTION("""COMPUTED_VALUE"""),"631 Kinh Dương Vương, An Lạc, Bình Tân, Tp HCM")</f>
        <v>631 Kinh Dương Vương, An Lạc, Bình Tân, Tp HCM</v>
      </c>
      <c r="O199" s="122" t="str">
        <f>IFERROR(__xludf.DUMMYFUNCTION("""COMPUTED_VALUE"""),"Hoa")</f>
        <v>Hoa</v>
      </c>
      <c r="P199" s="123" t="str">
        <f>IFERROR(__xludf.DUMMYFUNCTION("""COMPUTED_VALUE"""),"Hoa")</f>
        <v>Hoa</v>
      </c>
      <c r="Q199" s="122"/>
      <c r="R199" s="122" t="str">
        <f>IFERROR(__xludf.DUMMYFUNCTION("""COMPUTED_VALUE"""),"INFVY763")</f>
        <v>INFVY763</v>
      </c>
      <c r="S199" s="124" t="str">
        <f>IFERROR(__xludf.DUMMYFUNCTION("""COMPUTED_VALUE"""),"https://yody.vn/?affcode=INFVY763")</f>
        <v>https://yody.vn/?affcode=INFVY763</v>
      </c>
    </row>
    <row r="200">
      <c r="A200" s="122" t="str">
        <f>IFERROR(__xludf.DUMMYFUNCTION("""COMPUTED_VALUE"""),"INFTRANG986")</f>
        <v>INFTRANG986</v>
      </c>
      <c r="B200" s="122" t="str">
        <f>IFERROR(__xludf.DUMMYFUNCTION("""COMPUTED_VALUE"""),"Thu Trang Vũ")</f>
        <v>Thu Trang Vũ</v>
      </c>
      <c r="C200" s="124" t="str">
        <f>IFERROR(__xludf.DUMMYFUNCTION("""COMPUTED_VALUE"""),"Fb")</f>
        <v>Fb</v>
      </c>
      <c r="D200" s="122"/>
      <c r="E200" s="122" t="str">
        <f>IFERROR(__xludf.DUMMYFUNCTION("""COMPUTED_VALUE"""),"222k")</f>
        <v>222k</v>
      </c>
      <c r="F200" s="122" t="str">
        <f>IFERROR(__xludf.DUMMYFUNCTION("""COMPUTED_VALUE"""),"Vũ Thị Thu Trang")</f>
        <v>Vũ Thị Thu Trang</v>
      </c>
      <c r="G200" s="122">
        <f>IFERROR(__xludf.DUMMYFUNCTION("""COMPUTED_VALUE"""),1986.0)</f>
        <v>1986</v>
      </c>
      <c r="H200" s="122" t="str">
        <f>IFERROR(__xludf.DUMMYFUNCTION("""COMPUTED_VALUE"""),"001186000097")</f>
        <v>001186000097</v>
      </c>
      <c r="I200" s="122">
        <f>IFERROR(__xludf.DUMMYFUNCTION("""COMPUTED_VALUE"""),9.78260986E8)</f>
        <v>978260986</v>
      </c>
      <c r="J200" s="122" t="str">
        <f>IFERROR(__xludf.DUMMYFUNCTION("""COMPUTED_VALUE"""),"trang.vtt2609@gmail.com")</f>
        <v>trang.vtt2609@gmail.com</v>
      </c>
      <c r="K200" s="122">
        <f>IFERROR(__xludf.DUMMYFUNCTION("""COMPUTED_VALUE"""),1.9034492334017E13)</f>
        <v>19034492334017</v>
      </c>
      <c r="L200" s="122" t="str">
        <f>IFERROR(__xludf.DUMMYFUNCTION("""COMPUTED_VALUE"""),"Vu Thi Thu Trang")</f>
        <v>Vu Thi Thu Trang</v>
      </c>
      <c r="M200" s="122" t="str">
        <f>IFERROR(__xludf.DUMMYFUNCTION("""COMPUTED_VALUE"""),"Techcombank")</f>
        <v>Techcombank</v>
      </c>
      <c r="N200" s="122" t="str">
        <f>IFERROR(__xludf.DUMMYFUNCTION("""COMPUTED_VALUE"""),"Số 427 Lĩnh Nam , Hoàng Mai , Hà Nội")</f>
        <v>Số 427 Lĩnh Nam , Hoàng Mai , Hà Nội</v>
      </c>
      <c r="O200" s="122" t="str">
        <f>IFERROR(__xludf.DUMMYFUNCTION("""COMPUTED_VALUE"""),"Hiên")</f>
        <v>Hiên</v>
      </c>
      <c r="P200" s="123" t="str">
        <f>IFERROR(__xludf.DUMMYFUNCTION("""COMPUTED_VALUE"""),"Mến")</f>
        <v>Mến</v>
      </c>
      <c r="Q200" s="122"/>
      <c r="R200" s="122" t="str">
        <f>IFERROR(__xludf.DUMMYFUNCTION("""COMPUTED_VALUE"""),"INFTRANG986")</f>
        <v>INFTRANG986</v>
      </c>
      <c r="S200" s="124" t="str">
        <f>IFERROR(__xludf.DUMMYFUNCTION("""COMPUTED_VALUE"""),"http://yody.vn?affcode=INFTRANG986")</f>
        <v>http://yody.vn?affcode=INFTRANG986</v>
      </c>
    </row>
    <row r="201">
      <c r="A201" s="122" t="str">
        <f>IFERROR(__xludf.DUMMYFUNCTION("""COMPUTED_VALUE"""),"INFVY747")</f>
        <v>INFVY747</v>
      </c>
      <c r="B201" s="122" t="str">
        <f>IFERROR(__xludf.DUMMYFUNCTION("""COMPUTED_VALUE"""),"Vy Phan")</f>
        <v>Vy Phan</v>
      </c>
      <c r="C201" s="124" t="str">
        <f>IFERROR(__xludf.DUMMYFUNCTION("""COMPUTED_VALUE"""),"Fb")</f>
        <v>Fb</v>
      </c>
      <c r="D201" s="122"/>
      <c r="E201" s="122" t="str">
        <f>IFERROR(__xludf.DUMMYFUNCTION("""COMPUTED_VALUE"""),"62k")</f>
        <v>62k</v>
      </c>
      <c r="F201" s="122" t="str">
        <f>IFERROR(__xludf.DUMMYFUNCTION("""COMPUTED_VALUE"""),"Phan Đặng Tường Vy")</f>
        <v>Phan Đặng Tường Vy</v>
      </c>
      <c r="G201" s="122">
        <f>IFERROR(__xludf.DUMMYFUNCTION("""COMPUTED_VALUE"""),1997.0)</f>
        <v>1997</v>
      </c>
      <c r="H201" s="122">
        <f>IFERROR(__xludf.DUMMYFUNCTION("""COMPUTED_VALUE"""),2.15399891E8)</f>
        <v>215399891</v>
      </c>
      <c r="I201" s="122">
        <f>IFERROR(__xludf.DUMMYFUNCTION("""COMPUTED_VALUE"""),3.93964747E8)</f>
        <v>393964747</v>
      </c>
      <c r="J201" s="122" t="str">
        <f>IFERROR(__xludf.DUMMYFUNCTION("""COMPUTED_VALUE"""),"Phandangtuongvy97@gmail.com")</f>
        <v>Phandangtuongvy97@gmail.com</v>
      </c>
      <c r="K201" s="122">
        <f>IFERROR(__xludf.DUMMYFUNCTION("""COMPUTED_VALUE"""),1.9034415641012E13)</f>
        <v>19034415641012</v>
      </c>
      <c r="L201" s="122" t="str">
        <f>IFERROR(__xludf.DUMMYFUNCTION("""COMPUTED_VALUE"""),"Phan Dang Tuong Vi")</f>
        <v>Phan Dang Tuong Vi</v>
      </c>
      <c r="M201" s="122" t="str">
        <f>IFERROR(__xludf.DUMMYFUNCTION("""COMPUTED_VALUE"""),"Techcombank")</f>
        <v>Techcombank</v>
      </c>
      <c r="N201" s="122" t="str">
        <f>IFERROR(__xludf.DUMMYFUNCTION("""COMPUTED_VALUE"""),"12 đường số 2 phường 7 quận Gò Vấp")</f>
        <v>12 đường số 2 phường 7 quận Gò Vấp</v>
      </c>
      <c r="O201" s="122" t="str">
        <f>IFERROR(__xludf.DUMMYFUNCTION("""COMPUTED_VALUE"""),"Hiên")</f>
        <v>Hiên</v>
      </c>
      <c r="P201" s="123" t="str">
        <f>IFERROR(__xludf.DUMMYFUNCTION("""COMPUTED_VALUE"""),"Hiên")</f>
        <v>Hiên</v>
      </c>
      <c r="Q201" s="122"/>
      <c r="R201" s="122" t="str">
        <f>IFERROR(__xludf.DUMMYFUNCTION("""COMPUTED_VALUE"""),"INFVY747")</f>
        <v>INFVY747</v>
      </c>
      <c r="S201" s="124" t="str">
        <f>IFERROR(__xludf.DUMMYFUNCTION("""COMPUTED_VALUE"""),"http://yody.vn?affcode=INFVY747")</f>
        <v>http://yody.vn?affcode=INFVY747</v>
      </c>
    </row>
    <row r="202">
      <c r="A202" s="122" t="str">
        <f>IFERROR(__xludf.DUMMYFUNCTION("""COMPUTED_VALUE"""),"INFQUYNH769")</f>
        <v>INFQUYNH769</v>
      </c>
      <c r="B202" s="122" t="str">
        <f>IFERROR(__xludf.DUMMYFUNCTION("""COMPUTED_VALUE"""),"Thu Quỳnh Nguyễn")</f>
        <v>Thu Quỳnh Nguyễn</v>
      </c>
      <c r="C202" s="122" t="str">
        <f>IFERROR(__xludf.DUMMYFUNCTION("""COMPUTED_VALUE"""),"fb / tiktok")</f>
        <v>fb / tiktok</v>
      </c>
      <c r="D202" s="122"/>
      <c r="E202" s="122" t="str">
        <f>IFERROR(__xludf.DUMMYFUNCTION("""COMPUTED_VALUE"""),"264,4k")</f>
        <v>264,4k</v>
      </c>
      <c r="F202" s="122" t="str">
        <f>IFERROR(__xludf.DUMMYFUNCTION("""COMPUTED_VALUE"""),"Nguyễn Thu Quỳnh")</f>
        <v>Nguyễn Thu Quỳnh</v>
      </c>
      <c r="G202" s="122" t="str">
        <f>IFERROR(__xludf.DUMMYFUNCTION("""COMPUTED_VALUE"""),"26/09/1990")</f>
        <v>26/09/1990</v>
      </c>
      <c r="H202" s="122" t="str">
        <f>IFERROR(__xludf.DUMMYFUNCTION("""COMPUTED_VALUE"""),"001186002900")</f>
        <v>001186002900</v>
      </c>
      <c r="I202" s="122" t="str">
        <f>IFERROR(__xludf.DUMMYFUNCTION("""COMPUTED_VALUE"""),"0962147769")</f>
        <v>0962147769</v>
      </c>
      <c r="J202" s="122" t="str">
        <f>IFERROR(__xludf.DUMMYFUNCTION("""COMPUTED_VALUE"""),"thulan0409@gmail.com")</f>
        <v>thulan0409@gmail.com</v>
      </c>
      <c r="K202" s="122">
        <f>IFERROR(__xludf.DUMMYFUNCTION("""COMPUTED_VALUE"""),3.01000375894E11)</f>
        <v>301000375894</v>
      </c>
      <c r="L202" s="122" t="str">
        <f>IFERROR(__xludf.DUMMYFUNCTION("""COMPUTED_VALUE"""),"Nguyễn Thu Quỳnh")</f>
        <v>Nguyễn Thu Quỳnh</v>
      </c>
      <c r="M202" s="122" t="str">
        <f>IFERROR(__xludf.DUMMYFUNCTION("""COMPUTED_VALUE"""),"VCB hoàn kiếm  ")</f>
        <v>VCB hoàn kiếm  </v>
      </c>
      <c r="N202" s="122" t="str">
        <f>IFERROR(__xludf.DUMMYFUNCTION("""COMPUTED_VALUE"""),"44 ngõ thông phong, đống đa, hà nội")</f>
        <v>44 ngõ thông phong, đống đa, hà nội</v>
      </c>
      <c r="O202" s="122"/>
      <c r="P202" s="123" t="str">
        <f>IFERROR(__xludf.DUMMYFUNCTION("""COMPUTED_VALUE"""),"Hoa")</f>
        <v>Hoa</v>
      </c>
      <c r="Q202" s="122"/>
      <c r="R202" s="122" t="str">
        <f>IFERROR(__xludf.DUMMYFUNCTION("""COMPUTED_VALUE"""),"INFQUYNH769")</f>
        <v>INFQUYNH769</v>
      </c>
      <c r="S202" s="124" t="str">
        <f>IFERROR(__xludf.DUMMYFUNCTION("""COMPUTED_VALUE"""),"http://yody.vn?affcode=INFQUYNH769")</f>
        <v>http://yody.vn?affcode=INFQUYNH769</v>
      </c>
    </row>
    <row r="203">
      <c r="A203" s="122" t="str">
        <f>IFERROR(__xludf.DUMMYFUNCTION("""COMPUTED_VALUE"""),"INFTRANG794")</f>
        <v>INFTRANG794</v>
      </c>
      <c r="B203" s="122" t="str">
        <f>IFERROR(__xludf.DUMMYFUNCTION("""COMPUTED_VALUE"""),"Hoàng Thị Kiều Trang")</f>
        <v>Hoàng Thị Kiều Trang</v>
      </c>
      <c r="C203" s="124" t="str">
        <f>IFERROR(__xludf.DUMMYFUNCTION("""COMPUTED_VALUE"""),"Fb")</f>
        <v>Fb</v>
      </c>
      <c r="D203" s="122"/>
      <c r="E203" s="122" t="str">
        <f>IFERROR(__xludf.DUMMYFUNCTION("""COMPUTED_VALUE"""),"282k")</f>
        <v>282k</v>
      </c>
      <c r="F203" s="122" t="str">
        <f>IFERROR(__xludf.DUMMYFUNCTION("""COMPUTED_VALUE"""),"Hoàng Thị Kiều Trang")</f>
        <v>Hoàng Thị Kiều Trang</v>
      </c>
      <c r="G203" s="122">
        <f>IFERROR(__xludf.DUMMYFUNCTION("""COMPUTED_VALUE"""),1984.0)</f>
        <v>1984</v>
      </c>
      <c r="H203" s="122">
        <f>IFERROR(__xludf.DUMMYFUNCTION("""COMPUTED_VALUE"""),2.3732853E7)</f>
        <v>23732853</v>
      </c>
      <c r="I203" s="122">
        <f>IFERROR(__xludf.DUMMYFUNCTION("""COMPUTED_VALUE"""),9.02774794E8)</f>
        <v>902774794</v>
      </c>
      <c r="J203" s="122" t="str">
        <f>IFERROR(__xludf.DUMMYFUNCTION("""COMPUTED_VALUE"""),"thiendi070511@yahoo.com.vn")</f>
        <v>thiendi070511@yahoo.com.vn</v>
      </c>
      <c r="K203" s="122" t="str">
        <f>IFERROR(__xludf.DUMMYFUNCTION("""COMPUTED_VALUE"""),"0251001540913")</f>
        <v>0251001540913</v>
      </c>
      <c r="L203" s="122" t="str">
        <f>IFERROR(__xludf.DUMMYFUNCTION("""COMPUTED_VALUE"""),"VCB Bình Tây")</f>
        <v>VCB Bình Tây</v>
      </c>
      <c r="M203" s="122" t="str">
        <f>IFERROR(__xludf.DUMMYFUNCTION("""COMPUTED_VALUE"""),"Hoàng Thị Kiều Trang
")</f>
        <v>Hoàng Thị Kiều Trang
</v>
      </c>
      <c r="N203" s="122" t="str">
        <f>IFERROR(__xludf.DUMMYFUNCTION("""COMPUTED_VALUE"""),"350/18 Đường 1C X.Vĩnh Lộc B H.Bình Chánh TPHCM")</f>
        <v>350/18 Đường 1C X.Vĩnh Lộc B H.Bình Chánh TPHCM</v>
      </c>
      <c r="O203" s="122" t="str">
        <f>IFERROR(__xludf.DUMMYFUNCTION("""COMPUTED_VALUE"""),"Hiên")</f>
        <v>Hiên</v>
      </c>
      <c r="P203" s="123" t="str">
        <f>IFERROR(__xludf.DUMMYFUNCTION("""COMPUTED_VALUE"""),"Hiên")</f>
        <v>Hiên</v>
      </c>
      <c r="Q203" s="122"/>
      <c r="R203" s="122" t="str">
        <f>IFERROR(__xludf.DUMMYFUNCTION("""COMPUTED_VALUE"""),"INFTRANG794")</f>
        <v>INFTRANG794</v>
      </c>
      <c r="S203" s="124" t="str">
        <f>IFERROR(__xludf.DUMMYFUNCTION("""COMPUTED_VALUE"""),"http://yody.vn?affcode=INFTRANG794")</f>
        <v>http://yody.vn?affcode=INFTRANG794</v>
      </c>
    </row>
    <row r="204">
      <c r="A204" s="122" t="str">
        <f>IFERROR(__xludf.DUMMYFUNCTION("""COMPUTED_VALUE"""),"INFLUONG37")</f>
        <v>INFLUONG37</v>
      </c>
      <c r="B204" s="122" t="str">
        <f>IFERROR(__xludf.DUMMYFUNCTION("""COMPUTED_VALUE"""),"bùi hiền lương")</f>
        <v>bùi hiền lương</v>
      </c>
      <c r="C204" s="124" t="str">
        <f>IFERROR(__xludf.DUMMYFUNCTION("""COMPUTED_VALUE"""),"fb")</f>
        <v>fb</v>
      </c>
      <c r="D204" s="122"/>
      <c r="E204" s="122" t="str">
        <f>IFERROR(__xludf.DUMMYFUNCTION("""COMPUTED_VALUE"""),"100k")</f>
        <v>100k</v>
      </c>
      <c r="F204" s="122" t="str">
        <f>IFERROR(__xludf.DUMMYFUNCTION("""COMPUTED_VALUE"""),"bùi hiền lương")</f>
        <v>bùi hiền lương</v>
      </c>
      <c r="G204" s="122" t="str">
        <f>IFERROR(__xludf.DUMMYFUNCTION("""COMPUTED_VALUE"""),"26/05/1998")</f>
        <v>26/05/1998</v>
      </c>
      <c r="H204" s="122" t="str">
        <f>IFERROR(__xludf.DUMMYFUNCTION("""COMPUTED_VALUE"""),"013531284")</f>
        <v>013531284</v>
      </c>
      <c r="I204" s="122" t="str">
        <f>IFERROR(__xludf.DUMMYFUNCTION("""COMPUTED_VALUE"""),"0962327375")</f>
        <v>0962327375</v>
      </c>
      <c r="J204" s="122" t="str">
        <f>IFERROR(__xludf.DUMMYFUNCTION("""COMPUTED_VALUE"""),"Builuong26051998@gmail.com")</f>
        <v>Builuong26051998@gmail.com</v>
      </c>
      <c r="K204" s="122" t="str">
        <f>IFERROR(__xludf.DUMMYFUNCTION("""COMPUTED_VALUE"""),"Tên tk bùi hiền lương
Stk 161006758 vpbank ")</f>
        <v>Tên tk bùi hiền lương
Stk 161006758 vpbank </v>
      </c>
      <c r="L204" s="122"/>
      <c r="M204" s="122"/>
      <c r="N204" s="122" t="str">
        <f>IFERROR(__xludf.DUMMYFUNCTION("""COMPUTED_VALUE"""),"Nhà số 1 ngách 31 ngõ 167 thanh nhàn quận hai bà trưng hà nội")</f>
        <v>Nhà số 1 ngách 31 ngõ 167 thanh nhàn quận hai bà trưng hà nội</v>
      </c>
      <c r="O204" s="122" t="str">
        <f>IFERROR(__xludf.DUMMYFUNCTION("""COMPUTED_VALUE"""),"Trâm")</f>
        <v>Trâm</v>
      </c>
      <c r="P204" s="123" t="str">
        <f>IFERROR(__xludf.DUMMYFUNCTION("""COMPUTED_VALUE"""),"Trâm")</f>
        <v>Trâm</v>
      </c>
      <c r="Q204" s="122"/>
      <c r="R204" s="122" t="str">
        <f>IFERROR(__xludf.DUMMYFUNCTION("""COMPUTED_VALUE"""),"INFLUONG37")</f>
        <v>INFLUONG37</v>
      </c>
      <c r="S204" s="124" t="str">
        <f>IFERROR(__xludf.DUMMYFUNCTION("""COMPUTED_VALUE"""),"http://yody.vn?affcode=INFLUONG37")</f>
        <v>http://yody.vn?affcode=INFLUONG37</v>
      </c>
    </row>
    <row r="205">
      <c r="A205" s="122" t="str">
        <f>IFERROR(__xludf.DUMMYFUNCTION("""COMPUTED_VALUE"""),"INFNAM799")</f>
        <v>INFNAM799</v>
      </c>
      <c r="B205" s="122" t="str">
        <f>IFERROR(__xludf.DUMMYFUNCTION("""COMPUTED_VALUE"""),"Nguyễn Nam")</f>
        <v>Nguyễn Nam</v>
      </c>
      <c r="C205" s="124" t="str">
        <f>IFERROR(__xludf.DUMMYFUNCTION("""COMPUTED_VALUE"""),"fb")</f>
        <v>fb</v>
      </c>
      <c r="D205" s="122"/>
      <c r="E205" s="122" t="str">
        <f>IFERROR(__xludf.DUMMYFUNCTION("""COMPUTED_VALUE"""),"228,2k")</f>
        <v>228,2k</v>
      </c>
      <c r="F205" s="122" t="str">
        <f>IFERROR(__xludf.DUMMYFUNCTION("""COMPUTED_VALUE"""),"Nguyễn Thị Nam")</f>
        <v>Nguyễn Thị Nam</v>
      </c>
      <c r="G205" s="126">
        <f>IFERROR(__xludf.DUMMYFUNCTION("""COMPUTED_VALUE"""),32850.0)</f>
        <v>32850</v>
      </c>
      <c r="H205" s="122" t="str">
        <f>IFERROR(__xludf.DUMMYFUNCTION("""COMPUTED_VALUE"""),"027188000183")</f>
        <v>027188000183</v>
      </c>
      <c r="I205" s="122" t="str">
        <f>IFERROR(__xludf.DUMMYFUNCTION("""COMPUTED_VALUE"""),"0982096799")</f>
        <v>0982096799</v>
      </c>
      <c r="J205" s="122" t="str">
        <f>IFERROR(__xludf.DUMMYFUNCTION("""COMPUTED_VALUE"""),"namnguyen1208@gmail.com")</f>
        <v>namnguyen1208@gmail.com</v>
      </c>
      <c r="K205" s="122">
        <f>IFERROR(__xludf.DUMMYFUNCTION("""COMPUTED_VALUE"""),1.2223808609015E13)</f>
        <v>12223808609015</v>
      </c>
      <c r="L205" s="122" t="str">
        <f>IFERROR(__xludf.DUMMYFUNCTION("""COMPUTED_VALUE"""),"Nguyễn Thị Nam")</f>
        <v>Nguyễn Thị Nam</v>
      </c>
      <c r="M205" s="122" t="str">
        <f>IFERROR(__xludf.DUMMYFUNCTION("""COMPUTED_VALUE"""),"Techcombank")</f>
        <v>Techcombank</v>
      </c>
      <c r="N205" s="122" t="str">
        <f>IFERROR(__xludf.DUMMYFUNCTION("""COMPUTED_VALUE"""),"Thạch Bàn, Long Biên, Hà Nội")</f>
        <v>Thạch Bàn, Long Biên, Hà Nội</v>
      </c>
      <c r="O205" s="122"/>
      <c r="P205" s="123" t="str">
        <f>IFERROR(__xludf.DUMMYFUNCTION("""COMPUTED_VALUE"""),"Hoa")</f>
        <v>Hoa</v>
      </c>
      <c r="Q205" s="122"/>
      <c r="R205" s="122" t="str">
        <f>IFERROR(__xludf.DUMMYFUNCTION("""COMPUTED_VALUE"""),"INFNAM799")</f>
        <v>INFNAM799</v>
      </c>
      <c r="S205" s="124" t="str">
        <f>IFERROR(__xludf.DUMMYFUNCTION("""COMPUTED_VALUE"""),"http://yody.vn?affcode=INFNAM799")</f>
        <v>http://yody.vn?affcode=INFNAM799</v>
      </c>
    </row>
    <row r="206">
      <c r="A206" s="122" t="str">
        <f>IFERROR(__xludf.DUMMYFUNCTION("""COMPUTED_VALUE"""),"INFHANH384")</f>
        <v>INFHANH384</v>
      </c>
      <c r="B206" s="122" t="str">
        <f>IFERROR(__xludf.DUMMYFUNCTION("""COMPUTED_VALUE"""),"Lê Hồng Hạnh")</f>
        <v>Lê Hồng Hạnh</v>
      </c>
      <c r="C206" s="124" t="str">
        <f>IFERROR(__xludf.DUMMYFUNCTION("""COMPUTED_VALUE"""),"fb")</f>
        <v>fb</v>
      </c>
      <c r="D206" s="122"/>
      <c r="E206" s="122" t="str">
        <f>IFERROR(__xludf.DUMMYFUNCTION("""COMPUTED_VALUE"""),"212,7k")</f>
        <v>212,7k</v>
      </c>
      <c r="F206" s="122" t="str">
        <f>IFERROR(__xludf.DUMMYFUNCTION("""COMPUTED_VALUE"""),"Lê Hồng Hạnh")</f>
        <v>Lê Hồng Hạnh</v>
      </c>
      <c r="G206" s="125">
        <f>IFERROR(__xludf.DUMMYFUNCTION("""COMPUTED_VALUE"""),30958.0)</f>
        <v>30958</v>
      </c>
      <c r="H206" s="122" t="str">
        <f>IFERROR(__xludf.DUMMYFUNCTION("""COMPUTED_VALUE"""),"001184032176")</f>
        <v>001184032176</v>
      </c>
      <c r="I206" s="122" t="str">
        <f>IFERROR(__xludf.DUMMYFUNCTION("""COMPUTED_VALUE"""),"0979700384")</f>
        <v>0979700384</v>
      </c>
      <c r="J206" s="122" t="str">
        <f>IFERROR(__xludf.DUMMYFUNCTION("""COMPUTED_VALUE"""),"Honghanh10384@gmail.com")</f>
        <v>Honghanh10384@gmail.com</v>
      </c>
      <c r="K206" s="122">
        <f>IFERROR(__xludf.DUMMYFUNCTION("""COMPUTED_VALUE"""),4.91000029235E11)</f>
        <v>491000029235</v>
      </c>
      <c r="L206" s="122" t="str">
        <f>IFERROR(__xludf.DUMMYFUNCTION("""COMPUTED_VALUE"""),"Lê Hồng Hạnh")</f>
        <v>Lê Hồng Hạnh</v>
      </c>
      <c r="M206" s="122" t="str">
        <f>IFERROR(__xludf.DUMMYFUNCTION("""COMPUTED_VALUE"""),"Vietcombank ")</f>
        <v>Vietcombank </v>
      </c>
      <c r="N206" s="122" t="str">
        <f>IFERROR(__xludf.DUMMYFUNCTION("""COMPUTED_VALUE"""),"17/445 Lạc Long Quân - Tây Hồ, Hà Nội")</f>
        <v>17/445 Lạc Long Quân - Tây Hồ, Hà Nội</v>
      </c>
      <c r="O206" s="122"/>
      <c r="P206" s="123" t="str">
        <f>IFERROR(__xludf.DUMMYFUNCTION("""COMPUTED_VALUE"""),"Hoa")</f>
        <v>Hoa</v>
      </c>
      <c r="Q206" s="122"/>
      <c r="R206" s="122" t="str">
        <f>IFERROR(__xludf.DUMMYFUNCTION("""COMPUTED_VALUE"""),"INFHANH384")</f>
        <v>INFHANH384</v>
      </c>
      <c r="S206" s="124" t="str">
        <f>IFERROR(__xludf.DUMMYFUNCTION("""COMPUTED_VALUE"""),"http://yody.vn?affcode=INFHANH384")</f>
        <v>http://yody.vn?affcode=INFHANH384</v>
      </c>
    </row>
    <row r="207">
      <c r="A207" s="122" t="str">
        <f>IFERROR(__xludf.DUMMYFUNCTION("""COMPUTED_VALUE"""),"INFTHOM405")</f>
        <v>INFTHOM405</v>
      </c>
      <c r="B207" s="122" t="str">
        <f>IFERROR(__xludf.DUMMYFUNCTION("""COMPUTED_VALUE"""),"Linh Gia Nhím")</f>
        <v>Linh Gia Nhím</v>
      </c>
      <c r="C207" s="124" t="str">
        <f>IFERROR(__xludf.DUMMYFUNCTION("""COMPUTED_VALUE"""),"fb")</f>
        <v>fb</v>
      </c>
      <c r="D207" s="122"/>
      <c r="E207" s="122" t="str">
        <f>IFERROR(__xludf.DUMMYFUNCTION("""COMPUTED_VALUE"""),"205,6k")</f>
        <v>205,6k</v>
      </c>
      <c r="F207" s="122" t="str">
        <f>IFERROR(__xludf.DUMMYFUNCTION("""COMPUTED_VALUE"""),"Nguyễn Hoài Thơm")</f>
        <v>Nguyễn Hoài Thơm</v>
      </c>
      <c r="G207" s="122" t="str">
        <f>IFERROR(__xludf.DUMMYFUNCTION("""COMPUTED_VALUE"""),"13/12/1988")</f>
        <v>13/12/1988</v>
      </c>
      <c r="H207" s="122" t="str">
        <f>IFERROR(__xludf.DUMMYFUNCTION("""COMPUTED_VALUE"""),"112045317")</f>
        <v>112045317</v>
      </c>
      <c r="I207" s="122" t="str">
        <f>IFERROR(__xludf.DUMMYFUNCTION("""COMPUTED_VALUE"""),"0986595405")</f>
        <v>0986595405</v>
      </c>
      <c r="J207" s="122" t="str">
        <f>IFERROR(__xludf.DUMMYFUNCTION("""COMPUTED_VALUE"""),"nguyenthom1312@gmail.com")</f>
        <v>nguyenthom1312@gmail.com</v>
      </c>
      <c r="K207" s="122">
        <f>IFERROR(__xludf.DUMMYFUNCTION("""COMPUTED_VALUE"""),1.9023398119011E13)</f>
        <v>19023398119011</v>
      </c>
      <c r="L207" s="122" t="str">
        <f>IFERROR(__xludf.DUMMYFUNCTION("""COMPUTED_VALUE"""),"Nguyễn Hoài Thơm")</f>
        <v>Nguyễn Hoài Thơm</v>
      </c>
      <c r="M207" s="122" t="str">
        <f>IFERROR(__xludf.DUMMYFUNCTION("""COMPUTED_VALUE"""),"Techcombank ")</f>
        <v>Techcombank </v>
      </c>
      <c r="N207" s="122" t="str">
        <f>IFERROR(__xludf.DUMMYFUNCTION("""COMPUTED_VALUE"""),"Số 57 TT NGân Hàng - Phố Ga - TT Thường Tín - HN")</f>
        <v>Số 57 TT NGân Hàng - Phố Ga - TT Thường Tín - HN</v>
      </c>
      <c r="O207" s="122"/>
      <c r="P207" s="123" t="str">
        <f>IFERROR(__xludf.DUMMYFUNCTION("""COMPUTED_VALUE"""),"Hoa")</f>
        <v>Hoa</v>
      </c>
      <c r="Q207" s="122"/>
      <c r="R207" s="122" t="str">
        <f>IFERROR(__xludf.DUMMYFUNCTION("""COMPUTED_VALUE"""),"INFTHOM405")</f>
        <v>INFTHOM405</v>
      </c>
      <c r="S207" s="124" t="str">
        <f>IFERROR(__xludf.DUMMYFUNCTION("""COMPUTED_VALUE"""),"http://yody.vn?affcode=INFTHOM405")</f>
        <v>http://yody.vn?affcode=INFTHOM405</v>
      </c>
    </row>
    <row r="208">
      <c r="A208" s="122" t="str">
        <f>IFERROR(__xludf.DUMMYFUNCTION("""COMPUTED_VALUE"""),"INFTHANH550")</f>
        <v>INFTHANH550</v>
      </c>
      <c r="B208" s="122" t="str">
        <f>IFERROR(__xludf.DUMMYFUNCTION("""COMPUTED_VALUE"""),"Phuong Thanh Nguyen")</f>
        <v>Phuong Thanh Nguyen</v>
      </c>
      <c r="C208" s="124" t="str">
        <f>IFERROR(__xludf.DUMMYFUNCTION("""COMPUTED_VALUE"""),"fb")</f>
        <v>fb</v>
      </c>
      <c r="D208" s="122"/>
      <c r="E208" s="122" t="str">
        <f>IFERROR(__xludf.DUMMYFUNCTION("""COMPUTED_VALUE"""),"195,7k")</f>
        <v>195,7k</v>
      </c>
      <c r="F208" s="122" t="str">
        <f>IFERROR(__xludf.DUMMYFUNCTION("""COMPUTED_VALUE"""),"Nguyễn Phương Thanh")</f>
        <v>Nguyễn Phương Thanh</v>
      </c>
      <c r="G208" s="126">
        <f>IFERROR(__xludf.DUMMYFUNCTION("""COMPUTED_VALUE"""),31542.0)</f>
        <v>31542</v>
      </c>
      <c r="H208" s="122">
        <f>IFERROR(__xludf.DUMMYFUNCTION("""COMPUTED_VALUE"""),1.11729673E8)</f>
        <v>111729673</v>
      </c>
      <c r="I208" s="122" t="str">
        <f>IFERROR(__xludf.DUMMYFUNCTION("""COMPUTED_VALUE"""),"0973592550")</f>
        <v>0973592550</v>
      </c>
      <c r="J208" s="122" t="str">
        <f>IFERROR(__xludf.DUMMYFUNCTION("""COMPUTED_VALUE"""),"phuongthanh510a9@gmail.com")</f>
        <v>phuongthanh510a9@gmail.com</v>
      </c>
      <c r="K208" s="122" t="str">
        <f>IFERROR(__xludf.DUMMYFUNCTION("""COMPUTED_VALUE"""),"06880105101986 ")</f>
        <v>06880105101986 </v>
      </c>
      <c r="L208" s="122" t="str">
        <f>IFERROR(__xludf.DUMMYFUNCTION("""COMPUTED_VALUE"""),"Nguyen Phuong Thanh")</f>
        <v>Nguyen Phuong Thanh</v>
      </c>
      <c r="M208" s="122" t="str">
        <f>IFERROR(__xludf.DUMMYFUNCTION("""COMPUTED_VALUE"""),"MB Bank ")</f>
        <v>MB Bank </v>
      </c>
      <c r="N208" s="122" t="str">
        <f>IFERROR(__xludf.DUMMYFUNCTION("""COMPUTED_VALUE"""),"Cửa hàng Tuấn Thanh, Đình Yên Thôn, Thạch Xá, Thạch Thất, Hà Nội")</f>
        <v>Cửa hàng Tuấn Thanh, Đình Yên Thôn, Thạch Xá, Thạch Thất, Hà Nội</v>
      </c>
      <c r="O208" s="122"/>
      <c r="P208" s="123" t="str">
        <f>IFERROR(__xludf.DUMMYFUNCTION("""COMPUTED_VALUE"""),"Hoa")</f>
        <v>Hoa</v>
      </c>
      <c r="Q208" s="122"/>
      <c r="R208" s="122" t="str">
        <f>IFERROR(__xludf.DUMMYFUNCTION("""COMPUTED_VALUE"""),"INFTHANH550")</f>
        <v>INFTHANH550</v>
      </c>
      <c r="S208" s="124" t="str">
        <f>IFERROR(__xludf.DUMMYFUNCTION("""COMPUTED_VALUE"""),"http://yody.vn?affcode=INFTHANH550")</f>
        <v>http://yody.vn?affcode=INFTHANH550</v>
      </c>
    </row>
    <row r="209">
      <c r="A209" s="122" t="str">
        <f>IFERROR(__xludf.DUMMYFUNCTION("""COMPUTED_VALUE"""),"INFXUAN111")</f>
        <v>INFXUAN111</v>
      </c>
      <c r="B209" s="122" t="str">
        <f>IFERROR(__xludf.DUMMYFUNCTION("""COMPUTED_VALUE"""),"Phùng Thanh Xuân")</f>
        <v>Phùng Thanh Xuân</v>
      </c>
      <c r="C209" s="124" t="str">
        <f>IFERROR(__xludf.DUMMYFUNCTION("""COMPUTED_VALUE"""),"fb")</f>
        <v>fb</v>
      </c>
      <c r="D209" s="124" t="str">
        <f>IFERROR(__xludf.DUMMYFUNCTION("""COMPUTED_VALUE"""),"ins")</f>
        <v>ins</v>
      </c>
      <c r="E209" s="122" t="str">
        <f>IFERROR(__xludf.DUMMYFUNCTION("""COMPUTED_VALUE"""),"218,4k / 20,2k")</f>
        <v>218,4k / 20,2k</v>
      </c>
      <c r="F209" s="122" t="str">
        <f>IFERROR(__xludf.DUMMYFUNCTION("""COMPUTED_VALUE"""),"Phùng Thanh Xuân")</f>
        <v>Phùng Thanh Xuân</v>
      </c>
      <c r="G209" s="122" t="str">
        <f>IFERROR(__xludf.DUMMYFUNCTION("""COMPUTED_VALUE"""),"29/6/1996")</f>
        <v>29/6/1996</v>
      </c>
      <c r="H209" s="122" t="str">
        <f>IFERROR(__xludf.DUMMYFUNCTION("""COMPUTED_VALUE"""),"001186006346")</f>
        <v>001186006346</v>
      </c>
      <c r="I209" s="122" t="str">
        <f>IFERROR(__xludf.DUMMYFUNCTION("""COMPUTED_VALUE"""),"0981473111")</f>
        <v>0981473111</v>
      </c>
      <c r="J209" s="122" t="str">
        <f>IFERROR(__xludf.DUMMYFUNCTION("""COMPUTED_VALUE"""),"xuanptdt@gmail.com")</f>
        <v>xuanptdt@gmail.com</v>
      </c>
      <c r="K209" s="122">
        <f>IFERROR(__xludf.DUMMYFUNCTION("""COMPUTED_VALUE"""),1.9034524039012E13)</f>
        <v>19034524039012</v>
      </c>
      <c r="L209" s="122" t="str">
        <f>IFERROR(__xludf.DUMMYFUNCTION("""COMPUTED_VALUE"""),"Phùng Thị Thanh Xuân")</f>
        <v>Phùng Thị Thanh Xuân</v>
      </c>
      <c r="M209" s="122" t="str">
        <f>IFERROR(__xludf.DUMMYFUNCTION("""COMPUTED_VALUE"""),"Techcombank")</f>
        <v>Techcombank</v>
      </c>
      <c r="N209" s="122" t="str">
        <f>IFERROR(__xludf.DUMMYFUNCTION("""COMPUTED_VALUE"""),"P812 toà nhà Packexim2 ngõ 15 An Dương Vương, Phú Thượng, Tây Hồ, Hà Nội")</f>
        <v>P812 toà nhà Packexim2 ngõ 15 An Dương Vương, Phú Thượng, Tây Hồ, Hà Nội</v>
      </c>
      <c r="O209" s="122"/>
      <c r="P209" s="123" t="str">
        <f>IFERROR(__xludf.DUMMYFUNCTION("""COMPUTED_VALUE"""),"Hoa")</f>
        <v>Hoa</v>
      </c>
      <c r="Q209" s="122"/>
      <c r="R209" s="122" t="str">
        <f>IFERROR(__xludf.DUMMYFUNCTION("""COMPUTED_VALUE"""),"INFXUAN111")</f>
        <v>INFXUAN111</v>
      </c>
      <c r="S209" s="124" t="str">
        <f>IFERROR(__xludf.DUMMYFUNCTION("""COMPUTED_VALUE"""),"http://yody.vn?affcode=INFXUAN111")</f>
        <v>http://yody.vn?affcode=INFXUAN111</v>
      </c>
    </row>
    <row r="210">
      <c r="A210" s="122" t="str">
        <f>IFERROR(__xludf.DUMMYFUNCTION("""COMPUTED_VALUE"""),"INFTHAM083")</f>
        <v>INFTHAM083</v>
      </c>
      <c r="B210" s="122" t="str">
        <f>IFERROR(__xludf.DUMMYFUNCTION("""COMPUTED_VALUE"""),"Nguyễn Thị Hồng Thắm")</f>
        <v>Nguyễn Thị Hồng Thắm</v>
      </c>
      <c r="C210" s="124" t="str">
        <f>IFERROR(__xludf.DUMMYFUNCTION("""COMPUTED_VALUE"""),"fb")</f>
        <v>fb</v>
      </c>
      <c r="D210" s="122"/>
      <c r="E210" s="122" t="str">
        <f>IFERROR(__xludf.DUMMYFUNCTION("""COMPUTED_VALUE"""),"147,8k")</f>
        <v>147,8k</v>
      </c>
      <c r="F210" s="122" t="str">
        <f>IFERROR(__xludf.DUMMYFUNCTION("""COMPUTED_VALUE"""),"Nguyễn Thị Hồng Thắm")</f>
        <v>Nguyễn Thị Hồng Thắm</v>
      </c>
      <c r="G210" s="125">
        <f>IFERROR(__xludf.DUMMYFUNCTION("""COMPUTED_VALUE"""),31603.0)</f>
        <v>31603</v>
      </c>
      <c r="H210" s="122">
        <f>IFERROR(__xludf.DUMMYFUNCTION("""COMPUTED_VALUE"""),1.64248895E8)</f>
        <v>164248895</v>
      </c>
      <c r="I210" s="122" t="str">
        <f>IFERROR(__xludf.DUMMYFUNCTION("""COMPUTED_VALUE"""),"0986298083")</f>
        <v>0986298083</v>
      </c>
      <c r="J210" s="122" t="str">
        <f>IFERROR(__xludf.DUMMYFUNCTION("""COMPUTED_VALUE"""),"Nguyenthamnb@gmail.com")</f>
        <v>Nguyenthamnb@gmail.com</v>
      </c>
      <c r="K210" s="122">
        <f>IFERROR(__xludf.DUMMYFUNCTION("""COMPUTED_VALUE"""),1.9032566623013E13)</f>
        <v>19032566623013</v>
      </c>
      <c r="L210" s="122" t="str">
        <f>IFERROR(__xludf.DUMMYFUNCTION("""COMPUTED_VALUE"""),"Nguyễn Thị Hồng Thắm ")</f>
        <v>Nguyễn Thị Hồng Thắm </v>
      </c>
      <c r="M210" s="122" t="str">
        <f>IFERROR(__xludf.DUMMYFUNCTION("""COMPUTED_VALUE"""),"Techcombank Đông Đô - Hn")</f>
        <v>Techcombank Đông Đô - Hn</v>
      </c>
      <c r="N210" s="122" t="str">
        <f>IFERROR(__xludf.DUMMYFUNCTION("""COMPUTED_VALUE"""),"Quốc Oai - hà nội")</f>
        <v>Quốc Oai - hà nội</v>
      </c>
      <c r="O210" s="122"/>
      <c r="P210" s="123" t="str">
        <f>IFERROR(__xludf.DUMMYFUNCTION("""COMPUTED_VALUE"""),"Hoa")</f>
        <v>Hoa</v>
      </c>
      <c r="Q210" s="122"/>
      <c r="R210" s="122" t="str">
        <f>IFERROR(__xludf.DUMMYFUNCTION("""COMPUTED_VALUE"""),"INFTHAM083")</f>
        <v>INFTHAM083</v>
      </c>
      <c r="S210" s="124" t="str">
        <f>IFERROR(__xludf.DUMMYFUNCTION("""COMPUTED_VALUE"""),"http://yody.vn?affcode=INFTHAM083")</f>
        <v>http://yody.vn?affcode=INFTHAM083</v>
      </c>
    </row>
    <row r="211">
      <c r="A211" s="122" t="str">
        <f>IFERROR(__xludf.DUMMYFUNCTION("""COMPUTED_VALUE"""),"INFPHUONG885")</f>
        <v>INFPHUONG885</v>
      </c>
      <c r="B211" s="122" t="str">
        <f>IFERROR(__xludf.DUMMYFUNCTION("""COMPUTED_VALUE"""),"Đinh Lan Phương")</f>
        <v>Đinh Lan Phương</v>
      </c>
      <c r="C211" s="124" t="str">
        <f>IFERROR(__xludf.DUMMYFUNCTION("""COMPUTED_VALUE"""),"fb")</f>
        <v>fb</v>
      </c>
      <c r="D211" s="122"/>
      <c r="E211" s="122" t="str">
        <f>IFERROR(__xludf.DUMMYFUNCTION("""COMPUTED_VALUE"""),"248,1k")</f>
        <v>248,1k</v>
      </c>
      <c r="F211" s="122" t="str">
        <f>IFERROR(__xludf.DUMMYFUNCTION("""COMPUTED_VALUE"""),"Đinh Lan Phương")</f>
        <v>Đinh Lan Phương</v>
      </c>
      <c r="G211" s="125">
        <f>IFERROR(__xludf.DUMMYFUNCTION("""COMPUTED_VALUE"""),31261.0)</f>
        <v>31261</v>
      </c>
      <c r="H211" s="122" t="str">
        <f>IFERROR(__xludf.DUMMYFUNCTION("""COMPUTED_VALUE"""),"001185002807")</f>
        <v>001185002807</v>
      </c>
      <c r="I211" s="122" t="str">
        <f>IFERROR(__xludf.DUMMYFUNCTION("""COMPUTED_VALUE"""),"0903422885")</f>
        <v>0903422885</v>
      </c>
      <c r="J211" s="122" t="str">
        <f>IFERROR(__xludf.DUMMYFUNCTION("""COMPUTED_VALUE"""),"nxtruong.77@gmail.com")</f>
        <v>nxtruong.77@gmail.com</v>
      </c>
      <c r="K211" s="122">
        <f>IFERROR(__xludf.DUMMYFUNCTION("""COMPUTED_VALUE"""),1.9031962614012E13)</f>
        <v>19031962614012</v>
      </c>
      <c r="L211" s="122" t="str">
        <f>IFERROR(__xludf.DUMMYFUNCTION("""COMPUTED_VALUE"""),"ĐINH LAN PHƯƠNG")</f>
        <v>ĐINH LAN PHƯƠNG</v>
      </c>
      <c r="M211" s="122" t="str">
        <f>IFERROR(__xludf.DUMMYFUNCTION("""COMPUTED_VALUE""")," TECHCOMBANK HOÀNG CẦU")</f>
        <v> TECHCOMBANK HOÀNG CẦU</v>
      </c>
      <c r="N211" s="122" t="str">
        <f>IFERROR(__xludf.DUMMYFUNCTION("""COMPUTED_VALUE"""),"số 6 ngách 48 ngõ 100 Phố Tây Sơn -Phường Quang Trung -Quận Đống Đa _ TP Hà Nội .")</f>
        <v>số 6 ngách 48 ngõ 100 Phố Tây Sơn -Phường Quang Trung -Quận Đống Đa _ TP Hà Nội .</v>
      </c>
      <c r="O211" s="122"/>
      <c r="P211" s="123" t="str">
        <f>IFERROR(__xludf.DUMMYFUNCTION("""COMPUTED_VALUE"""),"Hoa")</f>
        <v>Hoa</v>
      </c>
      <c r="Q211" s="122"/>
      <c r="R211" s="122" t="str">
        <f>IFERROR(__xludf.DUMMYFUNCTION("""COMPUTED_VALUE"""),"INFPHUONG885")</f>
        <v>INFPHUONG885</v>
      </c>
      <c r="S211" s="124" t="str">
        <f>IFERROR(__xludf.DUMMYFUNCTION("""COMPUTED_VALUE"""),"http://yody.vn?affcode=INFPHUONG885")</f>
        <v>http://yody.vn?affcode=INFPHUONG885</v>
      </c>
    </row>
    <row r="212">
      <c r="A212" s="122" t="str">
        <f>IFERROR(__xludf.DUMMYFUNCTION("""COMPUTED_VALUE"""),"INFNHUNG828")</f>
        <v>INFNHUNG828</v>
      </c>
      <c r="B212" s="122" t="str">
        <f>IFERROR(__xludf.DUMMYFUNCTION("""COMPUTED_VALUE"""),"Hoàng Hồng Nhung")</f>
        <v>Hoàng Hồng Nhung</v>
      </c>
      <c r="C212" s="124" t="str">
        <f>IFERROR(__xludf.DUMMYFUNCTION("""COMPUTED_VALUE"""),"fb")</f>
        <v>fb</v>
      </c>
      <c r="D212" s="122"/>
      <c r="E212" s="122" t="str">
        <f>IFERROR(__xludf.DUMMYFUNCTION("""COMPUTED_VALUE"""),"149k")</f>
        <v>149k</v>
      </c>
      <c r="F212" s="122" t="str">
        <f>IFERROR(__xludf.DUMMYFUNCTION("""COMPUTED_VALUE"""),"Hoàng Hồng Nhung")</f>
        <v>Hoàng Hồng Nhung</v>
      </c>
      <c r="G212" s="122" t="str">
        <f>IFERROR(__xludf.DUMMYFUNCTION("""COMPUTED_VALUE"""),"20/5/1986")</f>
        <v>20/5/1986</v>
      </c>
      <c r="H212" s="122" t="str">
        <f>IFERROR(__xludf.DUMMYFUNCTION("""COMPUTED_VALUE"""),"024186002268")</f>
        <v>024186002268</v>
      </c>
      <c r="I212" s="122" t="str">
        <f>IFERROR(__xludf.DUMMYFUNCTION("""COMPUTED_VALUE"""),"0985677828")</f>
        <v>0985677828</v>
      </c>
      <c r="J212" s="122" t="str">
        <f>IFERROR(__xludf.DUMMYFUNCTION("""COMPUTED_VALUE"""),"Nhung.qtb@gmail.com")</f>
        <v>Nhung.qtb@gmail.com</v>
      </c>
      <c r="K212" s="122">
        <f>IFERROR(__xludf.DUMMYFUNCTION("""COMPUTED_VALUE"""),1.9035305389012E13)</f>
        <v>19035305389012</v>
      </c>
      <c r="L212" s="122" t="str">
        <f>IFERROR(__xludf.DUMMYFUNCTION("""COMPUTED_VALUE"""),"Hoàng Hồng Nhung")</f>
        <v>Hoàng Hồng Nhung</v>
      </c>
      <c r="M212" s="122" t="str">
        <f>IFERROR(__xludf.DUMMYFUNCTION("""COMPUTED_VALUE"""),"Techcombank")</f>
        <v>Techcombank</v>
      </c>
      <c r="N212" s="122" t="str">
        <f>IFERROR(__xludf.DUMMYFUNCTION("""COMPUTED_VALUE"""),"Sn 94 đường Thôn Miễu, Tân Mỹ, TP Bắc Giang, Bắc Giang")</f>
        <v>Sn 94 đường Thôn Miễu, Tân Mỹ, TP Bắc Giang, Bắc Giang</v>
      </c>
      <c r="O212" s="122"/>
      <c r="P212" s="123" t="str">
        <f>IFERROR(__xludf.DUMMYFUNCTION("""COMPUTED_VALUE"""),"Hoa")</f>
        <v>Hoa</v>
      </c>
      <c r="Q212" s="122"/>
      <c r="R212" s="122" t="str">
        <f>IFERROR(__xludf.DUMMYFUNCTION("""COMPUTED_VALUE"""),"INFNHUNG828")</f>
        <v>INFNHUNG828</v>
      </c>
      <c r="S212" s="124" t="str">
        <f>IFERROR(__xludf.DUMMYFUNCTION("""COMPUTED_VALUE"""),"http://yody.vn?affcode=INFNHUNG828")</f>
        <v>http://yody.vn?affcode=INFNHUNG828</v>
      </c>
    </row>
    <row r="213">
      <c r="A213" s="122" t="str">
        <f>IFERROR(__xludf.DUMMYFUNCTION("""COMPUTED_VALUE"""),"INFDUNG468")</f>
        <v>INFDUNG468</v>
      </c>
      <c r="B213" s="122" t="str">
        <f>IFERROR(__xludf.DUMMYFUNCTION("""COMPUTED_VALUE"""),"Anh Đức")</f>
        <v>Anh Đức</v>
      </c>
      <c r="C213" s="124" t="str">
        <f>IFERROR(__xludf.DUMMYFUNCTION("""COMPUTED_VALUE"""),"fb")</f>
        <v>fb</v>
      </c>
      <c r="D213" s="122"/>
      <c r="E213" s="122" t="str">
        <f>IFERROR(__xludf.DUMMYFUNCTION("""COMPUTED_VALUE"""),"74,8k")</f>
        <v>74,8k</v>
      </c>
      <c r="F213" s="122" t="str">
        <f>IFERROR(__xludf.DUMMYFUNCTION("""COMPUTED_VALUE"""),"Trịnh Anh Dũng")</f>
        <v>Trịnh Anh Dũng</v>
      </c>
      <c r="G213" s="125">
        <f>IFERROR(__xludf.DUMMYFUNCTION("""COMPUTED_VALUE"""),28804.0)</f>
        <v>28804</v>
      </c>
      <c r="H213" s="122">
        <f>IFERROR(__xludf.DUMMYFUNCTION("""COMPUTED_VALUE"""),1.71187895E8)</f>
        <v>171187895</v>
      </c>
      <c r="I213" s="122" t="str">
        <f>IFERROR(__xludf.DUMMYFUNCTION("""COMPUTED_VALUE"""),"0977942468")</f>
        <v>0977942468</v>
      </c>
      <c r="J213" s="122" t="str">
        <f>IFERROR(__xludf.DUMMYFUNCTION("""COMPUTED_VALUE"""),"capheden7@gmail.com")</f>
        <v>capheden7@gmail.com</v>
      </c>
      <c r="K213" s="122">
        <f>IFERROR(__xludf.DUMMYFUNCTION("""COMPUTED_VALUE"""),6.868868999E9)</f>
        <v>6868868999</v>
      </c>
      <c r="L213" s="122" t="str">
        <f>IFERROR(__xludf.DUMMYFUNCTION("""COMPUTED_VALUE"""),"Trịnh Anh Dũng")</f>
        <v>Trịnh Anh Dũng</v>
      </c>
      <c r="M213" s="122" t="str">
        <f>IFERROR(__xludf.DUMMYFUNCTION("""COMPUTED_VALUE"""),"MBBank ")</f>
        <v>MBBank </v>
      </c>
      <c r="N213" s="122" t="str">
        <f>IFERROR(__xludf.DUMMYFUNCTION("""COMPUTED_VALUE"""),"Số nhà 32/355 nguyễn tĩnh, đông hương, tp Thanh Hóa")</f>
        <v>Số nhà 32/355 nguyễn tĩnh, đông hương, tp Thanh Hóa</v>
      </c>
      <c r="O213" s="122"/>
      <c r="P213" s="123" t="str">
        <f>IFERROR(__xludf.DUMMYFUNCTION("""COMPUTED_VALUE"""),"Hoa")</f>
        <v>Hoa</v>
      </c>
      <c r="Q213" s="122"/>
      <c r="R213" s="122" t="str">
        <f>IFERROR(__xludf.DUMMYFUNCTION("""COMPUTED_VALUE"""),"INFDUNG468")</f>
        <v>INFDUNG468</v>
      </c>
      <c r="S213" s="124" t="str">
        <f>IFERROR(__xludf.DUMMYFUNCTION("""COMPUTED_VALUE"""),"http://yody.vn?affcode=INFDUNG468")</f>
        <v>http://yody.vn?affcode=INFDUNG468</v>
      </c>
    </row>
    <row r="214">
      <c r="A214" s="122" t="str">
        <f>IFERROR(__xludf.DUMMYFUNCTION("""COMPUTED_VALUE"""),"INFTHUY574")</f>
        <v>INFTHUY574</v>
      </c>
      <c r="B214" s="122" t="str">
        <f>IFERROR(__xludf.DUMMYFUNCTION("""COMPUTED_VALUE"""),"Thùy Võ")</f>
        <v>Thùy Võ</v>
      </c>
      <c r="C214" s="124" t="str">
        <f>IFERROR(__xludf.DUMMYFUNCTION("""COMPUTED_VALUE"""),"fb")</f>
        <v>fb</v>
      </c>
      <c r="D214" s="122"/>
      <c r="E214" s="122" t="str">
        <f>IFERROR(__xludf.DUMMYFUNCTION("""COMPUTED_VALUE"""),"215,7k")</f>
        <v>215,7k</v>
      </c>
      <c r="F214" s="122" t="str">
        <f>IFERROR(__xludf.DUMMYFUNCTION("""COMPUTED_VALUE"""),"Võ Thị Thùy")</f>
        <v>Võ Thị Thùy</v>
      </c>
      <c r="G214" s="125">
        <f>IFERROR(__xludf.DUMMYFUNCTION("""COMPUTED_VALUE"""),32664.0)</f>
        <v>32664</v>
      </c>
      <c r="H214" s="122">
        <f>IFERROR(__xludf.DUMMYFUNCTION("""COMPUTED_VALUE"""),2.73575613E8)</f>
        <v>273575613</v>
      </c>
      <c r="I214" s="122" t="str">
        <f>IFERROR(__xludf.DUMMYFUNCTION("""COMPUTED_VALUE"""),"0944313574")</f>
        <v>0944313574</v>
      </c>
      <c r="J214" s="122" t="str">
        <f>IFERROR(__xludf.DUMMYFUNCTION("""COMPUTED_VALUE"""),"vothuy2711@gmail.com")</f>
        <v>vothuy2711@gmail.com</v>
      </c>
      <c r="K214" s="122" t="str">
        <f>IFERROR(__xludf.DUMMYFUNCTION("""COMPUTED_VALUE"""),"0201000666825")</f>
        <v>0201000666825</v>
      </c>
      <c r="L214" s="122"/>
      <c r="M214" s="122"/>
      <c r="N214" s="122" t="str">
        <f>IFERROR(__xludf.DUMMYFUNCTION("""COMPUTED_VALUE"""),"Ngõ 245 Định Công, Hoàng Mai, Hà Nội")</f>
        <v>Ngõ 245 Định Công, Hoàng Mai, Hà Nội</v>
      </c>
      <c r="O214" s="122"/>
      <c r="P214" s="123" t="str">
        <f>IFERROR(__xludf.DUMMYFUNCTION("""COMPUTED_VALUE"""),"Hoa")</f>
        <v>Hoa</v>
      </c>
      <c r="Q214" s="122"/>
      <c r="R214" s="122" t="str">
        <f>IFERROR(__xludf.DUMMYFUNCTION("""COMPUTED_VALUE"""),"INFTHUY574")</f>
        <v>INFTHUY574</v>
      </c>
      <c r="S214" s="124" t="str">
        <f>IFERROR(__xludf.DUMMYFUNCTION("""COMPUTED_VALUE"""),"http://yody.vn?affcode=INFTHUY574")</f>
        <v>http://yody.vn?affcode=INFTHUY574</v>
      </c>
    </row>
    <row r="215">
      <c r="A215" s="122" t="str">
        <f>IFERROR(__xludf.DUMMYFUNCTION("""COMPUTED_VALUE"""),"INFTHU666")</f>
        <v>INFTHU666</v>
      </c>
      <c r="B215" s="122" t="str">
        <f>IFERROR(__xludf.DUMMYFUNCTION("""COMPUTED_VALUE"""),"Vũ Nguyệt Thư ")</f>
        <v>Vũ Nguyệt Thư </v>
      </c>
      <c r="C215" s="124" t="str">
        <f>IFERROR(__xludf.DUMMYFUNCTION("""COMPUTED_VALUE"""),"Fb")</f>
        <v>Fb</v>
      </c>
      <c r="D215" s="122"/>
      <c r="E215" s="122" t="str">
        <f>IFERROR(__xludf.DUMMYFUNCTION("""COMPUTED_VALUE"""),"186k")</f>
        <v>186k</v>
      </c>
      <c r="F215" s="122" t="str">
        <f>IFERROR(__xludf.DUMMYFUNCTION("""COMPUTED_VALUE"""),"Vũ Thị Nguyệt Thư")</f>
        <v>Vũ Thị Nguyệt Thư</v>
      </c>
      <c r="G215" s="129">
        <f>IFERROR(__xludf.DUMMYFUNCTION("""COMPUTED_VALUE"""),33366.0)</f>
        <v>33366</v>
      </c>
      <c r="H215" s="122">
        <f>IFERROR(__xludf.DUMMYFUNCTION("""COMPUTED_VALUE"""),1.12419674E8)</f>
        <v>112419674</v>
      </c>
      <c r="I215" s="122">
        <f>IFERROR(__xludf.DUMMYFUNCTION("""COMPUTED_VALUE"""),3.62454666E8)</f>
        <v>362454666</v>
      </c>
      <c r="J215" s="122" t="str">
        <f>IFERROR(__xludf.DUMMYFUNCTION("""COMPUTED_VALUE"""),"Nguyetthu.hnue@gmail.com")</f>
        <v>Nguyetthu.hnue@gmail.com</v>
      </c>
      <c r="K215" s="122">
        <f>IFERROR(__xludf.DUMMYFUNCTION("""COMPUTED_VALUE"""),1.9027683287667E13)</f>
        <v>19027683287667</v>
      </c>
      <c r="L215" s="122" t="str">
        <f>IFERROR(__xludf.DUMMYFUNCTION("""COMPUTED_VALUE"""),"Vu Nguyet Thu")</f>
        <v>Vu Nguyet Thu</v>
      </c>
      <c r="M215" s="122" t="str">
        <f>IFERROR(__xludf.DUMMYFUNCTION("""COMPUTED_VALUE"""),"Techcombank")</f>
        <v>Techcombank</v>
      </c>
      <c r="N215" s="122" t="str">
        <f>IFERROR(__xludf.DUMMYFUNCTION("""COMPUTED_VALUE"""),"15/2 Ngõ 216 Trung Sơn Trầm - Sơn Tây - HN")</f>
        <v>15/2 Ngõ 216 Trung Sơn Trầm - Sơn Tây - HN</v>
      </c>
      <c r="O215" s="122"/>
      <c r="P215" s="123" t="str">
        <f>IFERROR(__xludf.DUMMYFUNCTION("""COMPUTED_VALUE"""),"Mến")</f>
        <v>Mến</v>
      </c>
      <c r="Q215" s="122"/>
      <c r="R215" s="122" t="str">
        <f>IFERROR(__xludf.DUMMYFUNCTION("""COMPUTED_VALUE"""),"INFTHU666")</f>
        <v>INFTHU666</v>
      </c>
      <c r="S215" s="124" t="str">
        <f>IFERROR(__xludf.DUMMYFUNCTION("""COMPUTED_VALUE"""),"http://yody.vn?affcode=INFTHU666")</f>
        <v>http://yody.vn?affcode=INFTHU666</v>
      </c>
    </row>
    <row r="216">
      <c r="A216" s="122" t="str">
        <f>IFERROR(__xludf.DUMMYFUNCTION("""COMPUTED_VALUE"""),"INFHIEU297")</f>
        <v>INFHIEU297</v>
      </c>
      <c r="B216" s="122" t="str">
        <f>IFERROR(__xludf.DUMMYFUNCTION("""COMPUTED_VALUE"""),"Nguyễn Hiếu")</f>
        <v>Nguyễn Hiếu</v>
      </c>
      <c r="C216" s="124" t="str">
        <f>IFERROR(__xludf.DUMMYFUNCTION("""COMPUTED_VALUE"""),"fb")</f>
        <v>fb</v>
      </c>
      <c r="D216" s="122"/>
      <c r="E216" s="122" t="str">
        <f>IFERROR(__xludf.DUMMYFUNCTION("""COMPUTED_VALUE"""),"174,3k")</f>
        <v>174,3k</v>
      </c>
      <c r="F216" s="122" t="str">
        <f>IFERROR(__xludf.DUMMYFUNCTION("""COMPUTED_VALUE"""),"Nguyễn Thị Hiếu")</f>
        <v>Nguyễn Thị Hiếu</v>
      </c>
      <c r="G216" s="125">
        <f>IFERROR(__xludf.DUMMYFUNCTION("""COMPUTED_VALUE"""),32791.0)</f>
        <v>32791</v>
      </c>
      <c r="H216" s="122">
        <f>IFERROR(__xludf.DUMMYFUNCTION("""COMPUTED_VALUE"""),2.25582461E8)</f>
        <v>225582461</v>
      </c>
      <c r="I216" s="122" t="str">
        <f>IFERROR(__xludf.DUMMYFUNCTION("""COMPUTED_VALUE"""),"0962096297")</f>
        <v>0962096297</v>
      </c>
      <c r="J216" s="122" t="str">
        <f>IFERROR(__xludf.DUMMYFUNCTION("""COMPUTED_VALUE"""),"Monnt1989@gmail.com")</f>
        <v>Monnt1989@gmail.com</v>
      </c>
      <c r="K216" s="122">
        <f>IFERROR(__xludf.DUMMYFUNCTION("""COMPUTED_VALUE"""),1.9035487248011E13)</f>
        <v>19035487248011</v>
      </c>
      <c r="L216" s="122" t="str">
        <f>IFERROR(__xludf.DUMMYFUNCTION("""COMPUTED_VALUE"""),"Nguyễn Thị Hiếu")</f>
        <v>Nguyễn Thị Hiếu</v>
      </c>
      <c r="M216" s="122" t="str">
        <f>IFERROR(__xludf.DUMMYFUNCTION("""COMPUTED_VALUE"""),"techcombank ")</f>
        <v>techcombank </v>
      </c>
      <c r="N216" s="122" t="str">
        <f>IFERROR(__xludf.DUMMYFUNCTION("""COMPUTED_VALUE"""),"17 Thái Nguyên Phước Tân Nha Trang Khánh Hòa")</f>
        <v>17 Thái Nguyên Phước Tân Nha Trang Khánh Hòa</v>
      </c>
      <c r="O216" s="122"/>
      <c r="P216" s="123" t="str">
        <f>IFERROR(__xludf.DUMMYFUNCTION("""COMPUTED_VALUE"""),"Hoa")</f>
        <v>Hoa</v>
      </c>
      <c r="Q216" s="122"/>
      <c r="R216" s="122" t="str">
        <f>IFERROR(__xludf.DUMMYFUNCTION("""COMPUTED_VALUE"""),"INFHIEU297")</f>
        <v>INFHIEU297</v>
      </c>
      <c r="S216" s="124" t="str">
        <f>IFERROR(__xludf.DUMMYFUNCTION("""COMPUTED_VALUE"""),"http://yody.vn?affcode=INFHIEU297")</f>
        <v>http://yody.vn?affcode=INFHIEU297</v>
      </c>
    </row>
    <row r="217">
      <c r="A217" s="122" t="str">
        <f>IFERROR(__xludf.DUMMYFUNCTION("""COMPUTED_VALUE"""),"INFKHANH369")</f>
        <v>INFKHANH369</v>
      </c>
      <c r="B217" s="122" t="str">
        <f>IFERROR(__xludf.DUMMYFUNCTION("""COMPUTED_VALUE"""),"Đàm Diệp Khanh")</f>
        <v>Đàm Diệp Khanh</v>
      </c>
      <c r="C217" s="124" t="str">
        <f>IFERROR(__xludf.DUMMYFUNCTION("""COMPUTED_VALUE"""),"tiktok")</f>
        <v>tiktok</v>
      </c>
      <c r="D217" s="122"/>
      <c r="E217" s="122" t="str">
        <f>IFERROR(__xludf.DUMMYFUNCTION("""COMPUTED_VALUE"""),"104k")</f>
        <v>104k</v>
      </c>
      <c r="F217" s="122" t="str">
        <f>IFERROR(__xludf.DUMMYFUNCTION("""COMPUTED_VALUE"""),"Đàm Diệp Khanh")</f>
        <v>Đàm Diệp Khanh</v>
      </c>
      <c r="G217" s="130">
        <f>IFERROR(__xludf.DUMMYFUNCTION("""COMPUTED_VALUE"""),36823.0)</f>
        <v>36823</v>
      </c>
      <c r="H217" s="122" t="str">
        <f>IFERROR(__xludf.DUMMYFUNCTION("""COMPUTED_VALUE"""),"001300015085")</f>
        <v>001300015085</v>
      </c>
      <c r="I217" s="122" t="str">
        <f>IFERROR(__xludf.DUMMYFUNCTION("""COMPUTED_VALUE"""),"0336609396")</f>
        <v>0336609396</v>
      </c>
      <c r="J217" s="122" t="str">
        <f>IFERROR(__xludf.DUMMYFUNCTION("""COMPUTED_VALUE"""),"damdiepkhanh@gmail.com")</f>
        <v>damdiepkhanh@gmail.com</v>
      </c>
      <c r="K217" s="122">
        <f>IFERROR(__xludf.DUMMYFUNCTION("""COMPUTED_VALUE"""),1.903432608401E13)</f>
        <v>19034326084010</v>
      </c>
      <c r="L217" s="122" t="str">
        <f>IFERROR(__xludf.DUMMYFUNCTION("""COMPUTED_VALUE"""),"Dam Diep Khanh")</f>
        <v>Dam Diep Khanh</v>
      </c>
      <c r="M217" s="122" t="str">
        <f>IFERROR(__xludf.DUMMYFUNCTION("""COMPUTED_VALUE"""),"Techcombank chi nhánh Nhuệ Giang")</f>
        <v>Techcombank chi nhánh Nhuệ Giang</v>
      </c>
      <c r="N217" s="122" t="str">
        <f>IFERROR(__xludf.DUMMYFUNCTION("""COMPUTED_VALUE"""),"3 Hoàng Diệu, quận Hà Đông, thành phố Hà Nội")</f>
        <v>3 Hoàng Diệu, quận Hà Đông, thành phố Hà Nội</v>
      </c>
      <c r="O217" s="122"/>
      <c r="P217" s="123" t="str">
        <f>IFERROR(__xludf.DUMMYFUNCTION("""COMPUTED_VALUE"""),"Trâm")</f>
        <v>Trâm</v>
      </c>
      <c r="Q217" s="122"/>
      <c r="R217" s="122" t="str">
        <f>IFERROR(__xludf.DUMMYFUNCTION("""COMPUTED_VALUE"""),"INFKHANH369")</f>
        <v>INFKHANH369</v>
      </c>
      <c r="S217" s="124" t="str">
        <f>IFERROR(__xludf.DUMMYFUNCTION("""COMPUTED_VALUE"""),"http://yody.vn?affcode=INFKHANH369")</f>
        <v>http://yody.vn?affcode=INFKHANH369</v>
      </c>
    </row>
    <row r="218">
      <c r="A218" s="122" t="str">
        <f>IFERROR(__xludf.DUMMYFUNCTION("""COMPUTED_VALUE"""),"INFMY525")</f>
        <v>INFMY525</v>
      </c>
      <c r="B218" s="122" t="str">
        <f>IFERROR(__xludf.DUMMYFUNCTION("""COMPUTED_VALUE"""),"Chè đậu đỏ")</f>
        <v>Chè đậu đỏ</v>
      </c>
      <c r="C218" s="124" t="str">
        <f>IFERROR(__xludf.DUMMYFUNCTION("""COMPUTED_VALUE"""),"tiktok")</f>
        <v>tiktok</v>
      </c>
      <c r="D218" s="122"/>
      <c r="E218" s="122" t="str">
        <f>IFERROR(__xludf.DUMMYFUNCTION("""COMPUTED_VALUE"""),"660k")</f>
        <v>660k</v>
      </c>
      <c r="F218" s="122" t="str">
        <f>IFERROR(__xludf.DUMMYFUNCTION("""COMPUTED_VALUE"""),"Trần Kiều My ")</f>
        <v>Trần Kiều My </v>
      </c>
      <c r="G218" s="122" t="str">
        <f>IFERROR(__xludf.DUMMYFUNCTION("""COMPUTED_VALUE"""),"30/06/1996")</f>
        <v>30/06/1996</v>
      </c>
      <c r="H218" s="122">
        <f>IFERROR(__xludf.DUMMYFUNCTION("""COMPUTED_VALUE"""),3.85820823E8)</f>
        <v>385820823</v>
      </c>
      <c r="I218" s="122" t="str">
        <f>IFERROR(__xludf.DUMMYFUNCTION("""COMPUTED_VALUE"""),"0947317525")</f>
        <v>0947317525</v>
      </c>
      <c r="J218" s="122" t="str">
        <f>IFERROR(__xludf.DUMMYFUNCTION("""COMPUTED_VALUE"""),"trankieumy.4949@gmail.com")</f>
        <v>trankieumy.4949@gmail.com</v>
      </c>
      <c r="K218" s="122">
        <f>IFERROR(__xludf.DUMMYFUNCTION("""COMPUTED_VALUE"""),2.34718399E8)</f>
        <v>234718399</v>
      </c>
      <c r="L218" s="122"/>
      <c r="M218" s="122" t="str">
        <f>IFERROR(__xludf.DUMMYFUNCTION("""COMPUTED_VALUE"""),"acb")</f>
        <v>acb</v>
      </c>
      <c r="N218" s="122" t="str">
        <f>IFERROR(__xludf.DUMMYFUNCTION("""COMPUTED_VALUE"""),"khóm 8 - láng tròn - giá rai - bạc liêu")</f>
        <v>khóm 8 - láng tròn - giá rai - bạc liêu</v>
      </c>
      <c r="O218" s="122"/>
      <c r="P218" s="123" t="str">
        <f>IFERROR(__xludf.DUMMYFUNCTION("""COMPUTED_VALUE"""),"Trâm")</f>
        <v>Trâm</v>
      </c>
      <c r="Q218" s="122"/>
      <c r="R218" s="122" t="str">
        <f>IFERROR(__xludf.DUMMYFUNCTION("""COMPUTED_VALUE"""),"INFMY525")</f>
        <v>INFMY525</v>
      </c>
      <c r="S218" s="124" t="str">
        <f>IFERROR(__xludf.DUMMYFUNCTION("""COMPUTED_VALUE"""),"http://yody.vn?affcode=INFMY525")</f>
        <v>http://yody.vn?affcode=INFMY525</v>
      </c>
    </row>
    <row r="219">
      <c r="A219" s="122" t="str">
        <f>IFERROR(__xludf.DUMMYFUNCTION("""COMPUTED_VALUE"""),"INFLAN888")</f>
        <v>INFLAN888</v>
      </c>
      <c r="B219" s="122" t="str">
        <f>IFERROR(__xludf.DUMMYFUNCTION("""COMPUTED_VALUE"""),"Nguyễn phương lan")</f>
        <v>Nguyễn phương lan</v>
      </c>
      <c r="C219" s="124" t="str">
        <f>IFERROR(__xludf.DUMMYFUNCTION("""COMPUTED_VALUE"""),"tiktok")</f>
        <v>tiktok</v>
      </c>
      <c r="D219" s="122"/>
      <c r="E219" s="122" t="str">
        <f>IFERROR(__xludf.DUMMYFUNCTION("""COMPUTED_VALUE"""),"665k")</f>
        <v>665k</v>
      </c>
      <c r="F219" s="122" t="str">
        <f>IFERROR(__xludf.DUMMYFUNCTION("""COMPUTED_VALUE"""),"Nguyễn phương lan")</f>
        <v>Nguyễn phương lan</v>
      </c>
      <c r="G219" s="122" t="str">
        <f>IFERROR(__xludf.DUMMYFUNCTION("""COMPUTED_VALUE"""),"30/08/2001")</f>
        <v>30/08/2001</v>
      </c>
      <c r="H219" s="122"/>
      <c r="I219" s="122" t="str">
        <f>IFERROR(__xludf.DUMMYFUNCTION("""COMPUTED_VALUE"""),"0812868888")</f>
        <v>0812868888</v>
      </c>
      <c r="J219" s="122" t="str">
        <f>IFERROR(__xludf.DUMMYFUNCTION("""COMPUTED_VALUE"""),"98thuongyeu@gmail.com")</f>
        <v>98thuongyeu@gmail.com</v>
      </c>
      <c r="K219" s="122">
        <f>IFERROR(__xludf.DUMMYFUNCTION("""COMPUTED_VALUE"""),5.0898888E7)</f>
        <v>50898888</v>
      </c>
      <c r="L219" s="122"/>
      <c r="M219" s="122" t="str">
        <f>IFERROR(__xludf.DUMMYFUNCTION("""COMPUTED_VALUE"""),"ACB ")</f>
        <v>ACB </v>
      </c>
      <c r="N219" s="122" t="str">
        <f>IFERROR(__xludf.DUMMYFUNCTION("""COMPUTED_VALUE"""),"Khu đô thị đồng văn xanh duy tiên hà nam ")</f>
        <v>Khu đô thị đồng văn xanh duy tiên hà nam </v>
      </c>
      <c r="O219" s="122"/>
      <c r="P219" s="123" t="str">
        <f>IFERROR(__xludf.DUMMYFUNCTION("""COMPUTED_VALUE"""),"Trâm")</f>
        <v>Trâm</v>
      </c>
      <c r="Q219" s="122"/>
      <c r="R219" s="122" t="str">
        <f>IFERROR(__xludf.DUMMYFUNCTION("""COMPUTED_VALUE"""),"INFLAN888")</f>
        <v>INFLAN888</v>
      </c>
      <c r="S219" s="124" t="str">
        <f>IFERROR(__xludf.DUMMYFUNCTION("""COMPUTED_VALUE"""),"http://yody.vn?affcode=INFLAN888")</f>
        <v>http://yody.vn?affcode=INFLAN888</v>
      </c>
    </row>
    <row r="220">
      <c r="A220" s="122" t="str">
        <f>IFERROR(__xludf.DUMMYFUNCTION("""COMPUTED_VALUE"""),"INFDUONG3103")</f>
        <v>INFDUONG3103</v>
      </c>
      <c r="B220" s="122" t="str">
        <f>IFERROR(__xludf.DUMMYFUNCTION("""COMPUTED_VALUE"""),"Phạm Thuỳ Dương")</f>
        <v>Phạm Thuỳ Dương</v>
      </c>
      <c r="C220" s="124" t="str">
        <f>IFERROR(__xludf.DUMMYFUNCTION("""COMPUTED_VALUE"""),"fb")</f>
        <v>fb</v>
      </c>
      <c r="D220" s="122" t="str">
        <f>IFERROR(__xludf.DUMMYFUNCTION("""COMPUTED_VALUE"""),"-")</f>
        <v>-</v>
      </c>
      <c r="E220" s="122" t="str">
        <f>IFERROR(__xludf.DUMMYFUNCTION("""COMPUTED_VALUE"""),"153k")</f>
        <v>153k</v>
      </c>
      <c r="F220" s="122" t="str">
        <f>IFERROR(__xludf.DUMMYFUNCTION("""COMPUTED_VALUE"""),"Phạm Thuỳ Dương")</f>
        <v>Phạm Thuỳ Dương</v>
      </c>
      <c r="G220" s="122" t="str">
        <f>IFERROR(__xludf.DUMMYFUNCTION("""COMPUTED_VALUE"""),"31/03/1997")</f>
        <v>31/03/1997</v>
      </c>
      <c r="H220" s="122" t="str">
        <f>IFERROR(__xludf.DUMMYFUNCTION("""COMPUTED_VALUE"""),"079197011416")</f>
        <v>079197011416</v>
      </c>
      <c r="I220" s="122" t="str">
        <f>IFERROR(__xludf.DUMMYFUNCTION("""COMPUTED_VALUE"""),"0767673103")</f>
        <v>0767673103</v>
      </c>
      <c r="J220" s="122" t="str">
        <f>IFERROR(__xludf.DUMMYFUNCTION("""COMPUTED_VALUE"""),"duong.ptt313@gmail.com")</f>
        <v>duong.ptt313@gmail.com</v>
      </c>
      <c r="K220" s="122">
        <f>IFERROR(__xludf.DUMMYFUNCTION("""COMPUTED_VALUE"""),1.013327692E9)</f>
        <v>1013327692</v>
      </c>
      <c r="L220" s="122"/>
      <c r="M220" s="122" t="str">
        <f>IFERROR(__xludf.DUMMYFUNCTION("""COMPUTED_VALUE""")," Vietcombank")</f>
        <v> Vietcombank</v>
      </c>
      <c r="N220" s="122" t="str">
        <f>IFERROR(__xludf.DUMMYFUNCTION("""COMPUTED_VALUE"""),"49d2/9 Hoài Thanh p14 q8 tphcm")</f>
        <v>49d2/9 Hoài Thanh p14 q8 tphcm</v>
      </c>
      <c r="O220" s="122" t="str">
        <f>IFERROR(__xludf.DUMMYFUNCTION("""COMPUTED_VALUE"""),"Mến")</f>
        <v>Mến</v>
      </c>
      <c r="P220" s="123" t="str">
        <f>IFERROR(__xludf.DUMMYFUNCTION("""COMPUTED_VALUE"""),"Mến")</f>
        <v>Mến</v>
      </c>
      <c r="Q220" s="122"/>
      <c r="R220" s="122" t="str">
        <f>IFERROR(__xludf.DUMMYFUNCTION("""COMPUTED_VALUE"""),"INFDUONG3103")</f>
        <v>INFDUONG3103</v>
      </c>
      <c r="S220" s="124" t="str">
        <f>IFERROR(__xludf.DUMMYFUNCTION("""COMPUTED_VALUE"""),"https://yody.vn/?affcode=INFDUONG3103")</f>
        <v>https://yody.vn/?affcode=INFDUONG3103</v>
      </c>
    </row>
    <row r="221">
      <c r="A221" s="122" t="str">
        <f>IFERROR(__xludf.DUMMYFUNCTION("""COMPUTED_VALUE"""),"INFMY368")</f>
        <v>INFMY368</v>
      </c>
      <c r="B221" s="122" t="str">
        <f>IFERROR(__xludf.DUMMYFUNCTION("""COMPUTED_VALUE"""),"July Mỹ")</f>
        <v>July Mỹ</v>
      </c>
      <c r="C221" s="124" t="str">
        <f>IFERROR(__xludf.DUMMYFUNCTION("""COMPUTED_VALUE"""),"fb")</f>
        <v>fb</v>
      </c>
      <c r="D221" s="122"/>
      <c r="E221" s="122" t="str">
        <f>IFERROR(__xludf.DUMMYFUNCTION("""COMPUTED_VALUE"""),"190k")</f>
        <v>190k</v>
      </c>
      <c r="F221" s="122" t="str">
        <f>IFERROR(__xludf.DUMMYFUNCTION("""COMPUTED_VALUE"""),"Nguyễn Thị Mỹ")</f>
        <v>Nguyễn Thị Mỹ</v>
      </c>
      <c r="G221" s="122" t="str">
        <f>IFERROR(__xludf.DUMMYFUNCTION("""COMPUTED_VALUE"""),"29/07/1991")</f>
        <v>29/07/1991</v>
      </c>
      <c r="H221" s="122" t="str">
        <f>IFERROR(__xludf.DUMMYFUNCTION("""COMPUTED_VALUE"""),"001191010424")</f>
        <v>001191010424</v>
      </c>
      <c r="I221" s="122" t="str">
        <f>IFERROR(__xludf.DUMMYFUNCTION("""COMPUTED_VALUE"""),"0973805368")</f>
        <v>0973805368</v>
      </c>
      <c r="J221" s="122" t="str">
        <f>IFERROR(__xludf.DUMMYFUNCTION("""COMPUTED_VALUE"""),"julymy290791@gmail.com")</f>
        <v>julymy290791@gmail.com</v>
      </c>
      <c r="K221" s="122">
        <f>IFERROR(__xludf.DUMMYFUNCTION("""COMPUTED_VALUE"""),8.4284057E7)</f>
        <v>84284057</v>
      </c>
      <c r="L221" s="122"/>
      <c r="M221" s="122" t="str">
        <f>IFERROR(__xludf.DUMMYFUNCTION("""COMPUTED_VALUE"""),"Vpbank Hà Nội")</f>
        <v>Vpbank Hà Nội</v>
      </c>
      <c r="N221" s="122" t="str">
        <f>IFERROR(__xludf.DUMMYFUNCTION("""COMPUTED_VALUE"""),"Sn 41 Đường Quảng Oai, Tây Đằng, Ba Vì, Hà Nội")</f>
        <v>Sn 41 Đường Quảng Oai, Tây Đằng, Ba Vì, Hà Nội</v>
      </c>
      <c r="O221" s="122"/>
      <c r="P221" s="123" t="str">
        <f>IFERROR(__xludf.DUMMYFUNCTION("""COMPUTED_VALUE"""),"mến")</f>
        <v>mến</v>
      </c>
      <c r="Q221" s="122"/>
      <c r="R221" s="122" t="str">
        <f>IFERROR(__xludf.DUMMYFUNCTION("""COMPUTED_VALUE"""),"INFMY368")</f>
        <v>INFMY368</v>
      </c>
      <c r="S221" s="124" t="str">
        <f>IFERROR(__xludf.DUMMYFUNCTION("""COMPUTED_VALUE"""),"https://yody.vn/?affcode=INFMY368")</f>
        <v>https://yody.vn/?affcode=INFMY368</v>
      </c>
    </row>
    <row r="222">
      <c r="A222" s="122" t="str">
        <f>IFERROR(__xludf.DUMMYFUNCTION("""COMPUTED_VALUE"""),"INFDIEU297")</f>
        <v>INFDIEU297</v>
      </c>
      <c r="B222" s="122" t="str">
        <f>IFERROR(__xludf.DUMMYFUNCTION("""COMPUTED_VALUE"""),"Minh diệu")</f>
        <v>Minh diệu</v>
      </c>
      <c r="C222" s="124" t="str">
        <f>IFERROR(__xludf.DUMMYFUNCTION("""COMPUTED_VALUE"""),"tiktok")</f>
        <v>tiktok</v>
      </c>
      <c r="D222" s="122" t="str">
        <f>IFERROR(__xludf.DUMMYFUNCTION("""COMPUTED_VALUE"""),"-")</f>
        <v>-</v>
      </c>
      <c r="E222" s="122" t="str">
        <f>IFERROR(__xludf.DUMMYFUNCTION("""COMPUTED_VALUE"""),"37,9k")</f>
        <v>37,9k</v>
      </c>
      <c r="F222" s="122" t="str">
        <f>IFERROR(__xludf.DUMMYFUNCTION("""COMPUTED_VALUE"""),"Nguyễn minh diệu")</f>
        <v>Nguyễn minh diệu</v>
      </c>
      <c r="G222" s="122" t="str">
        <f>IFERROR(__xludf.DUMMYFUNCTION("""COMPUTED_VALUE"""),"23/03/2000")</f>
        <v>23/03/2000</v>
      </c>
      <c r="H222" s="122">
        <f>IFERROR(__xludf.DUMMYFUNCTION("""COMPUTED_VALUE"""),2.06269724E8)</f>
        <v>206269724</v>
      </c>
      <c r="I222" s="122" t="str">
        <f>IFERROR(__xludf.DUMMYFUNCTION("""COMPUTED_VALUE"""),"0385077297")</f>
        <v>0385077297</v>
      </c>
      <c r="J222" s="122" t="str">
        <f>IFERROR(__xludf.DUMMYFUNCTION("""COMPUTED_VALUE"""),"nguyenminhdieu233@gmail.com")</f>
        <v>nguyenminhdieu233@gmail.com</v>
      </c>
      <c r="K222" s="122" t="str">
        <f>IFERROR(__xludf.DUMMYFUNCTION("""COMPUTED_VALUE"""),"03679345601")</f>
        <v>03679345601</v>
      </c>
      <c r="L222" s="122" t="str">
        <f>IFERROR(__xludf.DUMMYFUNCTION("""COMPUTED_VALUE"""),"NGUYEN MINH DIEU")</f>
        <v>NGUYEN MINH DIEU</v>
      </c>
      <c r="M222" s="122" t="str">
        <f>IFERROR(__xludf.DUMMYFUNCTION("""COMPUTED_VALUE"""),"TMCP Tiên phong")</f>
        <v>TMCP Tiên phong</v>
      </c>
      <c r="N222" s="122" t="str">
        <f>IFERROR(__xludf.DUMMYFUNCTION("""COMPUTED_VALUE"""),"18 hồ quý ly, thanh khê tây, thanh khê, Đà Nẵng ")</f>
        <v>18 hồ quý ly, thanh khê tây, thanh khê, Đà Nẵng </v>
      </c>
      <c r="O222" s="122"/>
      <c r="P222" s="123" t="str">
        <f>IFERROR(__xludf.DUMMYFUNCTION("""COMPUTED_VALUE"""),"Mến")</f>
        <v>Mến</v>
      </c>
      <c r="Q222" s="122"/>
      <c r="R222" s="122" t="str">
        <f>IFERROR(__xludf.DUMMYFUNCTION("""COMPUTED_VALUE"""),"INFDIEU297")</f>
        <v>INFDIEU297</v>
      </c>
      <c r="S222" s="124" t="str">
        <f>IFERROR(__xludf.DUMMYFUNCTION("""COMPUTED_VALUE"""),"https://yody.vn/?affcode=INFDIEU297")</f>
        <v>https://yody.vn/?affcode=INFDIEU297</v>
      </c>
    </row>
    <row r="223">
      <c r="A223" s="122" t="str">
        <f>IFERROR(__xludf.DUMMYFUNCTION("""COMPUTED_VALUE"""),"INFTOAN088")</f>
        <v>INFTOAN088</v>
      </c>
      <c r="B223" s="122" t="str">
        <f>IFERROR(__xludf.DUMMYFUNCTION("""COMPUTED_VALUE"""),"Nguyễn Văn Toàn")</f>
        <v>Nguyễn Văn Toàn</v>
      </c>
      <c r="C223" s="124" t="str">
        <f>IFERROR(__xludf.DUMMYFUNCTION("""COMPUTED_VALUE"""),"fb")</f>
        <v>fb</v>
      </c>
      <c r="D223" s="122"/>
      <c r="E223" s="122" t="str">
        <f>IFERROR(__xludf.DUMMYFUNCTION("""COMPUTED_VALUE"""),"103kfl")</f>
        <v>103kfl</v>
      </c>
      <c r="F223" s="122" t="str">
        <f>IFERROR(__xludf.DUMMYFUNCTION("""COMPUTED_VALUE"""),"Nguyễn Văn Toàn")</f>
        <v>Nguyễn Văn Toàn</v>
      </c>
      <c r="G223" s="122" t="str">
        <f>IFERROR(__xludf.DUMMYFUNCTION("""COMPUTED_VALUE"""),"14/10/1988")</f>
        <v>14/10/1988</v>
      </c>
      <c r="H223" s="122" t="str">
        <f>IFERROR(__xludf.DUMMYFUNCTION("""COMPUTED_VALUE"""),"034088007252")</f>
        <v>034088007252</v>
      </c>
      <c r="I223" s="122" t="str">
        <f>IFERROR(__xludf.DUMMYFUNCTION("""COMPUTED_VALUE"""),"0971722088")</f>
        <v>0971722088</v>
      </c>
      <c r="J223" s="122" t="str">
        <f>IFERROR(__xludf.DUMMYFUNCTION("""COMPUTED_VALUE"""),"toannguyen1410@gmail.com")</f>
        <v>toannguyen1410@gmail.com</v>
      </c>
      <c r="K223" s="122" t="str">
        <f>IFERROR(__xludf.DUMMYFUNCTION("""COMPUTED_VALUE"""),"0351000944488")</f>
        <v>0351000944488</v>
      </c>
      <c r="L223" s="122" t="str">
        <f>IFERROR(__xludf.DUMMYFUNCTION("""COMPUTED_VALUE"""),"NGUYỄN VĂN TOÀN")</f>
        <v>NGUYỄN VĂN TOÀN</v>
      </c>
      <c r="M223" s="122" t="str">
        <f>IFERROR(__xludf.DUMMYFUNCTION("""COMPUTED_VALUE""")," Vietcombank")</f>
        <v> Vietcombank</v>
      </c>
      <c r="N223" s="122" t="str">
        <f>IFERROR(__xludf.DUMMYFUNCTION("""COMPUTED_VALUE"""),"Tiêu Long, Tương Giang, Từ Sơn, Bắc Ninh")</f>
        <v>Tiêu Long, Tương Giang, Từ Sơn, Bắc Ninh</v>
      </c>
      <c r="O223" s="122"/>
      <c r="P223" s="123" t="str">
        <f>IFERROR(__xludf.DUMMYFUNCTION("""COMPUTED_VALUE"""),"Mến")</f>
        <v>Mến</v>
      </c>
      <c r="Q223" s="122"/>
      <c r="R223" s="122" t="str">
        <f>IFERROR(__xludf.DUMMYFUNCTION("""COMPUTED_VALUE"""),"INFTOAN088")</f>
        <v>INFTOAN088</v>
      </c>
      <c r="S223" s="124" t="str">
        <f>IFERROR(__xludf.DUMMYFUNCTION("""COMPUTED_VALUE"""),"https://yody.vn/?affcode=INFTOAN088")</f>
        <v>https://yody.vn/?affcode=INFTOAN088</v>
      </c>
    </row>
    <row r="224">
      <c r="A224" s="122" t="str">
        <f>IFERROR(__xludf.DUMMYFUNCTION("""COMPUTED_VALUE"""),"INFNAM663")</f>
        <v>INFNAM663</v>
      </c>
      <c r="B224" s="122" t="str">
        <f>IFERROR(__xludf.DUMMYFUNCTION("""COMPUTED_VALUE"""),"Nguyễn Phương Nam")</f>
        <v>Nguyễn Phương Nam</v>
      </c>
      <c r="C224" s="124" t="str">
        <f>IFERROR(__xludf.DUMMYFUNCTION("""COMPUTED_VALUE"""),"fb")</f>
        <v>fb</v>
      </c>
      <c r="D224" s="122" t="str">
        <f>IFERROR(__xludf.DUMMYFUNCTION("""COMPUTED_VALUE"""),"-")</f>
        <v>-</v>
      </c>
      <c r="E224" s="122" t="str">
        <f>IFERROR(__xludf.DUMMYFUNCTION("""COMPUTED_VALUE"""),"95k fl")</f>
        <v>95k fl</v>
      </c>
      <c r="F224" s="122" t="str">
        <f>IFERROR(__xludf.DUMMYFUNCTION("""COMPUTED_VALUE"""),"Nguyễn Phương Nam")</f>
        <v>Nguyễn Phương Nam</v>
      </c>
      <c r="G224" s="122" t="str">
        <f>IFERROR(__xludf.DUMMYFUNCTION("""COMPUTED_VALUE"""),"23/10/1998")</f>
        <v>23/10/1998</v>
      </c>
      <c r="H224" s="122">
        <f>IFERROR(__xludf.DUMMYFUNCTION("""COMPUTED_VALUE"""),1.25852981E8)</f>
        <v>125852981</v>
      </c>
      <c r="I224" s="122" t="str">
        <f>IFERROR(__xludf.DUMMYFUNCTION("""COMPUTED_VALUE"""),"0399129663")</f>
        <v>0399129663</v>
      </c>
      <c r="J224" s="122" t="str">
        <f>IFERROR(__xludf.DUMMYFUNCTION("""COMPUTED_VALUE"""),"phuongnam.homes@gmail.com")</f>
        <v>phuongnam.homes@gmail.com</v>
      </c>
      <c r="K224" s="122">
        <f>IFERROR(__xludf.DUMMYFUNCTION("""COMPUTED_VALUE"""),1.9034160105022E13)</f>
        <v>19034160105022</v>
      </c>
      <c r="L224" s="122"/>
      <c r="M224" s="122" t="str">
        <f>IFERROR(__xludf.DUMMYFUNCTION("""COMPUTED_VALUE"""),"Techcombank Trương Định")</f>
        <v>Techcombank Trương Định</v>
      </c>
      <c r="N224" s="122" t="str">
        <f>IFERROR(__xludf.DUMMYFUNCTION("""COMPUTED_VALUE"""),"Toà N03B, Chung cư K35 Tân Mai, Hoàng Mai, Hà Nội")</f>
        <v>Toà N03B, Chung cư K35 Tân Mai, Hoàng Mai, Hà Nội</v>
      </c>
      <c r="O224" s="122"/>
      <c r="P224" s="123" t="str">
        <f>IFERROR(__xludf.DUMMYFUNCTION("""COMPUTED_VALUE"""),"mến")</f>
        <v>mến</v>
      </c>
      <c r="Q224" s="122"/>
      <c r="R224" s="122" t="str">
        <f>IFERROR(__xludf.DUMMYFUNCTION("""COMPUTED_VALUE"""),"INFNAM663")</f>
        <v>INFNAM663</v>
      </c>
      <c r="S224" s="124" t="str">
        <f>IFERROR(__xludf.DUMMYFUNCTION("""COMPUTED_VALUE"""),"https://yody.vn/?affcode=INFNAM663")</f>
        <v>https://yody.vn/?affcode=INFNAM663</v>
      </c>
    </row>
    <row r="225">
      <c r="A225" s="122" t="str">
        <f>IFERROR(__xludf.DUMMYFUNCTION("""COMPUTED_VALUE"""),"INFHUY602")</f>
        <v>INFHUY602</v>
      </c>
      <c r="B225" s="122" t="str">
        <f>IFERROR(__xludf.DUMMYFUNCTION("""COMPUTED_VALUE"""),"
ignees1008")</f>
        <v>
ignees1008</v>
      </c>
      <c r="C225" s="124" t="str">
        <f>IFERROR(__xludf.DUMMYFUNCTION("""COMPUTED_VALUE"""),"tiktok")</f>
        <v>tiktok</v>
      </c>
      <c r="D225" s="122" t="str">
        <f>IFERROR(__xludf.DUMMYFUNCTION("""COMPUTED_VALUE"""),"-")</f>
        <v>-</v>
      </c>
      <c r="E225" s="122" t="str">
        <f>IFERROR(__xludf.DUMMYFUNCTION("""COMPUTED_VALUE"""),"36,8k fl")</f>
        <v>36,8k fl</v>
      </c>
      <c r="F225" s="122" t="str">
        <f>IFERROR(__xludf.DUMMYFUNCTION("""COMPUTED_VALUE"""),"Phan Văn Huy")</f>
        <v>Phan Văn Huy</v>
      </c>
      <c r="G225" s="126">
        <f>IFERROR(__xludf.DUMMYFUNCTION("""COMPUTED_VALUE"""),37172.0)</f>
        <v>37172</v>
      </c>
      <c r="H225" s="122">
        <f>IFERROR(__xludf.DUMMYFUNCTION("""COMPUTED_VALUE"""),1.22307551E8)</f>
        <v>122307551</v>
      </c>
      <c r="I225" s="122" t="str">
        <f>IFERROR(__xludf.DUMMYFUNCTION("""COMPUTED_VALUE"""),"0356958026")</f>
        <v>0356958026</v>
      </c>
      <c r="J225" s="122" t="str">
        <f>IFERROR(__xludf.DUMMYFUNCTION("""COMPUTED_VALUE"""),"phanhuy100820@gmail.com")</f>
        <v>phanhuy100820@gmail.com</v>
      </c>
      <c r="K225" s="122">
        <f>IFERROR(__xludf.DUMMYFUNCTION("""COMPUTED_VALUE"""),2.501205168152E12)</f>
        <v>2501205168152</v>
      </c>
      <c r="L225" s="122"/>
      <c r="M225" s="122" t="str">
        <f>IFERROR(__xludf.DUMMYFUNCTION("""COMPUTED_VALUE"""),"agribank")</f>
        <v>agribank</v>
      </c>
      <c r="N225" s="122" t="str">
        <f>IFERROR(__xludf.DUMMYFUNCTION("""COMPUTED_VALUE"""),"số 5 thôn Đông Mo xã Dĩnh Trì thành phố Bắc Giang")</f>
        <v>số 5 thôn Đông Mo xã Dĩnh Trì thành phố Bắc Giang</v>
      </c>
      <c r="O225" s="122"/>
      <c r="P225" s="123" t="str">
        <f>IFERROR(__xludf.DUMMYFUNCTION("""COMPUTED_VALUE"""),"Mến")</f>
        <v>Mến</v>
      </c>
      <c r="Q225" s="122"/>
      <c r="R225" s="122" t="str">
        <f>IFERROR(__xludf.DUMMYFUNCTION("""COMPUTED_VALUE"""),"INFHUY602")</f>
        <v>INFHUY602</v>
      </c>
      <c r="S225" s="124" t="str">
        <f>IFERROR(__xludf.DUMMYFUNCTION("""COMPUTED_VALUE"""),"https://yody.vn/?affcode=INFHUY602")</f>
        <v>https://yody.vn/?affcode=INFHUY602</v>
      </c>
    </row>
    <row r="226">
      <c r="A226" s="122" t="str">
        <f>IFERROR(__xludf.DUMMYFUNCTION("""COMPUTED_VALUE"""),"INFTRUONG665")</f>
        <v>INFTRUONG665</v>
      </c>
      <c r="B226" s="122" t="str">
        <f>IFERROR(__xludf.DUMMYFUNCTION("""COMPUTED_VALUE"""),"Đỗ Quang Trường")</f>
        <v>Đỗ Quang Trường</v>
      </c>
      <c r="C226" s="124" t="str">
        <f>IFERROR(__xludf.DUMMYFUNCTION("""COMPUTED_VALUE"""),"fb")</f>
        <v>fb</v>
      </c>
      <c r="D226" s="122" t="str">
        <f>IFERROR(__xludf.DUMMYFUNCTION("""COMPUTED_VALUE"""),"-")</f>
        <v>-</v>
      </c>
      <c r="E226" s="122" t="str">
        <f>IFERROR(__xludf.DUMMYFUNCTION("""COMPUTED_VALUE"""),"47k ")</f>
        <v>47k </v>
      </c>
      <c r="F226" s="122" t="str">
        <f>IFERROR(__xludf.DUMMYFUNCTION("""COMPUTED_VALUE"""),"Đỗ Quang Trường")</f>
        <v>Đỗ Quang Trường</v>
      </c>
      <c r="G226" s="128">
        <f>IFERROR(__xludf.DUMMYFUNCTION("""COMPUTED_VALUE"""),37776.0)</f>
        <v>37776</v>
      </c>
      <c r="H226" s="122" t="str">
        <f>IFERROR(__xludf.DUMMYFUNCTION("""COMPUTED_VALUE"""),"033203003509")</f>
        <v>033203003509</v>
      </c>
      <c r="I226" s="122" t="str">
        <f>IFERROR(__xludf.DUMMYFUNCTION("""COMPUTED_VALUE"""),"0828826665")</f>
        <v>0828826665</v>
      </c>
      <c r="J226" s="122" t="str">
        <f>IFERROR(__xludf.DUMMYFUNCTION("""COMPUTED_VALUE"""),"quangtruong6423@gmail.com")</f>
        <v>quangtruong6423@gmail.com</v>
      </c>
      <c r="K226" s="122">
        <f>IFERROR(__xludf.DUMMYFUNCTION("""COMPUTED_VALUE"""),9.660106042003E12)</f>
        <v>9660106042003</v>
      </c>
      <c r="L226" s="122"/>
      <c r="M226" s="122" t="str">
        <f>IFERROR(__xludf.DUMMYFUNCTION("""COMPUTED_VALUE"""),"MB Bank")</f>
        <v>MB Bank</v>
      </c>
      <c r="N226" s="122" t="str">
        <f>IFERROR(__xludf.DUMMYFUNCTION("""COMPUTED_VALUE"""),"xã Đông Tảo huyện Khoái Châu tỉnh Hưng Yên")</f>
        <v>xã Đông Tảo huyện Khoái Châu tỉnh Hưng Yên</v>
      </c>
      <c r="O226" s="122"/>
      <c r="P226" s="123" t="str">
        <f>IFERROR(__xludf.DUMMYFUNCTION("""COMPUTED_VALUE"""),"Mến")</f>
        <v>Mến</v>
      </c>
      <c r="Q226" s="122"/>
      <c r="R226" s="122" t="str">
        <f>IFERROR(__xludf.DUMMYFUNCTION("""COMPUTED_VALUE"""),"INFTRUONG665")</f>
        <v>INFTRUONG665</v>
      </c>
      <c r="S226" s="124" t="str">
        <f>IFERROR(__xludf.DUMMYFUNCTION("""COMPUTED_VALUE"""),"https://yody.vn/?affcode=INFTRUONG665")</f>
        <v>https://yody.vn/?affcode=INFTRUONG665</v>
      </c>
    </row>
    <row r="227">
      <c r="A227" s="122" t="str">
        <f>IFERROR(__xludf.DUMMYFUNCTION("""COMPUTED_VALUE"""),"INFKHANH998")</f>
        <v>INFKHANH998</v>
      </c>
      <c r="B227" s="122" t="str">
        <f>IFERROR(__xludf.DUMMYFUNCTION("""COMPUTED_VALUE"""),"Nguyễn Quốc Khánh")</f>
        <v>Nguyễn Quốc Khánh</v>
      </c>
      <c r="C227" s="124" t="str">
        <f>IFERROR(__xludf.DUMMYFUNCTION("""COMPUTED_VALUE"""),"fb")</f>
        <v>fb</v>
      </c>
      <c r="D227" s="122" t="str">
        <f>IFERROR(__xludf.DUMMYFUNCTION("""COMPUTED_VALUE"""),"-")</f>
        <v>-</v>
      </c>
      <c r="E227" s="122" t="str">
        <f>IFERROR(__xludf.DUMMYFUNCTION("""COMPUTED_VALUE"""),"114k")</f>
        <v>114k</v>
      </c>
      <c r="F227" s="122" t="str">
        <f>IFERROR(__xludf.DUMMYFUNCTION("""COMPUTED_VALUE"""),"Nguyễn Quốc Khánh")</f>
        <v>Nguyễn Quốc Khánh</v>
      </c>
      <c r="G227" s="126">
        <f>IFERROR(__xludf.DUMMYFUNCTION("""COMPUTED_VALUE"""),35804.0)</f>
        <v>35804</v>
      </c>
      <c r="H227" s="122" t="str">
        <f>IFERROR(__xludf.DUMMYFUNCTION("""COMPUTED_VALUE"""),"025775128")</f>
        <v>025775128</v>
      </c>
      <c r="I227" s="122" t="str">
        <f>IFERROR(__xludf.DUMMYFUNCTION("""COMPUTED_VALUE"""),"0395010998")</f>
        <v>0395010998</v>
      </c>
      <c r="J227" s="122" t="str">
        <f>IFERROR(__xludf.DUMMYFUNCTION("""COMPUTED_VALUE"""),"khanh.nguyenquoc98@gmail.com")</f>
        <v>khanh.nguyenquoc98@gmail.com</v>
      </c>
      <c r="K227" s="122">
        <f>IFERROR(__xludf.DUMMYFUNCTION("""COMPUTED_VALUE"""),1.1309357E7)</f>
        <v>11309357</v>
      </c>
      <c r="L227" s="122" t="str">
        <f>IFERROR(__xludf.DUMMYFUNCTION("""COMPUTED_VALUE"""),"Nguyễn Quốc Khánh")</f>
        <v>Nguyễn Quốc Khánh</v>
      </c>
      <c r="M227" s="122" t="str">
        <f>IFERROR(__xludf.DUMMYFUNCTION("""COMPUTED_VALUE"""),"Ngân hàng: ACB")</f>
        <v>Ngân hàng: ACB</v>
      </c>
      <c r="N227" s="122" t="str">
        <f>IFERROR(__xludf.DUMMYFUNCTION("""COMPUTED_VALUE"""),"53 đường số 6, Bình Hưng Hoà B, Bình Tân, TpHCM")</f>
        <v>53 đường số 6, Bình Hưng Hoà B, Bình Tân, TpHCM</v>
      </c>
      <c r="O227" s="122"/>
      <c r="P227" s="123" t="str">
        <f>IFERROR(__xludf.DUMMYFUNCTION("""COMPUTED_VALUE"""),"Mến")</f>
        <v>Mến</v>
      </c>
      <c r="Q227" s="122"/>
      <c r="R227" s="122" t="str">
        <f>IFERROR(__xludf.DUMMYFUNCTION("""COMPUTED_VALUE"""),"INFKHANH998")</f>
        <v>INFKHANH998</v>
      </c>
      <c r="S227" s="124" t="str">
        <f>IFERROR(__xludf.DUMMYFUNCTION("""COMPUTED_VALUE"""),"https://yody.vn/?affcode=INFKHANH998")</f>
        <v>https://yody.vn/?affcode=INFKHANH998</v>
      </c>
    </row>
    <row r="228">
      <c r="A228" s="122" t="str">
        <f>IFERROR(__xludf.DUMMYFUNCTION("""COMPUTED_VALUE"""),"INFTU164")</f>
        <v>INFTU164</v>
      </c>
      <c r="B228" s="122" t="str">
        <f>IFERROR(__xludf.DUMMYFUNCTION("""COMPUTED_VALUE"""),"Phan Thuỵ Thanh Tú")</f>
        <v>Phan Thuỵ Thanh Tú</v>
      </c>
      <c r="C228" s="124" t="str">
        <f>IFERROR(__xludf.DUMMYFUNCTION("""COMPUTED_VALUE"""),"fb")</f>
        <v>fb</v>
      </c>
      <c r="D228" s="122" t="str">
        <f>IFERROR(__xludf.DUMMYFUNCTION("""COMPUTED_VALUE"""),"-")</f>
        <v>-</v>
      </c>
      <c r="E228" s="122" t="str">
        <f>IFERROR(__xludf.DUMMYFUNCTION("""COMPUTED_VALUE"""),"42,7k fl")</f>
        <v>42,7k fl</v>
      </c>
      <c r="F228" s="122" t="str">
        <f>IFERROR(__xludf.DUMMYFUNCTION("""COMPUTED_VALUE"""),"Phan Thị Thanh Tú")</f>
        <v>Phan Thị Thanh Tú</v>
      </c>
      <c r="G228" s="122" t="str">
        <f>IFERROR(__xludf.DUMMYFUNCTION("""COMPUTED_VALUE"""),"30/03/2000")</f>
        <v>30/03/2000</v>
      </c>
      <c r="H228" s="122">
        <f>IFERROR(__xludf.DUMMYFUNCTION("""COMPUTED_VALUE"""),2.21431563E8)</f>
        <v>221431563</v>
      </c>
      <c r="I228" s="122" t="str">
        <f>IFERROR(__xludf.DUMMYFUNCTION("""COMPUTED_VALUE"""),"0395828164")</f>
        <v>0395828164</v>
      </c>
      <c r="J228" s="122" t="str">
        <f>IFERROR(__xludf.DUMMYFUNCTION("""COMPUTED_VALUE"""),"thanhtu310303@gmail.com")</f>
        <v>thanhtu310303@gmail.com</v>
      </c>
      <c r="K228" s="122">
        <f>IFERROR(__xludf.DUMMYFUNCTION("""COMPUTED_VALUE"""),3.866869101E9)</f>
        <v>3866869101</v>
      </c>
      <c r="L228" s="122"/>
      <c r="M228" s="122" t="str">
        <f>IFERROR(__xludf.DUMMYFUNCTION("""COMPUTED_VALUE"""),"Ngân hàng tiên phong")</f>
        <v>Ngân hàng tiên phong</v>
      </c>
      <c r="N228" s="122" t="str">
        <f>IFERROR(__xludf.DUMMYFUNCTION("""COMPUTED_VALUE"""),"Thôn Thạch Chẩm phường hoà xuân tây thị xã đông hoà tỉnh phú yên")</f>
        <v>Thôn Thạch Chẩm phường hoà xuân tây thị xã đông hoà tỉnh phú yên</v>
      </c>
      <c r="O228" s="122"/>
      <c r="P228" s="123" t="str">
        <f>IFERROR(__xludf.DUMMYFUNCTION("""COMPUTED_VALUE"""),"Mến")</f>
        <v>Mến</v>
      </c>
      <c r="Q228" s="122"/>
      <c r="R228" s="122" t="str">
        <f>IFERROR(__xludf.DUMMYFUNCTION("""COMPUTED_VALUE"""),"INFTU164")</f>
        <v>INFTU164</v>
      </c>
      <c r="S228" s="124" t="str">
        <f>IFERROR(__xludf.DUMMYFUNCTION("""COMPUTED_VALUE"""),"https://yody.vn/?affcode=INFTU164")</f>
        <v>https://yody.vn/?affcode=INFTU164</v>
      </c>
    </row>
    <row r="229">
      <c r="A229" s="122" t="str">
        <f>IFERROR(__xludf.DUMMYFUNCTION("""COMPUTED_VALUE"""),"INFHOI201")</f>
        <v>INFHOI201</v>
      </c>
      <c r="B229" s="122" t="str">
        <f>IFERROR(__xludf.DUMMYFUNCTION("""COMPUTED_VALUE"""),"Nguyễn Tấn Hồi")</f>
        <v>Nguyễn Tấn Hồi</v>
      </c>
      <c r="C229" s="124" t="str">
        <f>IFERROR(__xludf.DUMMYFUNCTION("""COMPUTED_VALUE"""),"fb")</f>
        <v>fb</v>
      </c>
      <c r="D229" s="122" t="str">
        <f>IFERROR(__xludf.DUMMYFUNCTION("""COMPUTED_VALUE"""),"-")</f>
        <v>-</v>
      </c>
      <c r="E229" s="122" t="str">
        <f>IFERROR(__xludf.DUMMYFUNCTION("""COMPUTED_VALUE"""),"55k")</f>
        <v>55k</v>
      </c>
      <c r="F229" s="122" t="str">
        <f>IFERROR(__xludf.DUMMYFUNCTION("""COMPUTED_VALUE"""),"Nguyễn Tấn Hồi")</f>
        <v>Nguyễn Tấn Hồi</v>
      </c>
      <c r="G229" s="125">
        <f>IFERROR(__xludf.DUMMYFUNCTION("""COMPUTED_VALUE"""),36719.0)</f>
        <v>36719</v>
      </c>
      <c r="H229" s="122">
        <f>IFERROR(__xludf.DUMMYFUNCTION("""COMPUTED_VALUE"""),2.21492715E8)</f>
        <v>221492715</v>
      </c>
      <c r="I229" s="122" t="str">
        <f>IFERROR(__xludf.DUMMYFUNCTION("""COMPUTED_VALUE"""),"0967093201")</f>
        <v>0967093201</v>
      </c>
      <c r="J229" s="122" t="str">
        <f>IFERROR(__xludf.DUMMYFUNCTION("""COMPUTED_VALUE"""),"hoikun11@gmail.com")</f>
        <v>hoikun11@gmail.com</v>
      </c>
      <c r="K229" s="122" t="str">
        <f>IFERROR(__xludf.DUMMYFUNCTION("""COMPUTED_VALUE"""),"
Stk: 19035005352011
")</f>
        <v>
Stk: 19035005352011
</v>
      </c>
      <c r="L229" s="122" t="str">
        <f>IFERROR(__xludf.DUMMYFUNCTION("""COMPUTED_VALUE"""),"Nguyễn Tấn Hồi")</f>
        <v>Nguyễn Tấn Hồi</v>
      </c>
      <c r="M229" s="122" t="str">
        <f>IFERROR(__xludf.DUMMYFUNCTION("""COMPUTED_VALUE"""),"Techcombank
Chi nhánh Chợ lớn")</f>
        <v>Techcombank
Chi nhánh Chợ lớn</v>
      </c>
      <c r="N229" s="122" t="str">
        <f>IFERROR(__xludf.DUMMYFUNCTION("""COMPUTED_VALUE"""),"Khu phố 4, Hoà Vinh, Đông Hoà, Phú Yên")</f>
        <v>Khu phố 4, Hoà Vinh, Đông Hoà, Phú Yên</v>
      </c>
      <c r="O229" s="122"/>
      <c r="P229" s="123" t="str">
        <f>IFERROR(__xludf.DUMMYFUNCTION("""COMPUTED_VALUE"""),"Mến")</f>
        <v>Mến</v>
      </c>
      <c r="Q229" s="122"/>
      <c r="R229" s="122" t="str">
        <f>IFERROR(__xludf.DUMMYFUNCTION("""COMPUTED_VALUE"""),"INFHOI201")</f>
        <v>INFHOI201</v>
      </c>
      <c r="S229" s="124" t="str">
        <f>IFERROR(__xludf.DUMMYFUNCTION("""COMPUTED_VALUE"""),"https://yody.vn/?affcode=INFHOI201")</f>
        <v>https://yody.vn/?affcode=INFHOI201</v>
      </c>
    </row>
    <row r="230">
      <c r="A230" s="122" t="str">
        <f>IFERROR(__xludf.DUMMYFUNCTION("""COMPUTED_VALUE"""),"INFUYEN994")</f>
        <v>INFUYEN994</v>
      </c>
      <c r="B230" s="122" t="str">
        <f>IFERROR(__xludf.DUMMYFUNCTION("""COMPUTED_VALUE"""),"Hà Uyên")</f>
        <v>Hà Uyên</v>
      </c>
      <c r="C230" s="124" t="str">
        <f>IFERROR(__xludf.DUMMYFUNCTION("""COMPUTED_VALUE"""),"fb")</f>
        <v>fb</v>
      </c>
      <c r="D230" s="122"/>
      <c r="E230" s="122" t="str">
        <f>IFERROR(__xludf.DUMMYFUNCTION("""COMPUTED_VALUE"""),"100k")</f>
        <v>100k</v>
      </c>
      <c r="F230" s="122" t="str">
        <f>IFERROR(__xludf.DUMMYFUNCTION("""COMPUTED_VALUE"""),"Nguyễn Hà Uyên")</f>
        <v>Nguyễn Hà Uyên</v>
      </c>
      <c r="G230" s="126">
        <f>IFERROR(__xludf.DUMMYFUNCTION("""COMPUTED_VALUE"""),36100.0)</f>
        <v>36100</v>
      </c>
      <c r="H230" s="122" t="str">
        <f>IFERROR(__xludf.DUMMYFUNCTION("""COMPUTED_VALUE"""),"038198004597")</f>
        <v>038198004597</v>
      </c>
      <c r="I230" s="122" t="str">
        <f>IFERROR(__xludf.DUMMYFUNCTION("""COMPUTED_VALUE"""),"0929991994")</f>
        <v>0929991994</v>
      </c>
      <c r="J230" s="122" t="str">
        <f>IFERROR(__xludf.DUMMYFUNCTION("""COMPUTED_VALUE"""),"alinguyen2312@gmail.com")</f>
        <v>alinguyen2312@gmail.com</v>
      </c>
      <c r="K230" s="122" t="str">
        <f>IFERROR(__xludf.DUMMYFUNCTION("""COMPUTED_VALUE"""),"0491 000141617 ")</f>
        <v>0491 000141617 </v>
      </c>
      <c r="L230" s="122" t="str">
        <f>IFERROR(__xludf.DUMMYFUNCTION("""COMPUTED_VALUE"""),". Nguyễn Hà Uyên.")</f>
        <v>. Nguyễn Hà Uyên.</v>
      </c>
      <c r="M230" s="122" t="str">
        <f>IFERROR(__xludf.DUMMYFUNCTION("""COMPUTED_VALUE"""),"Vietcombank")</f>
        <v>Vietcombank</v>
      </c>
      <c r="N230" s="122" t="str">
        <f>IFERROR(__xludf.DUMMYFUNCTION("""COMPUTED_VALUE"""),"Toà S1-03 Chung cư Vinhome Smartcity , Tây Mỗ, HN")</f>
        <v>Toà S1-03 Chung cư Vinhome Smartcity , Tây Mỗ, HN</v>
      </c>
      <c r="O230" s="122"/>
      <c r="P230" s="123" t="str">
        <f>IFERROR(__xludf.DUMMYFUNCTION("""COMPUTED_VALUE"""),"Mến")</f>
        <v>Mến</v>
      </c>
      <c r="Q230" s="122"/>
      <c r="R230" s="122" t="str">
        <f>IFERROR(__xludf.DUMMYFUNCTION("""COMPUTED_VALUE"""),"INFUYEN994")</f>
        <v>INFUYEN994</v>
      </c>
      <c r="S230" s="124" t="str">
        <f>IFERROR(__xludf.DUMMYFUNCTION("""COMPUTED_VALUE"""),"https://yody.vn/?affcode=INFUYEN994")</f>
        <v>https://yody.vn/?affcode=INFUYEN994</v>
      </c>
    </row>
    <row r="231">
      <c r="A231" s="122" t="str">
        <f>IFERROR(__xludf.DUMMYFUNCTION("""COMPUTED_VALUE"""),"INFMINH376")</f>
        <v>INFMINH376</v>
      </c>
      <c r="B231" s="122" t="str">
        <f>IFERROR(__xludf.DUMMYFUNCTION("""COMPUTED_VALUE"""),"besam2403")</f>
        <v>besam2403</v>
      </c>
      <c r="C231" s="124" t="str">
        <f>IFERROR(__xludf.DUMMYFUNCTION("""COMPUTED_VALUE"""),"tiktok")</f>
        <v>tiktok</v>
      </c>
      <c r="D231" s="122" t="str">
        <f>IFERROR(__xludf.DUMMYFUNCTION("""COMPUTED_VALUE"""),"-")</f>
        <v>-</v>
      </c>
      <c r="E231" s="122" t="str">
        <f>IFERROR(__xludf.DUMMYFUNCTION("""COMPUTED_VALUE"""),"76k")</f>
        <v>76k</v>
      </c>
      <c r="F231" s="122" t="str">
        <f>IFERROR(__xludf.DUMMYFUNCTION("""COMPUTED_VALUE"""),"Võ Thị Thanh Minh")</f>
        <v>Võ Thị Thanh Minh</v>
      </c>
      <c r="G231" s="122" t="str">
        <f>IFERROR(__xludf.DUMMYFUNCTION("""COMPUTED_VALUE"""),"24/3/2000")</f>
        <v>24/3/2000</v>
      </c>
      <c r="H231" s="122">
        <f>IFERROR(__xludf.DUMMYFUNCTION("""COMPUTED_VALUE"""),2.01799659E8)</f>
        <v>201799659</v>
      </c>
      <c r="I231" s="122" t="str">
        <f>IFERROR(__xludf.DUMMYFUNCTION("""COMPUTED_VALUE"""),"0935168376")</f>
        <v>0935168376</v>
      </c>
      <c r="J231" s="122" t="str">
        <f>IFERROR(__xludf.DUMMYFUNCTION("""COMPUTED_VALUE"""),"sambedep@gmail.com")</f>
        <v>sambedep@gmail.com</v>
      </c>
      <c r="K231" s="122">
        <f>IFERROR(__xludf.DUMMYFUNCTION("""COMPUTED_VALUE"""),1.9037287081016E13)</f>
        <v>19037287081016</v>
      </c>
      <c r="L231" s="122"/>
      <c r="M231" s="122" t="str">
        <f>IFERROR(__xludf.DUMMYFUNCTION("""COMPUTED_VALUE""")," Techcombank ")</f>
        <v> Techcombank </v>
      </c>
      <c r="N231" s="122" t="str">
        <f>IFERROR(__xludf.DUMMYFUNCTION("""COMPUTED_VALUE"""),"Đường Nguyễn Mậu Kiến, phường Hoà Khánh Bắc, quận Liên Chiểu, Đà Nẵng")</f>
        <v>Đường Nguyễn Mậu Kiến, phường Hoà Khánh Bắc, quận Liên Chiểu, Đà Nẵng</v>
      </c>
      <c r="O231" s="122"/>
      <c r="P231" s="123" t="str">
        <f>IFERROR(__xludf.DUMMYFUNCTION("""COMPUTED_VALUE"""),"Mến")</f>
        <v>Mến</v>
      </c>
      <c r="Q231" s="122"/>
      <c r="R231" s="122" t="str">
        <f>IFERROR(__xludf.DUMMYFUNCTION("""COMPUTED_VALUE"""),"INFMINH376")</f>
        <v>INFMINH376</v>
      </c>
      <c r="S231" s="124" t="str">
        <f>IFERROR(__xludf.DUMMYFUNCTION("""COMPUTED_VALUE"""),"https://yody.vn/?affcode=INFMINH376")</f>
        <v>https://yody.vn/?affcode=INFMINH376</v>
      </c>
    </row>
    <row r="232">
      <c r="A232" s="122" t="str">
        <f>IFERROR(__xludf.DUMMYFUNCTION("""COMPUTED_VALUE"""),"INFUYEN921")</f>
        <v>INFUYEN921</v>
      </c>
      <c r="B232" s="122" t="str">
        <f>IFERROR(__xludf.DUMMYFUNCTION("""COMPUTED_VALUE"""),"Nguyễn Thị Uyên")</f>
        <v>Nguyễn Thị Uyên</v>
      </c>
      <c r="C232" s="124" t="str">
        <f>IFERROR(__xludf.DUMMYFUNCTION("""COMPUTED_VALUE"""),"fb")</f>
        <v>fb</v>
      </c>
      <c r="D232" s="122" t="str">
        <f>IFERROR(__xludf.DUMMYFUNCTION("""COMPUTED_VALUE"""),"-")</f>
        <v>-</v>
      </c>
      <c r="E232" s="122" t="str">
        <f>IFERROR(__xludf.DUMMYFUNCTION("""COMPUTED_VALUE"""),"30k")</f>
        <v>30k</v>
      </c>
      <c r="F232" s="122" t="str">
        <f>IFERROR(__xludf.DUMMYFUNCTION("""COMPUTED_VALUE"""),"Nguyễn Thị Uyên")</f>
        <v>Nguyễn Thị Uyên</v>
      </c>
      <c r="G232" s="125">
        <f>IFERROR(__xludf.DUMMYFUNCTION("""COMPUTED_VALUE"""),37023.0)</f>
        <v>37023</v>
      </c>
      <c r="H232" s="122">
        <f>IFERROR(__xludf.DUMMYFUNCTION("""COMPUTED_VALUE"""),1.87916198E8)</f>
        <v>187916198</v>
      </c>
      <c r="I232" s="122" t="str">
        <f>IFERROR(__xludf.DUMMYFUNCTION("""COMPUTED_VALUE"""),"0339607921")</f>
        <v>0339607921</v>
      </c>
      <c r="J232" s="122" t="str">
        <f>IFERROR(__xludf.DUMMYFUNCTION("""COMPUTED_VALUE"""),"nguyenuyenn01@gmail.com")</f>
        <v>nguyenuyenn01@gmail.com</v>
      </c>
      <c r="K232" s="122">
        <f>IFERROR(__xludf.DUMMYFUNCTION("""COMPUTED_VALUE"""),5.1110000710905E13)</f>
        <v>51110000710905</v>
      </c>
      <c r="L232" s="122" t="str">
        <f>IFERROR(__xludf.DUMMYFUNCTION("""COMPUTED_VALUE""")," NGUYEN THI UYEN ")</f>
        <v> NGUYEN THI UYEN </v>
      </c>
      <c r="M232" s="122" t="str">
        <f>IFERROR(__xludf.DUMMYFUNCTION("""COMPUTED_VALUE"""),"BIDV")</f>
        <v>BIDV</v>
      </c>
      <c r="N232" s="122" t="str">
        <f>IFERROR(__xludf.DUMMYFUNCTION("""COMPUTED_VALUE"""),"Thanh Đức - Thanh Chương  Nghệ An")</f>
        <v>Thanh Đức - Thanh Chương  Nghệ An</v>
      </c>
      <c r="O232" s="122"/>
      <c r="P232" s="123" t="str">
        <f>IFERROR(__xludf.DUMMYFUNCTION("""COMPUTED_VALUE"""),"Mến")</f>
        <v>Mến</v>
      </c>
      <c r="Q232" s="122"/>
      <c r="R232" s="122" t="str">
        <f>IFERROR(__xludf.DUMMYFUNCTION("""COMPUTED_VALUE"""),"INFUYEN921")</f>
        <v>INFUYEN921</v>
      </c>
      <c r="S232" s="124" t="str">
        <f>IFERROR(__xludf.DUMMYFUNCTION("""COMPUTED_VALUE"""),"https://yody.vn/?affcode=INFUYEN921")</f>
        <v>https://yody.vn/?affcode=INFUYEN921</v>
      </c>
    </row>
    <row r="233">
      <c r="A233" s="122" t="str">
        <f>IFERROR(__xludf.DUMMYFUNCTION("""COMPUTED_VALUE"""),"INFMY178")</f>
        <v>INFMY178</v>
      </c>
      <c r="B233" s="122" t="str">
        <f>IFERROR(__xludf.DUMMYFUNCTION("""COMPUTED_VALUE"""),"Tran MyMy")</f>
        <v>Tran MyMy</v>
      </c>
      <c r="C233" s="124" t="str">
        <f>IFERROR(__xludf.DUMMYFUNCTION("""COMPUTED_VALUE"""),"fb")</f>
        <v>fb</v>
      </c>
      <c r="D233" s="122" t="str">
        <f>IFERROR(__xludf.DUMMYFUNCTION("""COMPUTED_VALUE"""),"-")</f>
        <v>-</v>
      </c>
      <c r="E233" s="122" t="str">
        <f>IFERROR(__xludf.DUMMYFUNCTION("""COMPUTED_VALUE"""),"51k")</f>
        <v>51k</v>
      </c>
      <c r="F233" s="122" t="str">
        <f>IFERROR(__xludf.DUMMYFUNCTION("""COMPUTED_VALUE"""),"Trần Thị Diễm My")</f>
        <v>Trần Thị Diễm My</v>
      </c>
      <c r="G233" s="126">
        <f>IFERROR(__xludf.DUMMYFUNCTION("""COMPUTED_VALUE"""),34060.0)</f>
        <v>34060</v>
      </c>
      <c r="H233" s="122">
        <f>IFERROR(__xludf.DUMMYFUNCTION("""COMPUTED_VALUE"""),7.9193010188E10)</f>
        <v>79193010188</v>
      </c>
      <c r="I233" s="122" t="str">
        <f>IFERROR(__xludf.DUMMYFUNCTION("""COMPUTED_VALUE"""),"0944944178")</f>
        <v>0944944178</v>
      </c>
      <c r="J233" s="122" t="str">
        <f>IFERROR(__xludf.DUMMYFUNCTION("""COMPUTED_VALUE"""),"mymy.vaa@gmail.com")</f>
        <v>mymy.vaa@gmail.com</v>
      </c>
      <c r="K233" s="122" t="str">
        <f>IFERROR(__xludf.DUMMYFUNCTION("""COMPUTED_VALUE"""),"0331000486087
")</f>
        <v>0331000486087
</v>
      </c>
      <c r="L233" s="122" t="str">
        <f>IFERROR(__xludf.DUMMYFUNCTION("""COMPUTED_VALUE"""),"Trần Thị Diễm My")</f>
        <v>Trần Thị Diễm My</v>
      </c>
      <c r="M233" s="122" t="str">
        <f>IFERROR(__xludf.DUMMYFUNCTION("""COMPUTED_VALUE"""),"Vietcombank")</f>
        <v>Vietcombank</v>
      </c>
      <c r="N233" s="122" t="str">
        <f>IFERROR(__xludf.DUMMYFUNCTION("""COMPUTED_VALUE"""),"28A Hoàng Kế Viêm p12 q.tân bình")</f>
        <v>28A Hoàng Kế Viêm p12 q.tân bình</v>
      </c>
      <c r="O233" s="122"/>
      <c r="P233" s="123" t="str">
        <f>IFERROR(__xludf.DUMMYFUNCTION("""COMPUTED_VALUE"""),"Mến")</f>
        <v>Mến</v>
      </c>
      <c r="Q233" s="122"/>
      <c r="R233" s="122" t="str">
        <f>IFERROR(__xludf.DUMMYFUNCTION("""COMPUTED_VALUE"""),"INFMY178")</f>
        <v>INFMY178</v>
      </c>
      <c r="S233" s="124" t="str">
        <f>IFERROR(__xludf.DUMMYFUNCTION("""COMPUTED_VALUE"""),"https://yody.vn/?affcode=INFMY178")</f>
        <v>https://yody.vn/?affcode=INFMY178</v>
      </c>
    </row>
    <row r="234">
      <c r="A234" s="122" t="str">
        <f>IFERROR(__xludf.DUMMYFUNCTION("""COMPUTED_VALUE"""),"INFCAM836")</f>
        <v>INFCAM836</v>
      </c>
      <c r="B234" s="122" t="str">
        <f>IFERROR(__xludf.DUMMYFUNCTION("""COMPUTED_VALUE"""),"Trương Châu Ngọc Cẩm")</f>
        <v>Trương Châu Ngọc Cẩm</v>
      </c>
      <c r="C234" s="124" t="str">
        <f>IFERROR(__xludf.DUMMYFUNCTION("""COMPUTED_VALUE"""),"fb")</f>
        <v>fb</v>
      </c>
      <c r="D234" s="122" t="str">
        <f>IFERROR(__xludf.DUMMYFUNCTION("""COMPUTED_VALUE"""),"-")</f>
        <v>-</v>
      </c>
      <c r="E234" s="122" t="str">
        <f>IFERROR(__xludf.DUMMYFUNCTION("""COMPUTED_VALUE"""),"51k")</f>
        <v>51k</v>
      </c>
      <c r="F234" s="122" t="str">
        <f>IFERROR(__xludf.DUMMYFUNCTION("""COMPUTED_VALUE"""),"Trương Châu Ngọc Cẩm")</f>
        <v>Trương Châu Ngọc Cẩm</v>
      </c>
      <c r="G234" s="122" t="str">
        <f>IFERROR(__xludf.DUMMYFUNCTION("""COMPUTED_VALUE"""),"13/11/2001")</f>
        <v>13/11/2001</v>
      </c>
      <c r="H234" s="122">
        <f>IFERROR(__xludf.DUMMYFUNCTION("""COMPUTED_VALUE"""),2.15531166E8)</f>
        <v>215531166</v>
      </c>
      <c r="I234" s="122" t="str">
        <f>IFERROR(__xludf.DUMMYFUNCTION("""COMPUTED_VALUE"""),"0935678836")</f>
        <v>0935678836</v>
      </c>
      <c r="J234" s="122" t="str">
        <f>IFERROR(__xludf.DUMMYFUNCTION("""COMPUTED_VALUE"""),"ngoccamtruongchau1211@gmail.com")</f>
        <v>ngoccamtruongchau1211@gmail.com</v>
      </c>
      <c r="K234" s="122">
        <f>IFERROR(__xludf.DUMMYFUNCTION("""COMPUTED_VALUE"""),5.8010001297812E13)</f>
        <v>58010001297812</v>
      </c>
      <c r="L234" s="122" t="str">
        <f>IFERROR(__xludf.DUMMYFUNCTION("""COMPUTED_VALUE""")," - TRUONG CHAU NGOC CAM -  - TRUONG CHAU NGOC CAM - ")</f>
        <v> - TRUONG CHAU NGOC CAM -  - TRUONG CHAU NGOC CAM - </v>
      </c>
      <c r="M234" s="122" t="str">
        <f>IFERROR(__xludf.DUMMYFUNCTION("""COMPUTED_VALUE"""),"BIDV")</f>
        <v>BIDV</v>
      </c>
      <c r="N234" s="122" t="str">
        <f>IFERROR(__xludf.DUMMYFUNCTION("""COMPUTED_VALUE"""),"10 lê văn hưng, quy nhơn, bình định")</f>
        <v>10 lê văn hưng, quy nhơn, bình định</v>
      </c>
      <c r="O234" s="122"/>
      <c r="P234" s="123" t="str">
        <f>IFERROR(__xludf.DUMMYFUNCTION("""COMPUTED_VALUE"""),"Mến")</f>
        <v>Mến</v>
      </c>
      <c r="Q234" s="122"/>
      <c r="R234" s="122" t="str">
        <f>IFERROR(__xludf.DUMMYFUNCTION("""COMPUTED_VALUE"""),"INFCAM836")</f>
        <v>INFCAM836</v>
      </c>
      <c r="S234" s="124" t="str">
        <f>IFERROR(__xludf.DUMMYFUNCTION("""COMPUTED_VALUE"""),"https://yody.vn/?affcode=INFCAM836")</f>
        <v>https://yody.vn/?affcode=INFCAM836</v>
      </c>
    </row>
    <row r="235">
      <c r="A235" s="122" t="str">
        <f>IFERROR(__xludf.DUMMYFUNCTION("""COMPUTED_VALUE"""),"INFHUYEN233")</f>
        <v>INFHUYEN233</v>
      </c>
      <c r="B235" s="122" t="str">
        <f>IFERROR(__xludf.DUMMYFUNCTION("""COMPUTED_VALUE"""),"Trần Diệp Thảo Huyền")</f>
        <v>Trần Diệp Thảo Huyền</v>
      </c>
      <c r="C235" s="124" t="str">
        <f>IFERROR(__xludf.DUMMYFUNCTION("""COMPUTED_VALUE"""),"fb")</f>
        <v>fb</v>
      </c>
      <c r="D235" s="122"/>
      <c r="E235" s="122" t="str">
        <f>IFERROR(__xludf.DUMMYFUNCTION("""COMPUTED_VALUE"""),"109k")</f>
        <v>109k</v>
      </c>
      <c r="F235" s="122" t="str">
        <f>IFERROR(__xludf.DUMMYFUNCTION("""COMPUTED_VALUE"""),"Trần Diệp Thảo Huyền")</f>
        <v>Trần Diệp Thảo Huyền</v>
      </c>
      <c r="G235" s="126">
        <f>IFERROR(__xludf.DUMMYFUNCTION("""COMPUTED_VALUE"""),34130.0)</f>
        <v>34130</v>
      </c>
      <c r="H235" s="122" t="str">
        <f>IFERROR(__xludf.DUMMYFUNCTION("""COMPUTED_VALUE"""),"025389867")</f>
        <v>025389867</v>
      </c>
      <c r="I235" s="122" t="str">
        <f>IFERROR(__xludf.DUMMYFUNCTION("""COMPUTED_VALUE"""),"0934146233")</f>
        <v>0934146233</v>
      </c>
      <c r="J235" s="122" t="str">
        <f>IFERROR(__xludf.DUMMYFUNCTION("""COMPUTED_VALUE"""),"thaohuyen610@gmail.com")</f>
        <v>thaohuyen610@gmail.com</v>
      </c>
      <c r="K235" s="122">
        <f>IFERROR(__xludf.DUMMYFUNCTION("""COMPUTED_VALUE"""),1.9035143420018E13)</f>
        <v>19035143420018</v>
      </c>
      <c r="L235" s="122" t="str">
        <f>IFERROR(__xludf.DUMMYFUNCTION("""COMPUTED_VALUE"""),"Trần Diệp Thảo Huyền")</f>
        <v>Trần Diệp Thảo Huyền</v>
      </c>
      <c r="M235" s="122" t="str">
        <f>IFERROR(__xludf.DUMMYFUNCTION("""COMPUTED_VALUE"""),"Techcombank CN Gia Định")</f>
        <v>Techcombank CN Gia Định</v>
      </c>
      <c r="N235" s="122" t="str">
        <f>IFERROR(__xludf.DUMMYFUNCTION("""COMPUTED_VALUE"""),"3 Nguyễn Lương Bằng, Q7")</f>
        <v>3 Nguyễn Lương Bằng, Q7</v>
      </c>
      <c r="O235" s="122" t="str">
        <f>IFERROR(__xludf.DUMMYFUNCTION("""COMPUTED_VALUE"""),"Trâm")</f>
        <v>Trâm</v>
      </c>
      <c r="P235" s="123" t="str">
        <f>IFERROR(__xludf.DUMMYFUNCTION("""COMPUTED_VALUE"""),"Trâm")</f>
        <v>Trâm</v>
      </c>
      <c r="Q235" s="122"/>
      <c r="R235" s="122" t="str">
        <f>IFERROR(__xludf.DUMMYFUNCTION("""COMPUTED_VALUE"""),"INFHUYEN233")</f>
        <v>INFHUYEN233</v>
      </c>
      <c r="S235" s="124" t="str">
        <f>IFERROR(__xludf.DUMMYFUNCTION("""COMPUTED_VALUE"""),"http://yody.vn?affcode=INFHUYEN233")</f>
        <v>http://yody.vn?affcode=INFHUYEN233</v>
      </c>
    </row>
    <row r="236">
      <c r="A236" s="122" t="str">
        <f>IFERROR(__xludf.DUMMYFUNCTION("""COMPUTED_VALUE"""),"INFKHOA988")</f>
        <v>INFKHOA988</v>
      </c>
      <c r="B236" s="122" t="str">
        <f>IFERROR(__xludf.DUMMYFUNCTION("""COMPUTED_VALUE"""),"Nguyễn Đăng Khoa")</f>
        <v>Nguyễn Đăng Khoa</v>
      </c>
      <c r="C236" s="124" t="str">
        <f>IFERROR(__xludf.DUMMYFUNCTION("""COMPUTED_VALUE"""),"fb")</f>
        <v>fb</v>
      </c>
      <c r="D236" s="122"/>
      <c r="E236" s="122" t="str">
        <f>IFERROR(__xludf.DUMMYFUNCTION("""COMPUTED_VALUE"""),"120k")</f>
        <v>120k</v>
      </c>
      <c r="F236" s="122" t="str">
        <f>IFERROR(__xludf.DUMMYFUNCTION("""COMPUTED_VALUE"""),"Nguyễn Đăng Khoa")</f>
        <v>Nguyễn Đăng Khoa</v>
      </c>
      <c r="G236" s="122" t="str">
        <f>IFERROR(__xludf.DUMMYFUNCTION("""COMPUTED_VALUE"""),"16/09/1993")</f>
        <v>16/09/1993</v>
      </c>
      <c r="H236" s="122" t="str">
        <f>IFERROR(__xludf.DUMMYFUNCTION("""COMPUTED_VALUE"""),"091093000234")</f>
        <v>091093000234</v>
      </c>
      <c r="I236" s="122" t="str">
        <f>IFERROR(__xludf.DUMMYFUNCTION("""COMPUTED_VALUE"""),"0979853988")</f>
        <v>0979853988</v>
      </c>
      <c r="J236" s="122" t="str">
        <f>IFERROR(__xludf.DUMMYFUNCTION("""COMPUTED_VALUE"""),"dangkhoa1693@gmail.com")</f>
        <v>dangkhoa1693@gmail.com</v>
      </c>
      <c r="K236" s="122">
        <f>IFERROR(__xludf.DUMMYFUNCTION("""COMPUTED_VALUE"""),5.31002543289E11)</f>
        <v>531002543289</v>
      </c>
      <c r="L236" s="122"/>
      <c r="M236" s="122" t="str">
        <f>IFERROR(__xludf.DUMMYFUNCTION("""COMPUTED_VALUE"""),"Vietcombank")</f>
        <v>Vietcombank</v>
      </c>
      <c r="N236" s="122" t="str">
        <f>IFERROR(__xludf.DUMMYFUNCTION("""COMPUTED_VALUE"""),"phân khu 12 nguyễn hữu thọ, xã phước kiển, nhà bè. ( chung cư The park resedence")</f>
        <v>phân khu 12 nguyễn hữu thọ, xã phước kiển, nhà bè. ( chung cư The park resedence</v>
      </c>
      <c r="O236" s="122" t="str">
        <f>IFERROR(__xludf.DUMMYFUNCTION("""COMPUTED_VALUE"""),"Trâm")</f>
        <v>Trâm</v>
      </c>
      <c r="P236" s="123" t="str">
        <f>IFERROR(__xludf.DUMMYFUNCTION("""COMPUTED_VALUE"""),"Trâm")</f>
        <v>Trâm</v>
      </c>
      <c r="Q236" s="122"/>
      <c r="R236" s="122" t="str">
        <f>IFERROR(__xludf.DUMMYFUNCTION("""COMPUTED_VALUE"""),"INFKHOA988")</f>
        <v>INFKHOA988</v>
      </c>
      <c r="S236" s="124" t="str">
        <f>IFERROR(__xludf.DUMMYFUNCTION("""COMPUTED_VALUE"""),"http://yody.vn?affcode=INFKHOA988")</f>
        <v>http://yody.vn?affcode=INFKHOA988</v>
      </c>
    </row>
    <row r="237">
      <c r="A237" s="122" t="str">
        <f>IFERROR(__xludf.DUMMYFUNCTION("""COMPUTED_VALUE"""),"INFPHUNG101")</f>
        <v>INFPHUNG101</v>
      </c>
      <c r="B237" s="122" t="str">
        <f>IFERROR(__xludf.DUMMYFUNCTION("""COMPUTED_VALUE"""),"Nguyễn Kim Phụng")</f>
        <v>Nguyễn Kim Phụng</v>
      </c>
      <c r="C237" s="124" t="str">
        <f>IFERROR(__xludf.DUMMYFUNCTION("""COMPUTED_VALUE"""),"fb")</f>
        <v>fb</v>
      </c>
      <c r="D237" s="122"/>
      <c r="E237" s="122" t="str">
        <f>IFERROR(__xludf.DUMMYFUNCTION("""COMPUTED_VALUE"""),"304k")</f>
        <v>304k</v>
      </c>
      <c r="F237" s="122" t="str">
        <f>IFERROR(__xludf.DUMMYFUNCTION("""COMPUTED_VALUE"""),"Nguyễn Kim Phụng")</f>
        <v>Nguyễn Kim Phụng</v>
      </c>
      <c r="G237" s="122" t="str">
        <f>IFERROR(__xludf.DUMMYFUNCTION("""COMPUTED_VALUE"""),"21/01/1993")</f>
        <v>21/01/1993</v>
      </c>
      <c r="H237" s="122">
        <f>IFERROR(__xludf.DUMMYFUNCTION("""COMPUTED_VALUE"""),2.72183284E8)</f>
        <v>272183284</v>
      </c>
      <c r="I237" s="122" t="str">
        <f>IFERROR(__xludf.DUMMYFUNCTION("""COMPUTED_VALUE"""),"0938362101")</f>
        <v>0938362101</v>
      </c>
      <c r="J237" s="122" t="str">
        <f>IFERROR(__xludf.DUMMYFUNCTION("""COMPUTED_VALUE"""),"Miunguyen2111@gmail.com")</f>
        <v>Miunguyen2111@gmail.com</v>
      </c>
      <c r="K237" s="122">
        <f>IFERROR(__xludf.DUMMYFUNCTION("""COMPUTED_VALUE"""),5.31002543291E11)</f>
        <v>531002543291</v>
      </c>
      <c r="L237" s="122"/>
      <c r="M237" s="122" t="str">
        <f>IFERROR(__xludf.DUMMYFUNCTION("""COMPUTED_VALUE"""),"Vietcombank Chi nhánh sài gòn")</f>
        <v>Vietcombank Chi nhánh sài gòn</v>
      </c>
      <c r="N237" s="122" t="str">
        <f>IFERROR(__xludf.DUMMYFUNCTION("""COMPUTED_VALUE"""),"Chung cư The Park Residence ,12 Nguyễn Hữu Thọ, Phước Kiển, Nhà Bè ,thành phố Hồ Chí Minh ")</f>
        <v>Chung cư The Park Residence ,12 Nguyễn Hữu Thọ, Phước Kiển, Nhà Bè ,thành phố Hồ Chí Minh </v>
      </c>
      <c r="O237" s="122" t="str">
        <f>IFERROR(__xludf.DUMMYFUNCTION("""COMPUTED_VALUE"""),"Trâm")</f>
        <v>Trâm</v>
      </c>
      <c r="P237" s="123" t="str">
        <f>IFERROR(__xludf.DUMMYFUNCTION("""COMPUTED_VALUE"""),"Trâm")</f>
        <v>Trâm</v>
      </c>
      <c r="Q237" s="122"/>
      <c r="R237" s="122" t="str">
        <f>IFERROR(__xludf.DUMMYFUNCTION("""COMPUTED_VALUE"""),"INFPHUNG101")</f>
        <v>INFPHUNG101</v>
      </c>
      <c r="S237" s="124" t="str">
        <f>IFERROR(__xludf.DUMMYFUNCTION("""COMPUTED_VALUE"""),"http://yody.vn?affcode=INFPHUNG101")</f>
        <v>http://yody.vn?affcode=INFPHUNG101</v>
      </c>
    </row>
    <row r="238">
      <c r="A238" s="122" t="str">
        <f>IFERROR(__xludf.DUMMYFUNCTION("""COMPUTED_VALUE"""),"INFHANG864")</f>
        <v>INFHANG864</v>
      </c>
      <c r="B238" s="122" t="str">
        <f>IFERROR(__xludf.DUMMYFUNCTION("""COMPUTED_VALUE"""),"Nguyễn Thị Hằng")</f>
        <v>Nguyễn Thị Hằng</v>
      </c>
      <c r="C238" s="124" t="str">
        <f>IFERROR(__xludf.DUMMYFUNCTION("""COMPUTED_VALUE"""),"fb")</f>
        <v>fb</v>
      </c>
      <c r="D238" s="122"/>
      <c r="E238" s="122" t="str">
        <f>IFERROR(__xludf.DUMMYFUNCTION("""COMPUTED_VALUE"""),"125k")</f>
        <v>125k</v>
      </c>
      <c r="F238" s="122" t="str">
        <f>IFERROR(__xludf.DUMMYFUNCTION("""COMPUTED_VALUE"""),"Nguyễn Thị Hằng")</f>
        <v>Nguyễn Thị Hằng</v>
      </c>
      <c r="G238" s="125">
        <f>IFERROR(__xludf.DUMMYFUNCTION("""COMPUTED_VALUE"""),36287.0)</f>
        <v>36287</v>
      </c>
      <c r="H238" s="122">
        <f>IFERROR(__xludf.DUMMYFUNCTION("""COMPUTED_VALUE"""),2.51171625E8)</f>
        <v>251171625</v>
      </c>
      <c r="I238" s="122" t="str">
        <f>IFERROR(__xludf.DUMMYFUNCTION("""COMPUTED_VALUE"""),"0392878864 ")</f>
        <v>0392878864 </v>
      </c>
      <c r="J238" s="122" t="str">
        <f>IFERROR(__xludf.DUMMYFUNCTION("""COMPUTED_VALUE"""),"nguyenhamy5799@gmail.com")</f>
        <v>nguyenhamy5799@gmail.com</v>
      </c>
      <c r="K238" s="122">
        <f>IFERROR(__xludf.DUMMYFUNCTION("""COMPUTED_VALUE"""),7.030104575007E12)</f>
        <v>7030104575007</v>
      </c>
      <c r="L238" s="122"/>
      <c r="M238" s="122" t="str">
        <f>IFERROR(__xludf.DUMMYFUNCTION("""COMPUTED_VALUE"""),"ngân hàng quân đội Mb chi nhánh lê đại hành ")</f>
        <v>ngân hàng quân đội Mb chi nhánh lê đại hành </v>
      </c>
      <c r="N238" s="122" t="str">
        <f>IFERROR(__xludf.DUMMYFUNCTION("""COMPUTED_VALUE"""),"114 An dương vương p16 q8 hcm ")</f>
        <v>114 An dương vương p16 q8 hcm </v>
      </c>
      <c r="O238" s="122" t="str">
        <f>IFERROR(__xludf.DUMMYFUNCTION("""COMPUTED_VALUE"""),"Trâm")</f>
        <v>Trâm</v>
      </c>
      <c r="P238" s="123" t="str">
        <f>IFERROR(__xludf.DUMMYFUNCTION("""COMPUTED_VALUE"""),"Trâm")</f>
        <v>Trâm</v>
      </c>
      <c r="Q238" s="122"/>
      <c r="R238" s="122" t="str">
        <f>IFERROR(__xludf.DUMMYFUNCTION("""COMPUTED_VALUE"""),"INFHANG864")</f>
        <v>INFHANG864</v>
      </c>
      <c r="S238" s="124" t="str">
        <f>IFERROR(__xludf.DUMMYFUNCTION("""COMPUTED_VALUE"""),"http://yody.vn?affcode=INFHANG864")</f>
        <v>http://yody.vn?affcode=INFHANG864</v>
      </c>
    </row>
    <row r="239">
      <c r="A239" s="122" t="str">
        <f>IFERROR(__xludf.DUMMYFUNCTION("""COMPUTED_VALUE"""),"INFHOAN224")</f>
        <v>INFHOAN224</v>
      </c>
      <c r="B239" s="122" t="str">
        <f>IFERROR(__xludf.DUMMYFUNCTION("""COMPUTED_VALUE"""),"Trần Thị Hoàn")</f>
        <v>Trần Thị Hoàn</v>
      </c>
      <c r="C239" s="124" t="str">
        <f>IFERROR(__xludf.DUMMYFUNCTION("""COMPUTED_VALUE"""),"fb")</f>
        <v>fb</v>
      </c>
      <c r="D239" s="122"/>
      <c r="E239" s="122" t="str">
        <f>IFERROR(__xludf.DUMMYFUNCTION("""COMPUTED_VALUE"""),"81k")</f>
        <v>81k</v>
      </c>
      <c r="F239" s="122" t="str">
        <f>IFERROR(__xludf.DUMMYFUNCTION("""COMPUTED_VALUE"""),"Trần Thị Hoàn")</f>
        <v>Trần Thị Hoàn</v>
      </c>
      <c r="G239" s="122" t="str">
        <f>IFERROR(__xludf.DUMMYFUNCTION("""COMPUTED_VALUE"""),"15/12/1996")</f>
        <v>15/12/1996</v>
      </c>
      <c r="H239" s="122">
        <f>IFERROR(__xludf.DUMMYFUNCTION("""COMPUTED_VALUE"""),2.85495563E8)</f>
        <v>285495563</v>
      </c>
      <c r="I239" s="122">
        <f>IFERROR(__xludf.DUMMYFUNCTION("""COMPUTED_VALUE"""),9.61058224E8)</f>
        <v>961058224</v>
      </c>
      <c r="J239" s="122" t="str">
        <f>IFERROR(__xludf.DUMMYFUNCTION("""COMPUTED_VALUE"""),"Hayi.tran9698@gmail.com")</f>
        <v>Hayi.tran9698@gmail.com</v>
      </c>
      <c r="K239" s="122">
        <f>IFERROR(__xludf.DUMMYFUNCTION("""COMPUTED_VALUE"""),1.9033440577012E13)</f>
        <v>19033440577012</v>
      </c>
      <c r="L239" s="122" t="str">
        <f>IFERROR(__xludf.DUMMYFUNCTION("""COMPUTED_VALUE"""),"Trần Thị Hoàn")</f>
        <v>Trần Thị Hoàn</v>
      </c>
      <c r="M239" s="122" t="str">
        <f>IFERROR(__xludf.DUMMYFUNCTION("""COMPUTED_VALUE"""),"Techcombank chi nhánh Tân Bình")</f>
        <v>Techcombank chi nhánh Tân Bình</v>
      </c>
      <c r="N239" s="122" t="str">
        <f>IFERROR(__xludf.DUMMYFUNCTION("""COMPUTED_VALUE"""),"13 Giải Phóng p4 Tân Bình")</f>
        <v>13 Giải Phóng p4 Tân Bình</v>
      </c>
      <c r="O239" s="122" t="str">
        <f>IFERROR(__xludf.DUMMYFUNCTION("""COMPUTED_VALUE"""),"Trâm")</f>
        <v>Trâm</v>
      </c>
      <c r="P239" s="123" t="str">
        <f>IFERROR(__xludf.DUMMYFUNCTION("""COMPUTED_VALUE"""),"Trâm")</f>
        <v>Trâm</v>
      </c>
      <c r="Q239" s="122"/>
      <c r="R239" s="122" t="str">
        <f>IFERROR(__xludf.DUMMYFUNCTION("""COMPUTED_VALUE"""),"INFHOAN224")</f>
        <v>INFHOAN224</v>
      </c>
      <c r="S239" s="124" t="str">
        <f>IFERROR(__xludf.DUMMYFUNCTION("""COMPUTED_VALUE"""),"http://yody.vn?affcode=INFHOAN224")</f>
        <v>http://yody.vn?affcode=INFHOAN224</v>
      </c>
    </row>
    <row r="240">
      <c r="A240" s="122" t="str">
        <f>IFERROR(__xludf.DUMMYFUNCTION("""COMPUTED_VALUE"""),"INFPHONG820")</f>
        <v>INFPHONG820</v>
      </c>
      <c r="B240" s="122" t="str">
        <f>IFERROR(__xludf.DUMMYFUNCTION("""COMPUTED_VALUE"""),"Dương Chí Phong")</f>
        <v>Dương Chí Phong</v>
      </c>
      <c r="C240" s="124" t="str">
        <f>IFERROR(__xludf.DUMMYFUNCTION("""COMPUTED_VALUE"""),"fb")</f>
        <v>fb</v>
      </c>
      <c r="D240" s="122"/>
      <c r="E240" s="122" t="str">
        <f>IFERROR(__xludf.DUMMYFUNCTION("""COMPUTED_VALUE"""),"112k")</f>
        <v>112k</v>
      </c>
      <c r="F240" s="122" t="str">
        <f>IFERROR(__xludf.DUMMYFUNCTION("""COMPUTED_VALUE"""),"Dương Chí Phong")</f>
        <v>Dương Chí Phong</v>
      </c>
      <c r="G240" s="122" t="str">
        <f>IFERROR(__xludf.DUMMYFUNCTION("""COMPUTED_VALUE"""),"15/04/1999")</f>
        <v>15/04/1999</v>
      </c>
      <c r="H240" s="122" t="str">
        <f>IFERROR(__xludf.DUMMYFUNCTION("""COMPUTED_VALUE"""),"079099012530")</f>
        <v>079099012530</v>
      </c>
      <c r="I240" s="122" t="str">
        <f>IFERROR(__xludf.DUMMYFUNCTION("""COMPUTED_VALUE""")," 0938470820")</f>
        <v> 0938470820</v>
      </c>
      <c r="J240" s="122" t="str">
        <f>IFERROR(__xludf.DUMMYFUNCTION("""COMPUTED_VALUE"""),"phonggduongg15@gmail.com")</f>
        <v>phonggduongg15@gmail.com</v>
      </c>
      <c r="K240" s="122">
        <f>IFERROR(__xludf.DUMMYFUNCTION("""COMPUTED_VALUE"""),1.903604853401E13)</f>
        <v>19036048534010</v>
      </c>
      <c r="L240" s="122"/>
      <c r="M240" s="122" t="str">
        <f>IFERROR(__xludf.DUMMYFUNCTION("""COMPUTED_VALUE"""),"techcombank ")</f>
        <v>techcombank </v>
      </c>
      <c r="N240" s="122" t="str">
        <f>IFERROR(__xludf.DUMMYFUNCTION("""COMPUTED_VALUE"""),"104/13a trịnh đình trọng , Tân phú, Tphcm")</f>
        <v>104/13a trịnh đình trọng , Tân phú, Tphcm</v>
      </c>
      <c r="O240" s="122" t="str">
        <f>IFERROR(__xludf.DUMMYFUNCTION("""COMPUTED_VALUE"""),"Trâm")</f>
        <v>Trâm</v>
      </c>
      <c r="P240" s="123" t="str">
        <f>IFERROR(__xludf.DUMMYFUNCTION("""COMPUTED_VALUE"""),"Trâm")</f>
        <v>Trâm</v>
      </c>
      <c r="Q240" s="122"/>
      <c r="R240" s="122" t="str">
        <f>IFERROR(__xludf.DUMMYFUNCTION("""COMPUTED_VALUE"""),"INFPHONG820")</f>
        <v>INFPHONG820</v>
      </c>
      <c r="S240" s="124" t="str">
        <f>IFERROR(__xludf.DUMMYFUNCTION("""COMPUTED_VALUE"""),"http://yody.vn?affcode=INFPHONG820")</f>
        <v>http://yody.vn?affcode=INFPHONG820</v>
      </c>
    </row>
    <row r="241">
      <c r="A241" s="122" t="str">
        <f>IFERROR(__xludf.DUMMYFUNCTION("""COMPUTED_VALUE"""),"INFQUAN471")</f>
        <v>INFQUAN471</v>
      </c>
      <c r="B241" s="122" t="str">
        <f>IFERROR(__xludf.DUMMYFUNCTION("""COMPUTED_VALUE"""),"Nguyễn Hồng Quân")</f>
        <v>Nguyễn Hồng Quân</v>
      </c>
      <c r="C241" s="124" t="str">
        <f>IFERROR(__xludf.DUMMYFUNCTION("""COMPUTED_VALUE"""),"fb")</f>
        <v>fb</v>
      </c>
      <c r="D241" s="122"/>
      <c r="E241" s="122" t="str">
        <f>IFERROR(__xludf.DUMMYFUNCTION("""COMPUTED_VALUE"""),"63k")</f>
        <v>63k</v>
      </c>
      <c r="F241" s="122" t="str">
        <f>IFERROR(__xludf.DUMMYFUNCTION("""COMPUTED_VALUE"""),"Nguyễn Hồng Quân")</f>
        <v>Nguyễn Hồng Quân</v>
      </c>
      <c r="G241" s="122" t="str">
        <f>IFERROR(__xludf.DUMMYFUNCTION("""COMPUTED_VALUE"""),"18/10/1998")</f>
        <v>18/10/1998</v>
      </c>
      <c r="H241" s="122" t="str">
        <f>IFERROR(__xludf.DUMMYFUNCTION("""COMPUTED_VALUE"""),"013550460")</f>
        <v>013550460</v>
      </c>
      <c r="I241" s="122" t="str">
        <f>IFERROR(__xludf.DUMMYFUNCTION("""COMPUTED_VALUE"""),"0973010471")</f>
        <v>0973010471</v>
      </c>
      <c r="J241" s="122" t="str">
        <f>IFERROR(__xludf.DUMMYFUNCTION("""COMPUTED_VALUE""")," hongquan1318@gmail.com")</f>
        <v> hongquan1318@gmail.com</v>
      </c>
      <c r="K241" s="122">
        <f>IFERROR(__xludf.DUMMYFUNCTION("""COMPUTED_VALUE"""),1.9036717021016E13)</f>
        <v>19036717021016</v>
      </c>
      <c r="L241" s="122" t="str">
        <f>IFERROR(__xludf.DUMMYFUNCTION("""COMPUTED_VALUE"""),"Nguyễn Hồng Quân")</f>
        <v>Nguyễn Hồng Quân</v>
      </c>
      <c r="M241" s="122" t="str">
        <f>IFERROR(__xludf.DUMMYFUNCTION("""COMPUTED_VALUE"""),"Techcombank ")</f>
        <v>Techcombank </v>
      </c>
      <c r="N241" s="122" t="str">
        <f>IFERROR(__xludf.DUMMYFUNCTION("""COMPUTED_VALUE"""),"Số 37 Ngõ Hộ , Xóm Đồng A , Xã Tứ Hiệp, Huyện Thanh Trì , Hà Nội")</f>
        <v>Số 37 Ngõ Hộ , Xóm Đồng A , Xã Tứ Hiệp, Huyện Thanh Trì , Hà Nội</v>
      </c>
      <c r="O241" s="122" t="str">
        <f>IFERROR(__xludf.DUMMYFUNCTION("""COMPUTED_VALUE"""),"Trâm")</f>
        <v>Trâm</v>
      </c>
      <c r="P241" s="123" t="str">
        <f>IFERROR(__xludf.DUMMYFUNCTION("""COMPUTED_VALUE"""),"Trâm")</f>
        <v>Trâm</v>
      </c>
      <c r="Q241" s="122"/>
      <c r="R241" s="122" t="str">
        <f>IFERROR(__xludf.DUMMYFUNCTION("""COMPUTED_VALUE"""),"INFQUAN471")</f>
        <v>INFQUAN471</v>
      </c>
      <c r="S241" s="124" t="str">
        <f>IFERROR(__xludf.DUMMYFUNCTION("""COMPUTED_VALUE"""),"http://yody.vn?affcode=INFQUAN471")</f>
        <v>http://yody.vn?affcode=INFQUAN471</v>
      </c>
    </row>
    <row r="242">
      <c r="A242" s="122" t="str">
        <f>IFERROR(__xludf.DUMMYFUNCTION("""COMPUTED_VALUE"""),"INFNGOC365")</f>
        <v>INFNGOC365</v>
      </c>
      <c r="B242" s="122" t="str">
        <f>IFERROR(__xludf.DUMMYFUNCTION("""COMPUTED_VALUE"""),"Vũ Phương Ngọc")</f>
        <v>Vũ Phương Ngọc</v>
      </c>
      <c r="C242" s="124" t="str">
        <f>IFERROR(__xludf.DUMMYFUNCTION("""COMPUTED_VALUE"""),"fb")</f>
        <v>fb</v>
      </c>
      <c r="D242" s="122"/>
      <c r="E242" s="122" t="str">
        <f>IFERROR(__xludf.DUMMYFUNCTION("""COMPUTED_VALUE"""),"31k")</f>
        <v>31k</v>
      </c>
      <c r="F242" s="122" t="str">
        <f>IFERROR(__xludf.DUMMYFUNCTION("""COMPUTED_VALUE"""),"Vũ Phương Ngọc")</f>
        <v>Vũ Phương Ngọc</v>
      </c>
      <c r="G242" s="122" t="str">
        <f>IFERROR(__xludf.DUMMYFUNCTION("""COMPUTED_VALUE"""),"25/07/2001")</f>
        <v>25/07/2001</v>
      </c>
      <c r="H242" s="122" t="str">
        <f>IFERROR(__xludf.DUMMYFUNCTION("""COMPUTED_VALUE"""),"022301000478")</f>
        <v>022301000478</v>
      </c>
      <c r="I242" s="122">
        <f>IFERROR(__xludf.DUMMYFUNCTION("""COMPUTED_VALUE"""),9.81560365E8)</f>
        <v>981560365</v>
      </c>
      <c r="J242" s="122" t="str">
        <f>IFERROR(__xludf.DUMMYFUNCTION("""COMPUTED_VALUE"""),"ngocchip2507@gmail.com ")</f>
        <v>ngocchip2507@gmail.com </v>
      </c>
      <c r="K242" s="122">
        <f>IFERROR(__xludf.DUMMYFUNCTION("""COMPUTED_VALUE"""),6.626826888888E12)</f>
        <v>6626826888888</v>
      </c>
      <c r="L242" s="122" t="str">
        <f>IFERROR(__xludf.DUMMYFUNCTION("""COMPUTED_VALUE"""),"Vũ Phương Ngọc")</f>
        <v>Vũ Phương Ngọc</v>
      </c>
      <c r="M242" s="122" t="str">
        <f>IFERROR(__xludf.DUMMYFUNCTION("""COMPUTED_VALUE"""),"Mb bank")</f>
        <v>Mb bank</v>
      </c>
      <c r="N242" s="122" t="str">
        <f>IFERROR(__xludf.DUMMYFUNCTION("""COMPUTED_VALUE"""),"Ngõ 18/93/27 định công thượng , quận hoàng mai , hà nội")</f>
        <v>Ngõ 18/93/27 định công thượng , quận hoàng mai , hà nội</v>
      </c>
      <c r="O242" s="122" t="str">
        <f>IFERROR(__xludf.DUMMYFUNCTION("""COMPUTED_VALUE"""),"Trâm")</f>
        <v>Trâm</v>
      </c>
      <c r="P242" s="123" t="str">
        <f>IFERROR(__xludf.DUMMYFUNCTION("""COMPUTED_VALUE"""),"Trâm")</f>
        <v>Trâm</v>
      </c>
      <c r="Q242" s="122"/>
      <c r="R242" s="122" t="str">
        <f>IFERROR(__xludf.DUMMYFUNCTION("""COMPUTED_VALUE"""),"INFNGOC365")</f>
        <v>INFNGOC365</v>
      </c>
      <c r="S242" s="124" t="str">
        <f>IFERROR(__xludf.DUMMYFUNCTION("""COMPUTED_VALUE"""),"http://yody.vn?affcode=INFNGOC365")</f>
        <v>http://yody.vn?affcode=INFNGOC365</v>
      </c>
    </row>
    <row r="243">
      <c r="A243" s="122" t="str">
        <f>IFERROR(__xludf.DUMMYFUNCTION("""COMPUTED_VALUE"""),"INFNGA861")</f>
        <v>INFNGA861</v>
      </c>
      <c r="B243" s="122" t="str">
        <f>IFERROR(__xludf.DUMMYFUNCTION("""COMPUTED_VALUE"""),"Nguyễn Thị Bích Nga")</f>
        <v>Nguyễn Thị Bích Nga</v>
      </c>
      <c r="C243" s="124" t="str">
        <f>IFERROR(__xludf.DUMMYFUNCTION("""COMPUTED_VALUE"""),"fb")</f>
        <v>fb</v>
      </c>
      <c r="D243" s="122"/>
      <c r="E243" s="122" t="str">
        <f>IFERROR(__xludf.DUMMYFUNCTION("""COMPUTED_VALUE"""),"176k")</f>
        <v>176k</v>
      </c>
      <c r="F243" s="122" t="str">
        <f>IFERROR(__xludf.DUMMYFUNCTION("""COMPUTED_VALUE"""),"Nguyễn Thị Bích Nga")</f>
        <v>Nguyễn Thị Bích Nga</v>
      </c>
      <c r="G243" s="132">
        <f>IFERROR(__xludf.DUMMYFUNCTION("""COMPUTED_VALUE"""),33609.0)</f>
        <v>33609</v>
      </c>
      <c r="H243" s="122">
        <f>IFERROR(__xludf.DUMMYFUNCTION("""COMPUTED_VALUE"""),2.72193261E8)</f>
        <v>272193261</v>
      </c>
      <c r="I243" s="122" t="str">
        <f>IFERROR(__xludf.DUMMYFUNCTION("""COMPUTED_VALUE"""),"0769684861")</f>
        <v>0769684861</v>
      </c>
      <c r="J243" s="122" t="str">
        <f>IFERROR(__xludf.DUMMYFUNCTION("""COMPUTED_VALUE"""),"bichngatokki16@gmail.com")</f>
        <v>bichngatokki16@gmail.com</v>
      </c>
      <c r="K243" s="122">
        <f>IFERROR(__xludf.DUMMYFUNCTION("""COMPUTED_VALUE"""),4.81000714381E11)</f>
        <v>481000714381</v>
      </c>
      <c r="L243" s="122"/>
      <c r="M243" s="122" t="str">
        <f>IFERROR(__xludf.DUMMYFUNCTION("""COMPUTED_VALUE"""),"Vietcombank - Chi nhánh Đồng Nai")</f>
        <v>Vietcombank - Chi nhánh Đồng Nai</v>
      </c>
      <c r="N243" s="122" t="str">
        <f>IFERROR(__xludf.DUMMYFUNCTION("""COMPUTED_VALUE"""),"527/8 Điện Biên Phủ, phường 25, quận Bình Thạnh, HCM")</f>
        <v>527/8 Điện Biên Phủ, phường 25, quận Bình Thạnh, HCM</v>
      </c>
      <c r="O243" s="122" t="str">
        <f>IFERROR(__xludf.DUMMYFUNCTION("""COMPUTED_VALUE"""),"Trâm")</f>
        <v>Trâm</v>
      </c>
      <c r="P243" s="123" t="str">
        <f>IFERROR(__xludf.DUMMYFUNCTION("""COMPUTED_VALUE"""),"Trâm")</f>
        <v>Trâm</v>
      </c>
      <c r="Q243" s="122"/>
      <c r="R243" s="122" t="str">
        <f>IFERROR(__xludf.DUMMYFUNCTION("""COMPUTED_VALUE"""),"INFNGA861")</f>
        <v>INFNGA861</v>
      </c>
      <c r="S243" s="124" t="str">
        <f>IFERROR(__xludf.DUMMYFUNCTION("""COMPUTED_VALUE"""),"http://yody.vn?affcode=INFNGA861")</f>
        <v>http://yody.vn?affcode=INFNGA861</v>
      </c>
    </row>
    <row r="244">
      <c r="A244" s="122" t="str">
        <f>IFERROR(__xludf.DUMMYFUNCTION("""COMPUTED_VALUE"""),"INFDIEM949")</f>
        <v>INFDIEM949</v>
      </c>
      <c r="B244" s="122" t="str">
        <f>IFERROR(__xludf.DUMMYFUNCTION("""COMPUTED_VALUE"""),"Nguyễn Thị Kiều Diễm")</f>
        <v>Nguyễn Thị Kiều Diễm</v>
      </c>
      <c r="C244" s="124" t="str">
        <f>IFERROR(__xludf.DUMMYFUNCTION("""COMPUTED_VALUE"""),"fb")</f>
        <v>fb</v>
      </c>
      <c r="D244" s="122"/>
      <c r="E244" s="122" t="str">
        <f>IFERROR(__xludf.DUMMYFUNCTION("""COMPUTED_VALUE"""),"147k")</f>
        <v>147k</v>
      </c>
      <c r="F244" s="122" t="str">
        <f>IFERROR(__xludf.DUMMYFUNCTION("""COMPUTED_VALUE"""),"Nguyễn Thị Kiều Diễm")</f>
        <v>Nguyễn Thị Kiều Diễm</v>
      </c>
      <c r="G244" s="132">
        <f>IFERROR(__xludf.DUMMYFUNCTION("""COMPUTED_VALUE"""),36079.0)</f>
        <v>36079</v>
      </c>
      <c r="H244" s="122" t="str">
        <f>IFERROR(__xludf.DUMMYFUNCTION("""COMPUTED_VALUE"""),"0791980025871")</f>
        <v>0791980025871</v>
      </c>
      <c r="I244" s="122" t="str">
        <f>IFERROR(__xludf.DUMMYFUNCTION("""COMPUTED_VALUE"""),"0903175949")</f>
        <v>0903175949</v>
      </c>
      <c r="J244" s="122" t="str">
        <f>IFERROR(__xludf.DUMMYFUNCTION("""COMPUTED_VALUE"""),"moonnguyen10111998@gmail.com")</f>
        <v>moonnguyen10111998@gmail.com</v>
      </c>
      <c r="K244" s="122">
        <f>IFERROR(__xludf.DUMMYFUNCTION("""COMPUTED_VALUE"""),1.903300602201E13)</f>
        <v>19033006022010</v>
      </c>
      <c r="L244" s="122" t="str">
        <f>IFERROR(__xludf.DUMMYFUNCTION("""COMPUTED_VALUE"""),"nguyễn thị kiều diễm")</f>
        <v>nguyễn thị kiều diễm</v>
      </c>
      <c r="M244" s="122" t="str">
        <f>IFERROR(__xludf.DUMMYFUNCTION("""COMPUTED_VALUE"""),"Techcombank chi nhánh Tân Bình")</f>
        <v>Techcombank chi nhánh Tân Bình</v>
      </c>
      <c r="N244" s="122" t="str">
        <f>IFERROR(__xludf.DUMMYFUNCTION("""COMPUTED_VALUE"""),"44/32/36 trưong phước phan kp1 fbtđ quận bình tân")</f>
        <v>44/32/36 trưong phước phan kp1 fbtđ quận bình tân</v>
      </c>
      <c r="O244" s="122" t="str">
        <f>IFERROR(__xludf.DUMMYFUNCTION("""COMPUTED_VALUE"""),"Trâm")</f>
        <v>Trâm</v>
      </c>
      <c r="P244" s="123" t="str">
        <f>IFERROR(__xludf.DUMMYFUNCTION("""COMPUTED_VALUE"""),"Trâm")</f>
        <v>Trâm</v>
      </c>
      <c r="Q244" s="122"/>
      <c r="R244" s="122" t="str">
        <f>IFERROR(__xludf.DUMMYFUNCTION("""COMPUTED_VALUE"""),"INFDIEM949")</f>
        <v>INFDIEM949</v>
      </c>
      <c r="S244" s="124" t="str">
        <f>IFERROR(__xludf.DUMMYFUNCTION("""COMPUTED_VALUE"""),"http://yody.vn?affcode=INFDIEM949")</f>
        <v>http://yody.vn?affcode=INFDIEM949</v>
      </c>
    </row>
    <row r="245">
      <c r="A245" s="122" t="str">
        <f>IFERROR(__xludf.DUMMYFUNCTION("""COMPUTED_VALUE"""),"INFTHAO513")</f>
        <v>INFTHAO513</v>
      </c>
      <c r="B245" s="122" t="str">
        <f>IFERROR(__xludf.DUMMYFUNCTION("""COMPUTED_VALUE"""),"Hoàng Thị Phương Thảo")</f>
        <v>Hoàng Thị Phương Thảo</v>
      </c>
      <c r="C245" s="124" t="str">
        <f>IFERROR(__xludf.DUMMYFUNCTION("""COMPUTED_VALUE"""),"fb")</f>
        <v>fb</v>
      </c>
      <c r="D245" s="122"/>
      <c r="E245" s="122" t="str">
        <f>IFERROR(__xludf.DUMMYFUNCTION("""COMPUTED_VALUE"""),"101k")</f>
        <v>101k</v>
      </c>
      <c r="F245" s="122" t="str">
        <f>IFERROR(__xludf.DUMMYFUNCTION("""COMPUTED_VALUE"""),"Hoàng Thị Phương Thảo")</f>
        <v>Hoàng Thị Phương Thảo</v>
      </c>
      <c r="G245" s="122" t="str">
        <f>IFERROR(__xludf.DUMMYFUNCTION("""COMPUTED_VALUE"""),"24/08/1998")</f>
        <v>24/08/1998</v>
      </c>
      <c r="H245" s="122">
        <f>IFERROR(__xludf.DUMMYFUNCTION("""COMPUTED_VALUE"""),2.06221905E8)</f>
        <v>206221905</v>
      </c>
      <c r="I245" s="122">
        <f>IFERROR(__xludf.DUMMYFUNCTION("""COMPUTED_VALUE"""),3.64434513E8)</f>
        <v>364434513</v>
      </c>
      <c r="J245" s="122" t="str">
        <f>IFERROR(__xludf.DUMMYFUNCTION("""COMPUTED_VALUE""")," hoangthao240898@gmail.com")</f>
        <v> hoangthao240898@gmail.com</v>
      </c>
      <c r="K245" s="122">
        <f>IFERROR(__xludf.DUMMYFUNCTION("""COMPUTED_VALUE"""),5.6010001370212E13)</f>
        <v>56010001370212</v>
      </c>
      <c r="L245" s="122"/>
      <c r="M245" s="122" t="str">
        <f>IFERROR(__xludf.DUMMYFUNCTION("""COMPUTED_VALUE"""),"BIDV Chi Nhánh Hải Vân Đà Nẵng")</f>
        <v>BIDV Chi Nhánh Hải Vân Đà Nẵng</v>
      </c>
      <c r="N245" s="122" t="str">
        <f>IFERROR(__xludf.DUMMYFUNCTION("""COMPUTED_VALUE"""),"Thôn Định Phước, xã Tam Nghĩa, huyện Núi Thành, tỉnh Quảng Nam")</f>
        <v>Thôn Định Phước, xã Tam Nghĩa, huyện Núi Thành, tỉnh Quảng Nam</v>
      </c>
      <c r="O245" s="122" t="str">
        <f>IFERROR(__xludf.DUMMYFUNCTION("""COMPUTED_VALUE"""),"Trâm")</f>
        <v>Trâm</v>
      </c>
      <c r="P245" s="123" t="str">
        <f>IFERROR(__xludf.DUMMYFUNCTION("""COMPUTED_VALUE"""),"Trâm")</f>
        <v>Trâm</v>
      </c>
      <c r="Q245" s="122"/>
      <c r="R245" s="122" t="str">
        <f>IFERROR(__xludf.DUMMYFUNCTION("""COMPUTED_VALUE"""),"INFTHAO513")</f>
        <v>INFTHAO513</v>
      </c>
      <c r="S245" s="124" t="str">
        <f>IFERROR(__xludf.DUMMYFUNCTION("""COMPUTED_VALUE"""),"http://yody.vn?affcode=INFTHAO513")</f>
        <v>http://yody.vn?affcode=INFTHAO513</v>
      </c>
    </row>
    <row r="246">
      <c r="A246" s="122" t="str">
        <f>IFERROR(__xludf.DUMMYFUNCTION("""COMPUTED_VALUE"""),"INFVINH509")</f>
        <v>INFVINH509</v>
      </c>
      <c r="B246" s="122" t="str">
        <f>IFERROR(__xludf.DUMMYFUNCTION("""COMPUTED_VALUE"""),"Phạm Văn Vinh")</f>
        <v>Phạm Văn Vinh</v>
      </c>
      <c r="C246" s="124" t="str">
        <f>IFERROR(__xludf.DUMMYFUNCTION("""COMPUTED_VALUE"""),"tiktok")</f>
        <v>tiktok</v>
      </c>
      <c r="D246" s="122"/>
      <c r="E246" s="122" t="str">
        <f>IFERROR(__xludf.DUMMYFUNCTION("""COMPUTED_VALUE"""),"384k")</f>
        <v>384k</v>
      </c>
      <c r="F246" s="122" t="str">
        <f>IFERROR(__xludf.DUMMYFUNCTION("""COMPUTED_VALUE"""),"Phạm Văn Vinh")</f>
        <v>Phạm Văn Vinh</v>
      </c>
      <c r="G246" s="122" t="str">
        <f>IFERROR(__xludf.DUMMYFUNCTION("""COMPUTED_VALUE"""),"27/10/1999")</f>
        <v>27/10/1999</v>
      </c>
      <c r="H246" s="122">
        <f>IFERROR(__xludf.DUMMYFUNCTION("""COMPUTED_VALUE"""),3.3099003399E10)</f>
        <v>33099003399</v>
      </c>
      <c r="I246" s="122" t="str">
        <f>IFERROR(__xludf.DUMMYFUNCTION("""COMPUTED_VALUE"""),"0383947509")</f>
        <v>0383947509</v>
      </c>
      <c r="J246" s="122" t="str">
        <f>IFERROR(__xludf.DUMMYFUNCTION("""COMPUTED_VALUE"""),"kaigan0123@gmail.com")</f>
        <v>kaigan0123@gmail.com</v>
      </c>
      <c r="K246" s="122">
        <f>IFERROR(__xludf.DUMMYFUNCTION("""COMPUTED_VALUE"""),1.08869233042E11)</f>
        <v>108869233042</v>
      </c>
      <c r="L246" s="122" t="str">
        <f>IFERROR(__xludf.DUMMYFUNCTION("""COMPUTED_VALUE"""),"PHAM VAN VINH")</f>
        <v>PHAM VAN VINH</v>
      </c>
      <c r="M246" s="122" t="str">
        <f>IFERROR(__xludf.DUMMYFUNCTION("""COMPUTED_VALUE"""),"Viettin bank")</f>
        <v>Viettin bank</v>
      </c>
      <c r="N246" s="122" t="str">
        <f>IFERROR(__xludf.DUMMYFUNCTION("""COMPUTED_VALUE"""),"Hương Quất.Thành Công.Khoái Châu.Hưng Yên")</f>
        <v>Hương Quất.Thành Công.Khoái Châu.Hưng Yên</v>
      </c>
      <c r="O246" s="122" t="str">
        <f>IFERROR(__xludf.DUMMYFUNCTION("""COMPUTED_VALUE"""),"Trâm")</f>
        <v>Trâm</v>
      </c>
      <c r="P246" s="123" t="str">
        <f>IFERROR(__xludf.DUMMYFUNCTION("""COMPUTED_VALUE"""),"Trâm")</f>
        <v>Trâm</v>
      </c>
      <c r="Q246" s="122"/>
      <c r="R246" s="122" t="str">
        <f>IFERROR(__xludf.DUMMYFUNCTION("""COMPUTED_VALUE"""),"INFVINH509")</f>
        <v>INFVINH509</v>
      </c>
      <c r="S246" s="124" t="str">
        <f>IFERROR(__xludf.DUMMYFUNCTION("""COMPUTED_VALUE"""),"http://yody.vn?affcode=INFVINH509")</f>
        <v>http://yody.vn?affcode=INFVINH509</v>
      </c>
    </row>
    <row r="247">
      <c r="A247" s="122" t="str">
        <f>IFERROR(__xludf.DUMMYFUNCTION("""COMPUTED_VALUE"""),"INFHUE103")</f>
        <v>INFHUE103</v>
      </c>
      <c r="B247" s="122" t="str">
        <f>IFERROR(__xludf.DUMMYFUNCTION("""COMPUTED_VALUE"""),"Midiii")</f>
        <v>Midiii</v>
      </c>
      <c r="C247" s="124" t="str">
        <f>IFERROR(__xludf.DUMMYFUNCTION("""COMPUTED_VALUE"""),"tiktok")</f>
        <v>tiktok</v>
      </c>
      <c r="D247" s="122"/>
      <c r="E247" s="122" t="str">
        <f>IFERROR(__xludf.DUMMYFUNCTION("""COMPUTED_VALUE"""),"2M")</f>
        <v>2M</v>
      </c>
      <c r="F247" s="122" t="str">
        <f>IFERROR(__xludf.DUMMYFUNCTION("""COMPUTED_VALUE"""),"Vũ Minh Huệ")</f>
        <v>Vũ Minh Huệ</v>
      </c>
      <c r="G247" s="126">
        <f>IFERROR(__xludf.DUMMYFUNCTION("""COMPUTED_VALUE"""),37803.0)</f>
        <v>37803</v>
      </c>
      <c r="H247" s="122" t="str">
        <f>IFERROR(__xludf.DUMMYFUNCTION("""COMPUTED_VALUE"""),"030303007490")</f>
        <v>030303007490</v>
      </c>
      <c r="I247" s="122" t="str">
        <f>IFERROR(__xludf.DUMMYFUNCTION("""COMPUTED_VALUE"""),"0963097103")</f>
        <v>0963097103</v>
      </c>
      <c r="J247" s="122" t="str">
        <f>IFERROR(__xludf.DUMMYFUNCTION("""COMPUTED_VALUE"""),"vuminhhue66@gmail.com")</f>
        <v>vuminhhue66@gmail.com</v>
      </c>
      <c r="K247" s="122" t="str">
        <f>IFERROR(__xludf.DUMMYFUNCTION("""COMPUTED_VALUE"""),"MBbank: 0300007012003")</f>
        <v>MBbank: 0300007012003</v>
      </c>
      <c r="L247" s="122" t="str">
        <f>IFERROR(__xludf.DUMMYFUNCTION("""COMPUTED_VALUE"""),"VU MINH HUE")</f>
        <v>VU MINH HUE</v>
      </c>
      <c r="M247" s="122" t="str">
        <f>IFERROR(__xludf.DUMMYFUNCTION("""COMPUTED_VALUE"""),"MBbank")</f>
        <v>MBbank</v>
      </c>
      <c r="N247" s="122" t="str">
        <f>IFERROR(__xludf.DUMMYFUNCTION("""COMPUTED_VALUE"""),"thôn cự lộc xã minh đức huyện tứ kì tỉnh hải dương")</f>
        <v>thôn cự lộc xã minh đức huyện tứ kì tỉnh hải dương</v>
      </c>
      <c r="O247" s="122" t="str">
        <f>IFERROR(__xludf.DUMMYFUNCTION("""COMPUTED_VALUE"""),"Trâm")</f>
        <v>Trâm</v>
      </c>
      <c r="P247" s="123" t="str">
        <f>IFERROR(__xludf.DUMMYFUNCTION("""COMPUTED_VALUE"""),"Trâm")</f>
        <v>Trâm</v>
      </c>
      <c r="Q247" s="122"/>
      <c r="R247" s="122" t="str">
        <f>IFERROR(__xludf.DUMMYFUNCTION("""COMPUTED_VALUE"""),"INFHUE103")</f>
        <v>INFHUE103</v>
      </c>
      <c r="S247" s="124" t="str">
        <f>IFERROR(__xludf.DUMMYFUNCTION("""COMPUTED_VALUE"""),"http://yody.vn?affcode=INFHUE103")</f>
        <v>http://yody.vn?affcode=INFHUE103</v>
      </c>
    </row>
    <row r="248">
      <c r="A248" s="122" t="str">
        <f>IFERROR(__xludf.DUMMYFUNCTION("""COMPUTED_VALUE"""),"INFSON996")</f>
        <v>INFSON996</v>
      </c>
      <c r="B248" s="122" t="str">
        <f>IFERROR(__xludf.DUMMYFUNCTION("""COMPUTED_VALUE"""),"itsbevis")</f>
        <v>itsbevis</v>
      </c>
      <c r="C248" s="124" t="str">
        <f>IFERROR(__xludf.DUMMYFUNCTION("""COMPUTED_VALUE"""),"tiktok")</f>
        <v>tiktok</v>
      </c>
      <c r="D248" s="122"/>
      <c r="E248" s="122" t="str">
        <f>IFERROR(__xludf.DUMMYFUNCTION("""COMPUTED_VALUE"""),"1,8M")</f>
        <v>1,8M</v>
      </c>
      <c r="F248" s="122" t="str">
        <f>IFERROR(__xludf.DUMMYFUNCTION("""COMPUTED_VALUE"""),"Nguyễn Ngọc Sơn")</f>
        <v>Nguyễn Ngọc Sơn</v>
      </c>
      <c r="G248" s="126">
        <f>IFERROR(__xludf.DUMMYFUNCTION("""COMPUTED_VALUE"""),37775.0)</f>
        <v>37775</v>
      </c>
      <c r="H248" s="122" t="str">
        <f>IFERROR(__xludf.DUMMYFUNCTION("""COMPUTED_VALUE"""),"030203004476")</f>
        <v>030203004476</v>
      </c>
      <c r="I248" s="122" t="str">
        <f>IFERROR(__xludf.DUMMYFUNCTION("""COMPUTED_VALUE"""),"0904179996")</f>
        <v>0904179996</v>
      </c>
      <c r="J248" s="122" t="str">
        <f>IFERROR(__xludf.DUMMYFUNCTION("""COMPUTED_VALUE"""),"louis.matthew.filbert@gmail.com")</f>
        <v>louis.matthew.filbert@gmail.com</v>
      </c>
      <c r="K248" s="122">
        <f>IFERROR(__xludf.DUMMYFUNCTION("""COMPUTED_VALUE"""),6.610111682268E12)</f>
        <v>6610111682268</v>
      </c>
      <c r="L248" s="122" t="str">
        <f>IFERROR(__xludf.DUMMYFUNCTION("""COMPUTED_VALUE"""),"NGUYEN NGOC SON")</f>
        <v>NGUYEN NGOC SON</v>
      </c>
      <c r="M248" s="122" t="str">
        <f>IFERROR(__xludf.DUMMYFUNCTION("""COMPUTED_VALUE"""),"MB BANK - Chi Nhánh Lý Thái Tổ")</f>
        <v>MB BANK - Chi Nhánh Lý Thái Tổ</v>
      </c>
      <c r="N248" s="122" t="str">
        <f>IFERROR(__xludf.DUMMYFUNCTION("""COMPUTED_VALUE"""),"số 3, phố Hồng Thái, thị trấn Phú Thái, Kim Thành, Hải Dương")</f>
        <v>số 3, phố Hồng Thái, thị trấn Phú Thái, Kim Thành, Hải Dương</v>
      </c>
      <c r="O248" s="122" t="str">
        <f>IFERROR(__xludf.DUMMYFUNCTION("""COMPUTED_VALUE"""),"trâm")</f>
        <v>trâm</v>
      </c>
      <c r="P248" s="123" t="str">
        <f>IFERROR(__xludf.DUMMYFUNCTION("""COMPUTED_VALUE"""),"Trâm")</f>
        <v>Trâm</v>
      </c>
      <c r="Q248" s="122"/>
      <c r="R248" s="122" t="str">
        <f>IFERROR(__xludf.DUMMYFUNCTION("""COMPUTED_VALUE"""),"INFSON996")</f>
        <v>INFSON996</v>
      </c>
      <c r="S248" s="124" t="str">
        <f>IFERROR(__xludf.DUMMYFUNCTION("""COMPUTED_VALUE"""),"http://yody.vn?affcode=INFSON996")</f>
        <v>http://yody.vn?affcode=INFSON996</v>
      </c>
    </row>
    <row r="249">
      <c r="A249" s="122" t="str">
        <f>IFERROR(__xludf.DUMMYFUNCTION("""COMPUTED_VALUE"""),"INFTRANG620")</f>
        <v>INFTRANG620</v>
      </c>
      <c r="B249" s="122" t="str">
        <f>IFERROR(__xludf.DUMMYFUNCTION("""COMPUTED_VALUE"""),"letrang_2k2")</f>
        <v>letrang_2k2</v>
      </c>
      <c r="C249" s="124" t="str">
        <f>IFERROR(__xludf.DUMMYFUNCTION("""COMPUTED_VALUE"""),"tiktok")</f>
        <v>tiktok</v>
      </c>
      <c r="D249" s="122"/>
      <c r="E249" s="122" t="str">
        <f>IFERROR(__xludf.DUMMYFUNCTION("""COMPUTED_VALUE"""),"2,2M")</f>
        <v>2,2M</v>
      </c>
      <c r="F249" s="122" t="str">
        <f>IFERROR(__xludf.DUMMYFUNCTION("""COMPUTED_VALUE"""),"Lê Thị Huyền Trang")</f>
        <v>Lê Thị Huyền Trang</v>
      </c>
      <c r="G249" s="122" t="str">
        <f>IFERROR(__xludf.DUMMYFUNCTION("""COMPUTED_VALUE"""),"20/6/2002")</f>
        <v>20/6/2002</v>
      </c>
      <c r="H249" s="122" t="str">
        <f>IFERROR(__xludf.DUMMYFUNCTION("""COMPUTED_VALUE"""),"042302000477")</f>
        <v>042302000477</v>
      </c>
      <c r="I249" s="122" t="str">
        <f>IFERROR(__xludf.DUMMYFUNCTION("""COMPUTED_VALUE"""),"0949793620")</f>
        <v>0949793620</v>
      </c>
      <c r="J249" s="122" t="str">
        <f>IFERROR(__xludf.DUMMYFUNCTION("""COMPUTED_VALUE"""),"letrang20062002@gmail.com")</f>
        <v>letrang20062002@gmail.com</v>
      </c>
      <c r="K249" s="122">
        <f>IFERROR(__xludf.DUMMYFUNCTION("""COMPUTED_VALUE"""),1.012761779E9)</f>
        <v>1012761779</v>
      </c>
      <c r="L249" s="122" t="str">
        <f>IFERROR(__xludf.DUMMYFUNCTION("""COMPUTED_VALUE"""),"Lê Thị Huyền Trang")</f>
        <v>Lê Thị Huyền Trang</v>
      </c>
      <c r="M249" s="122" t="str">
        <f>IFERROR(__xludf.DUMMYFUNCTION("""COMPUTED_VALUE"""),"Vietcombank")</f>
        <v>Vietcombank</v>
      </c>
      <c r="N249" s="122" t="str">
        <f>IFERROR(__xludf.DUMMYFUNCTION("""COMPUTED_VALUE"""),"Số nhà 36 đường Nguyễn Thiếp, thị trấn Thạch Hà, huyện Thạch Hà, tỉnh Hà Tĩnh ")</f>
        <v>Số nhà 36 đường Nguyễn Thiếp, thị trấn Thạch Hà, huyện Thạch Hà, tỉnh Hà Tĩnh </v>
      </c>
      <c r="O249" s="122" t="str">
        <f>IFERROR(__xludf.DUMMYFUNCTION("""COMPUTED_VALUE"""),"trâm")</f>
        <v>trâm</v>
      </c>
      <c r="P249" s="123" t="str">
        <f>IFERROR(__xludf.DUMMYFUNCTION("""COMPUTED_VALUE"""),"Trâm")</f>
        <v>Trâm</v>
      </c>
      <c r="Q249" s="122"/>
      <c r="R249" s="122" t="str">
        <f>IFERROR(__xludf.DUMMYFUNCTION("""COMPUTED_VALUE"""),"INFTRANG620")</f>
        <v>INFTRANG620</v>
      </c>
      <c r="S249" s="124" t="str">
        <f>IFERROR(__xludf.DUMMYFUNCTION("""COMPUTED_VALUE"""),"http://yody.vn?affcode=INFTRANG620")</f>
        <v>http://yody.vn?affcode=INFTRANG620</v>
      </c>
    </row>
    <row r="250">
      <c r="A250" s="122" t="str">
        <f>IFERROR(__xludf.DUMMYFUNCTION("""COMPUTED_VALUE"""),"INFTRANG727")</f>
        <v>INFTRANG727</v>
      </c>
      <c r="B250" s="122" t="str">
        <f>IFERROR(__xludf.DUMMYFUNCTION("""COMPUTED_VALUE"""),"Phan Quỳnh Trang")</f>
        <v>Phan Quỳnh Trang</v>
      </c>
      <c r="C250" s="124" t="str">
        <f>IFERROR(__xludf.DUMMYFUNCTION("""COMPUTED_VALUE"""),"fb")</f>
        <v>fb</v>
      </c>
      <c r="D250" s="122"/>
      <c r="E250" s="122" t="str">
        <f>IFERROR(__xludf.DUMMYFUNCTION("""COMPUTED_VALUE"""),"103k")</f>
        <v>103k</v>
      </c>
      <c r="F250" s="122" t="str">
        <f>IFERROR(__xludf.DUMMYFUNCTION("""COMPUTED_VALUE"""),"Phan Quỳnh Trang ")</f>
        <v>Phan Quỳnh Trang </v>
      </c>
      <c r="G250" s="125">
        <f>IFERROR(__xludf.DUMMYFUNCTION("""COMPUTED_VALUE"""),36800.0)</f>
        <v>36800</v>
      </c>
      <c r="H250" s="122">
        <f>IFERROR(__xludf.DUMMYFUNCTION("""COMPUTED_VALUE"""),1.87863299E8)</f>
        <v>187863299</v>
      </c>
      <c r="I250" s="122" t="str">
        <f>IFERROR(__xludf.DUMMYFUNCTION("""COMPUTED_VALUE"""),"0983615727")</f>
        <v>0983615727</v>
      </c>
      <c r="J250" s="122" t="str">
        <f>IFERROR(__xludf.DUMMYFUNCTION("""COMPUTED_VALUE"""),"qtrang67901@gmail.com")</f>
        <v>qtrang67901@gmail.com</v>
      </c>
      <c r="K250" s="122">
        <f>IFERROR(__xludf.DUMMYFUNCTION("""COMPUTED_VALUE"""),1.9035942812018E13)</f>
        <v>19035942812018</v>
      </c>
      <c r="L250" s="122" t="str">
        <f>IFERROR(__xludf.DUMMYFUNCTION("""COMPUTED_VALUE"""),"Phan Quỳnh Trang")</f>
        <v>Phan Quỳnh Trang</v>
      </c>
      <c r="M250" s="122" t="str">
        <f>IFERROR(__xludf.DUMMYFUNCTION("""COMPUTED_VALUE"""),"techcombank")</f>
        <v>techcombank</v>
      </c>
      <c r="N250" s="122" t="str">
        <f>IFERROR(__xludf.DUMMYFUNCTION("""COMPUTED_VALUE"""),"Khối 3, Thị Trấn, huyện Yên Thành, tỉnh Nghệ An")</f>
        <v>Khối 3, Thị Trấn, huyện Yên Thành, tỉnh Nghệ An</v>
      </c>
      <c r="O250" s="122" t="str">
        <f>IFERROR(__xludf.DUMMYFUNCTION("""COMPUTED_VALUE"""),"trâm")</f>
        <v>trâm</v>
      </c>
      <c r="P250" s="123" t="str">
        <f>IFERROR(__xludf.DUMMYFUNCTION("""COMPUTED_VALUE"""),"Trâm")</f>
        <v>Trâm</v>
      </c>
      <c r="Q250" s="122"/>
      <c r="R250" s="122" t="str">
        <f>IFERROR(__xludf.DUMMYFUNCTION("""COMPUTED_VALUE"""),"INFTRANG727")</f>
        <v>INFTRANG727</v>
      </c>
      <c r="S250" s="124" t="str">
        <f>IFERROR(__xludf.DUMMYFUNCTION("""COMPUTED_VALUE"""),"http://yody.vn?affcode=INFTRANG727")</f>
        <v>http://yody.vn?affcode=INFTRANG727</v>
      </c>
    </row>
    <row r="251">
      <c r="A251" s="122" t="str">
        <f>IFERROR(__xludf.DUMMYFUNCTION("""COMPUTED_VALUE"""),"INFTRUONG940")</f>
        <v>INFTRUONG940</v>
      </c>
      <c r="B251" s="122" t="str">
        <f>IFERROR(__xludf.DUMMYFUNCTION("""COMPUTED_VALUE"""),"baddt99")</f>
        <v>baddt99</v>
      </c>
      <c r="C251" s="124" t="str">
        <f>IFERROR(__xludf.DUMMYFUNCTION("""COMPUTED_VALUE"""),"tiktok")</f>
        <v>tiktok</v>
      </c>
      <c r="D251" s="122"/>
      <c r="E251" s="122" t="str">
        <f>IFERROR(__xludf.DUMMYFUNCTION("""COMPUTED_VALUE"""),"2M")</f>
        <v>2M</v>
      </c>
      <c r="F251" s="122" t="str">
        <f>IFERROR(__xludf.DUMMYFUNCTION("""COMPUTED_VALUE"""),"Nghiêm Đình Trường")</f>
        <v>Nghiêm Đình Trường</v>
      </c>
      <c r="G251" s="122" t="str">
        <f>IFERROR(__xludf.DUMMYFUNCTION("""COMPUTED_VALUE"""),"19-8-1999")</f>
        <v>19-8-1999</v>
      </c>
      <c r="H251" s="122">
        <f>IFERROR(__xludf.DUMMYFUNCTION("""COMPUTED_VALUE"""),1.25813525E8)</f>
        <v>125813525</v>
      </c>
      <c r="I251" s="122" t="str">
        <f>IFERROR(__xludf.DUMMYFUNCTION("""COMPUTED_VALUE"""),"0969567940")</f>
        <v>0969567940</v>
      </c>
      <c r="J251" s="122" t="str">
        <f>IFERROR(__xludf.DUMMYFUNCTION("""COMPUTED_VALUE"""),"nghiemmeo1999@gmail.com")</f>
        <v>nghiemmeo1999@gmail.com</v>
      </c>
      <c r="K251" s="122">
        <f>IFERROR(__xludf.DUMMYFUNCTION("""COMPUTED_VALUE"""),1.9036464602025E13)</f>
        <v>19036464602025</v>
      </c>
      <c r="L251" s="122" t="str">
        <f>IFERROR(__xludf.DUMMYFUNCTION("""COMPUTED_VALUE"""),"nghiem dinh truong")</f>
        <v>nghiem dinh truong</v>
      </c>
      <c r="M251" s="122" t="str">
        <f>IFERROR(__xludf.DUMMYFUNCTION("""COMPUTED_VALUE""")," techcombank 
")</f>
        <v> techcombank 
</v>
      </c>
      <c r="N251" s="122" t="str">
        <f>IFERROR(__xludf.DUMMYFUNCTION("""COMPUTED_VALUE"""),"nghiêm xá thị trấn chờ yên phong bắc ninh")</f>
        <v>nghiêm xá thị trấn chờ yên phong bắc ninh</v>
      </c>
      <c r="O251" s="122" t="str">
        <f>IFERROR(__xludf.DUMMYFUNCTION("""COMPUTED_VALUE"""),"trâm")</f>
        <v>trâm</v>
      </c>
      <c r="P251" s="123" t="str">
        <f>IFERROR(__xludf.DUMMYFUNCTION("""COMPUTED_VALUE"""),"trâm")</f>
        <v>trâm</v>
      </c>
      <c r="Q251" s="122"/>
      <c r="R251" s="122" t="str">
        <f>IFERROR(__xludf.DUMMYFUNCTION("""COMPUTED_VALUE"""),"INFTRUONG940")</f>
        <v>INFTRUONG940</v>
      </c>
      <c r="S251" s="124" t="str">
        <f>IFERROR(__xludf.DUMMYFUNCTION("""COMPUTED_VALUE"""),"http://yody.vn?affcode=INFTRUONG940")</f>
        <v>http://yody.vn?affcode=INFTRUONG940</v>
      </c>
    </row>
    <row r="252">
      <c r="A252" s="122" t="str">
        <f>IFERROR(__xludf.DUMMYFUNCTION("""COMPUTED_VALUE"""),"INFQUYEN035")</f>
        <v>INFQUYEN035</v>
      </c>
      <c r="B252" s="122" t="str">
        <f>IFERROR(__xludf.DUMMYFUNCTION("""COMPUTED_VALUE"""),"anhtiendola")</f>
        <v>anhtiendola</v>
      </c>
      <c r="C252" s="124" t="str">
        <f>IFERROR(__xludf.DUMMYFUNCTION("""COMPUTED_VALUE"""),"tiktok")</f>
        <v>tiktok</v>
      </c>
      <c r="D252" s="122"/>
      <c r="E252" s="122" t="str">
        <f>IFERROR(__xludf.DUMMYFUNCTION("""COMPUTED_VALUE"""),"1,7M")</f>
        <v>1,7M</v>
      </c>
      <c r="F252" s="122" t="str">
        <f>IFERROR(__xludf.DUMMYFUNCTION("""COMPUTED_VALUE"""),"Lê Lệnh Quyền")</f>
        <v>Lê Lệnh Quyền</v>
      </c>
      <c r="G252" s="122" t="str">
        <f>IFERROR(__xludf.DUMMYFUNCTION("""COMPUTED_VALUE"""),"26/09/1999")</f>
        <v>26/09/1999</v>
      </c>
      <c r="H252" s="122" t="str">
        <f>IFERROR(__xludf.DUMMYFUNCTION("""COMPUTED_VALUE"""),"038099008572")</f>
        <v>038099008572</v>
      </c>
      <c r="I252" s="122" t="str">
        <f>IFERROR(__xludf.DUMMYFUNCTION("""COMPUTED_VALUE"""),"0377920035")</f>
        <v>0377920035</v>
      </c>
      <c r="J252" s="122" t="str">
        <f>IFERROR(__xludf.DUMMYFUNCTION("""COMPUTED_VALUE"""),"Quyenlelenh@gmail.com ")</f>
        <v>Quyenlelenh@gmail.com </v>
      </c>
      <c r="K252" s="122">
        <f>IFERROR(__xludf.DUMMYFUNCTION("""COMPUTED_VALUE"""),1.08869558858E11)</f>
        <v>108869558858</v>
      </c>
      <c r="L252" s="122" t="str">
        <f>IFERROR(__xludf.DUMMYFUNCTION("""COMPUTED_VALUE"""),"Le Lenh Quyen ")</f>
        <v>Le Lenh Quyen </v>
      </c>
      <c r="M252" s="122" t="str">
        <f>IFERROR(__xludf.DUMMYFUNCTION("""COMPUTED_VALUE"""),"Viettinbank")</f>
        <v>Viettinbank</v>
      </c>
      <c r="N252" s="122"/>
      <c r="O252" s="122" t="str">
        <f>IFERROR(__xludf.DUMMYFUNCTION("""COMPUTED_VALUE"""),"trâm")</f>
        <v>trâm</v>
      </c>
      <c r="P252" s="123" t="str">
        <f>IFERROR(__xludf.DUMMYFUNCTION("""COMPUTED_VALUE"""),"trâm")</f>
        <v>trâm</v>
      </c>
      <c r="Q252" s="122"/>
      <c r="R252" s="122" t="str">
        <f>IFERROR(__xludf.DUMMYFUNCTION("""COMPUTED_VALUE"""),"INFQUYEN035")</f>
        <v>INFQUYEN035</v>
      </c>
      <c r="S252" s="124" t="str">
        <f>IFERROR(__xludf.DUMMYFUNCTION("""COMPUTED_VALUE"""),"http://yody.vn?affcode=INFQUYEN035")</f>
        <v>http://yody.vn?affcode=INFQUYEN035</v>
      </c>
    </row>
    <row r="253">
      <c r="A253" s="122" t="str">
        <f>IFERROR(__xludf.DUMMYFUNCTION("""COMPUTED_VALUE"""),"INFANH689")</f>
        <v>INFANH689</v>
      </c>
      <c r="B253" s="122" t="str">
        <f>IFERROR(__xludf.DUMMYFUNCTION("""COMPUTED_VALUE"""),"Nguyễn Diệp Anh")</f>
        <v>Nguyễn Diệp Anh</v>
      </c>
      <c r="C253" s="124" t="str">
        <f>IFERROR(__xludf.DUMMYFUNCTION("""COMPUTED_VALUE"""),"fb")</f>
        <v>fb</v>
      </c>
      <c r="D253" s="122"/>
      <c r="E253" s="122" t="str">
        <f>IFERROR(__xludf.DUMMYFUNCTION("""COMPUTED_VALUE"""),"76k")</f>
        <v>76k</v>
      </c>
      <c r="F253" s="122" t="str">
        <f>IFERROR(__xludf.DUMMYFUNCTION("""COMPUTED_VALUE"""),"Nguyễn Diệp Anh")</f>
        <v>Nguyễn Diệp Anh</v>
      </c>
      <c r="G253" s="126">
        <f>IFERROR(__xludf.DUMMYFUNCTION("""COMPUTED_VALUE"""),36806.0)</f>
        <v>36806</v>
      </c>
      <c r="H253" s="122" t="str">
        <f>IFERROR(__xludf.DUMMYFUNCTION("""COMPUTED_VALUE"""),"001300006985")</f>
        <v>001300006985</v>
      </c>
      <c r="I253" s="122" t="str">
        <f>IFERROR(__xludf.DUMMYFUNCTION("""COMPUTED_VALUE"""),"0967956689")</f>
        <v>0967956689</v>
      </c>
      <c r="J253" s="122" t="str">
        <f>IFERROR(__xludf.DUMMYFUNCTION("""COMPUTED_VALUE"""),"diepanhbong1007@gmail.com")</f>
        <v>diepanhbong1007@gmail.com</v>
      </c>
      <c r="K253" s="122" t="str">
        <f>IFERROR(__xludf.DUMMYFUNCTION("""COMPUTED_VALUE"""),"0691000396177")</f>
        <v>0691000396177</v>
      </c>
      <c r="L253" s="122" t="str">
        <f>IFERROR(__xludf.DUMMYFUNCTION("""COMPUTED_VALUE"""),"Nguyen Diep Anh")</f>
        <v>Nguyen Diep Anh</v>
      </c>
      <c r="M253" s="122" t="str">
        <f>IFERROR(__xludf.DUMMYFUNCTION("""COMPUTED_VALUE"""),"Ngân hàng Vietcombank chi nhánh Tây Hà Nội")</f>
        <v>Ngân hàng Vietcombank chi nhánh Tây Hà Nội</v>
      </c>
      <c r="N253" s="122" t="str">
        <f>IFERROR(__xludf.DUMMYFUNCTION("""COMPUTED_VALUE"""),"Số 1 ngách 4 ngõ 26 Phan Đình Giót Hà Đông HN ")</f>
        <v>Số 1 ngách 4 ngõ 26 Phan Đình Giót Hà Đông HN </v>
      </c>
      <c r="O253" s="122" t="str">
        <f>IFERROR(__xludf.DUMMYFUNCTION("""COMPUTED_VALUE"""),"trâm")</f>
        <v>trâm</v>
      </c>
      <c r="P253" s="123" t="str">
        <f>IFERROR(__xludf.DUMMYFUNCTION("""COMPUTED_VALUE"""),"trâm")</f>
        <v>trâm</v>
      </c>
      <c r="Q253" s="122"/>
      <c r="R253" s="122" t="str">
        <f>IFERROR(__xludf.DUMMYFUNCTION("""COMPUTED_VALUE"""),"INFANH689")</f>
        <v>INFANH689</v>
      </c>
      <c r="S253" s="124" t="str">
        <f>IFERROR(__xludf.DUMMYFUNCTION("""COMPUTED_VALUE""")," http://yody.vn?affcode=INFANH689")</f>
        <v> http://yody.vn?affcode=INFANH689</v>
      </c>
    </row>
    <row r="254">
      <c r="A254" s="122" t="str">
        <f>IFERROR(__xludf.DUMMYFUNCTION("""COMPUTED_VALUE"""),"INFAN380")</f>
        <v>INFAN380</v>
      </c>
      <c r="B254" s="122" t="str">
        <f>IFERROR(__xludf.DUMMYFUNCTION("""COMPUTED_VALUE"""),"Nguyễn Trịnh Mỹ An")</f>
        <v>Nguyễn Trịnh Mỹ An</v>
      </c>
      <c r="C254" s="124" t="str">
        <f>IFERROR(__xludf.DUMMYFUNCTION("""COMPUTED_VALUE"""),"tiktok")</f>
        <v>tiktok</v>
      </c>
      <c r="D254" s="122"/>
      <c r="E254" s="122" t="str">
        <f>IFERROR(__xludf.DUMMYFUNCTION("""COMPUTED_VALUE"""),"333k")</f>
        <v>333k</v>
      </c>
      <c r="F254" s="122" t="str">
        <f>IFERROR(__xludf.DUMMYFUNCTION("""COMPUTED_VALUE"""),"Nguyễn Trịnh Mỹ An")</f>
        <v>Nguyễn Trịnh Mỹ An</v>
      </c>
      <c r="G254" s="126">
        <f>IFERROR(__xludf.DUMMYFUNCTION("""COMPUTED_VALUE"""),38630.0)</f>
        <v>38630</v>
      </c>
      <c r="H254" s="122"/>
      <c r="I254" s="122" t="str">
        <f>IFERROR(__xludf.DUMMYFUNCTION("""COMPUTED_VALUE"""),"0854012380")</f>
        <v>0854012380</v>
      </c>
      <c r="J254" s="122" t="str">
        <f>IFERROR(__xludf.DUMMYFUNCTION("""COMPUTED_VALUE"""),"ngtrinhmyan1052005@gmail.com
")</f>
        <v>ngtrinhmyan1052005@gmail.com
</v>
      </c>
      <c r="K254" s="122">
        <f>IFERROR(__xludf.DUMMYFUNCTION("""COMPUTED_VALUE"""),3.519215037777E12)</f>
        <v>3519215037777</v>
      </c>
      <c r="L254" s="122" t="str">
        <f>IFERROR(__xludf.DUMMYFUNCTION("""COMPUTED_VALUE"""),"NGUYEN THI HUONG")</f>
        <v>NGUYEN THI HUONG</v>
      </c>
      <c r="M254" s="122" t="str">
        <f>IFERROR(__xludf.DUMMYFUNCTION("""COMPUTED_VALUE"""),"Agribank")</f>
        <v>Agribank</v>
      </c>
      <c r="N254" s="122" t="str">
        <f>IFERROR(__xludf.DUMMYFUNCTION("""COMPUTED_VALUE"""),"Chung cư Smile - Số 1 Nguyễn Cảnh Dị - Định Công - Hoàng Mai - Hà Nội")</f>
        <v>Chung cư Smile - Số 1 Nguyễn Cảnh Dị - Định Công - Hoàng Mai - Hà Nội</v>
      </c>
      <c r="O254" s="122" t="str">
        <f>IFERROR(__xludf.DUMMYFUNCTION("""COMPUTED_VALUE"""),"trâm")</f>
        <v>trâm</v>
      </c>
      <c r="P254" s="123" t="str">
        <f>IFERROR(__xludf.DUMMYFUNCTION("""COMPUTED_VALUE"""),"trâm")</f>
        <v>trâm</v>
      </c>
      <c r="Q254" s="122"/>
      <c r="R254" s="122" t="str">
        <f>IFERROR(__xludf.DUMMYFUNCTION("""COMPUTED_VALUE"""),"INFAN380")</f>
        <v>INFAN380</v>
      </c>
      <c r="S254" s="124" t="str">
        <f>IFERROR(__xludf.DUMMYFUNCTION("""COMPUTED_VALUE"""),"http://yody.vn?affcode=INFAN380")</f>
        <v>http://yody.vn?affcode=INFAN380</v>
      </c>
    </row>
    <row r="255">
      <c r="A255" s="122" t="str">
        <f>IFERROR(__xludf.DUMMYFUNCTION("""COMPUTED_VALUE"""),"INFKHOI335")</f>
        <v>INFKHOI335</v>
      </c>
      <c r="B255" s="122" t="str">
        <f>IFERROR(__xludf.DUMMYFUNCTION("""COMPUTED_VALUE"""),"chin7599")</f>
        <v>chin7599</v>
      </c>
      <c r="C255" s="124" t="str">
        <f>IFERROR(__xludf.DUMMYFUNCTION("""COMPUTED_VALUE"""),"tiktok")</f>
        <v>tiktok</v>
      </c>
      <c r="D255" s="122"/>
      <c r="E255" s="122" t="str">
        <f>IFERROR(__xludf.DUMMYFUNCTION("""COMPUTED_VALUE"""),"745k")</f>
        <v>745k</v>
      </c>
      <c r="F255" s="122" t="str">
        <f>IFERROR(__xludf.DUMMYFUNCTION("""COMPUTED_VALUE"""),"Nguyễn Bình Minh Khôi")</f>
        <v>Nguyễn Bình Minh Khôi</v>
      </c>
      <c r="G255" s="126">
        <f>IFERROR(__xludf.DUMMYFUNCTION("""COMPUTED_VALUE"""),36346.0)</f>
        <v>36346</v>
      </c>
      <c r="H255" s="122" t="str">
        <f>IFERROR(__xludf.DUMMYFUNCTION("""COMPUTED_VALUE"""),"001099003635")</f>
        <v>001099003635</v>
      </c>
      <c r="I255" s="122" t="str">
        <f>IFERROR(__xludf.DUMMYFUNCTION("""COMPUTED_VALUE"""),"0936574335")</f>
        <v>0936574335</v>
      </c>
      <c r="J255" s="122" t="str">
        <f>IFERROR(__xludf.DUMMYFUNCTION("""COMPUTED_VALUE"""),"Chinchin7599@gmail.com")</f>
        <v>Chinchin7599@gmail.com</v>
      </c>
      <c r="K255" s="122" t="str">
        <f>IFERROR(__xludf.DUMMYFUNCTION("""COMPUTED_VALUE"""),"0491000190832")</f>
        <v>0491000190832</v>
      </c>
      <c r="L255" s="122" t="str">
        <f>IFERROR(__xludf.DUMMYFUNCTION("""COMPUTED_VALUE"""),"Doan hong hanh")</f>
        <v>Doan hong hanh</v>
      </c>
      <c r="M255" s="122" t="str">
        <f>IFERROR(__xludf.DUMMYFUNCTION("""COMPUTED_VALUE"""),"Vietcombank ")</f>
        <v>Vietcombank </v>
      </c>
      <c r="N255" s="122" t="str">
        <f>IFERROR(__xludf.DUMMYFUNCTION("""COMPUTED_VALUE"""),"N0512 khu tái định cư Triều Khúc")</f>
        <v>N0512 khu tái định cư Triều Khúc</v>
      </c>
      <c r="O255" s="122" t="str">
        <f>IFERROR(__xludf.DUMMYFUNCTION("""COMPUTED_VALUE"""),"trâm")</f>
        <v>trâm</v>
      </c>
      <c r="P255" s="123" t="str">
        <f>IFERROR(__xludf.DUMMYFUNCTION("""COMPUTED_VALUE"""),"trâm")</f>
        <v>trâm</v>
      </c>
      <c r="Q255" s="122"/>
      <c r="R255" s="122" t="str">
        <f>IFERROR(__xludf.DUMMYFUNCTION("""COMPUTED_VALUE"""),"INFKHOI335")</f>
        <v>INFKHOI335</v>
      </c>
      <c r="S255" s="124" t="str">
        <f>IFERROR(__xludf.DUMMYFUNCTION("""COMPUTED_VALUE"""),"http://yody.vn?affcode=INFKHOI335")</f>
        <v>http://yody.vn?affcode=INFKHOI335</v>
      </c>
    </row>
    <row r="256">
      <c r="A256" s="122" t="str">
        <f>IFERROR(__xludf.DUMMYFUNCTION("""COMPUTED_VALUE"""),"INFCHIEN271")</f>
        <v>INFCHIEN271</v>
      </c>
      <c r="B256" s="122" t="str">
        <f>IFERROR(__xludf.DUMMYFUNCTION("""COMPUTED_VALUE"""),"dmc1998")</f>
        <v>dmc1998</v>
      </c>
      <c r="C256" s="124" t="str">
        <f>IFERROR(__xludf.DUMMYFUNCTION("""COMPUTED_VALUE"""),"tiktok")</f>
        <v>tiktok</v>
      </c>
      <c r="D256" s="122"/>
      <c r="E256" s="122" t="str">
        <f>IFERROR(__xludf.DUMMYFUNCTION("""COMPUTED_VALUE"""),"4,9M")</f>
        <v>4,9M</v>
      </c>
      <c r="F256" s="122" t="str">
        <f>IFERROR(__xludf.DUMMYFUNCTION("""COMPUTED_VALUE"""),"Đỗ Mạnh Chiến")</f>
        <v>Đỗ Mạnh Chiến</v>
      </c>
      <c r="G256" s="122" t="str">
        <f>IFERROR(__xludf.DUMMYFUNCTION("""COMPUTED_VALUE"""),"23/08/1998")</f>
        <v>23/08/1998</v>
      </c>
      <c r="H256" s="122">
        <f>IFERROR(__xludf.DUMMYFUNCTION("""COMPUTED_VALUE"""),1.74533628E8)</f>
        <v>174533628</v>
      </c>
      <c r="I256" s="122" t="str">
        <f>IFERROR(__xludf.DUMMYFUNCTION("""COMPUTED_VALUE"""),"0965873271")</f>
        <v>0965873271</v>
      </c>
      <c r="J256" s="122" t="str">
        <f>IFERROR(__xludf.DUMMYFUNCTION("""COMPUTED_VALUE"""),"chienvau@gmail.com")</f>
        <v>chienvau@gmail.com</v>
      </c>
      <c r="K256" s="122">
        <f>IFERROR(__xludf.DUMMYFUNCTION("""COMPUTED_VALUE"""),1.03002908435E11)</f>
        <v>103002908435</v>
      </c>
      <c r="L256" s="122" t="str">
        <f>IFERROR(__xludf.DUMMYFUNCTION("""COMPUTED_VALUE"""),"DO MANH CHIEN")</f>
        <v>DO MANH CHIEN</v>
      </c>
      <c r="M256" s="122" t="str">
        <f>IFERROR(__xludf.DUMMYFUNCTION("""COMPUTED_VALUE"""),"Vietinbank")</f>
        <v>Vietinbank</v>
      </c>
      <c r="N256" s="122" t="str">
        <f>IFERROR(__xludf.DUMMYFUNCTION("""COMPUTED_VALUE"""),"44 Lạc Hồng, Khương Trung, Thanh Xuân, Hà Nội")</f>
        <v>44 Lạc Hồng, Khương Trung, Thanh Xuân, Hà Nội</v>
      </c>
      <c r="O256" s="122" t="str">
        <f>IFERROR(__xludf.DUMMYFUNCTION("""COMPUTED_VALUE"""),"trâm")</f>
        <v>trâm</v>
      </c>
      <c r="P256" s="123" t="str">
        <f>IFERROR(__xludf.DUMMYFUNCTION("""COMPUTED_VALUE"""),"trâm")</f>
        <v>trâm</v>
      </c>
      <c r="Q256" s="122"/>
      <c r="R256" s="122" t="str">
        <f>IFERROR(__xludf.DUMMYFUNCTION("""COMPUTED_VALUE"""),"INFCHIEN271")</f>
        <v>INFCHIEN271</v>
      </c>
      <c r="S256" s="124" t="str">
        <f>IFERROR(__xludf.DUMMYFUNCTION("""COMPUTED_VALUE"""),"http://yody.vn?affcode=INFCHIEN271")</f>
        <v>http://yody.vn?affcode=INFCHIEN271</v>
      </c>
    </row>
    <row r="257">
      <c r="A257" s="122" t="str">
        <f>IFERROR(__xludf.DUMMYFUNCTION("""COMPUTED_VALUE"""),"INFMY536")</f>
        <v>INFMY536</v>
      </c>
      <c r="B257" s="122" t="str">
        <f>IFERROR(__xludf.DUMMYFUNCTION("""COMPUTED_VALUE"""),"mymeowwww")</f>
        <v>mymeowwww</v>
      </c>
      <c r="C257" s="124" t="str">
        <f>IFERROR(__xludf.DUMMYFUNCTION("""COMPUTED_VALUE"""),"tiktok")</f>
        <v>tiktok</v>
      </c>
      <c r="D257" s="122"/>
      <c r="E257" s="122" t="str">
        <f>IFERROR(__xludf.DUMMYFUNCTION("""COMPUTED_VALUE"""),"865k")</f>
        <v>865k</v>
      </c>
      <c r="F257" s="122" t="str">
        <f>IFERROR(__xludf.DUMMYFUNCTION("""COMPUTED_VALUE"""),"Nguyễn Thùy My")</f>
        <v>Nguyễn Thùy My</v>
      </c>
      <c r="G257" s="122" t="str">
        <f>IFERROR(__xludf.DUMMYFUNCTION("""COMPUTED_VALUE"""),"29/10/1998")</f>
        <v>29/10/1998</v>
      </c>
      <c r="H257" s="122" t="str">
        <f>IFERROR(__xludf.DUMMYFUNCTION("""COMPUTED_VALUE"""),"073518891
")</f>
        <v>073518891
</v>
      </c>
      <c r="I257" s="122" t="str">
        <f>IFERROR(__xludf.DUMMYFUNCTION("""COMPUTED_VALUE"""),"0839891536")</f>
        <v>0839891536</v>
      </c>
      <c r="J257" s="122" t="str">
        <f>IFERROR(__xludf.DUMMYFUNCTION("""COMPUTED_VALUE"""),"ken.nguyen897@gmail.com")</f>
        <v>ken.nguyen897@gmail.com</v>
      </c>
      <c r="K257" s="122">
        <f>IFERROR(__xludf.DUMMYFUNCTION("""COMPUTED_VALUE"""),1.07002905941E11)</f>
        <v>107002905941</v>
      </c>
      <c r="L257" s="122" t="str">
        <f>IFERROR(__xludf.DUMMYFUNCTION("""COMPUTED_VALUE"""),"NGUYEN THUY MY")</f>
        <v>NGUYEN THUY MY</v>
      </c>
      <c r="M257" s="122" t="str">
        <f>IFERROR(__xludf.DUMMYFUNCTION("""COMPUTED_VALUE"""),"Viettinbank")</f>
        <v>Viettinbank</v>
      </c>
      <c r="N257" s="122" t="str">
        <f>IFERROR(__xludf.DUMMYFUNCTION("""COMPUTED_VALUE"""),"Số nhà 38 đường S Trâu Quỳ Hà Nội")</f>
        <v>Số nhà 38 đường S Trâu Quỳ Hà Nội</v>
      </c>
      <c r="O257" s="122" t="str">
        <f>IFERROR(__xludf.DUMMYFUNCTION("""COMPUTED_VALUE"""),"trâm")</f>
        <v>trâm</v>
      </c>
      <c r="P257" s="123" t="str">
        <f>IFERROR(__xludf.DUMMYFUNCTION("""COMPUTED_VALUE"""),"trâm")</f>
        <v>trâm</v>
      </c>
      <c r="Q257" s="122"/>
      <c r="R257" s="122" t="str">
        <f>IFERROR(__xludf.DUMMYFUNCTION("""COMPUTED_VALUE"""),"INFMY536")</f>
        <v>INFMY536</v>
      </c>
      <c r="S257" s="124" t="str">
        <f>IFERROR(__xludf.DUMMYFUNCTION("""COMPUTED_VALUE"""),"http://yody.vn?affcode=INFMY536")</f>
        <v>http://yody.vn?affcode=INFMY536</v>
      </c>
    </row>
    <row r="258">
      <c r="A258" s="122" t="str">
        <f>IFERROR(__xludf.DUMMYFUNCTION("""COMPUTED_VALUE"""),"INFHANG499")</f>
        <v>INFHANG499</v>
      </c>
      <c r="B258" s="122" t="str">
        <f>IFERROR(__xludf.DUMMYFUNCTION("""COMPUTED_VALUE"""),"thanhhang 1012")</f>
        <v>thanhhang 1012</v>
      </c>
      <c r="C258" s="124" t="str">
        <f>IFERROR(__xludf.DUMMYFUNCTION("""COMPUTED_VALUE"""),"tiktok")</f>
        <v>tiktok</v>
      </c>
      <c r="D258" s="122"/>
      <c r="E258" s="122" t="str">
        <f>IFERROR(__xludf.DUMMYFUNCTION("""COMPUTED_VALUE"""),"178,5k")</f>
        <v>178,5k</v>
      </c>
      <c r="F258" s="122" t="str">
        <f>IFERROR(__xludf.DUMMYFUNCTION("""COMPUTED_VALUE"""),"Nguyễn Thanh Hằng")</f>
        <v>Nguyễn Thanh Hằng</v>
      </c>
      <c r="G258" s="125">
        <f>IFERROR(__xludf.DUMMYFUNCTION("""COMPUTED_VALUE"""),36445.0)</f>
        <v>36445</v>
      </c>
      <c r="H258" s="122" t="str">
        <f>IFERROR(__xludf.DUMMYFUNCTION("""COMPUTED_VALUE"""),"001199028815")</f>
        <v>001199028815</v>
      </c>
      <c r="I258" s="122" t="str">
        <f>IFERROR(__xludf.DUMMYFUNCTION("""COMPUTED_VALUE"""),"0374943499")</f>
        <v>0374943499</v>
      </c>
      <c r="J258" s="122" t="str">
        <f>IFERROR(__xludf.DUMMYFUNCTION("""COMPUTED_VALUE""")," thanhhangnguyen639@gmail.com ")</f>
        <v> thanhhangnguyen639@gmail.com </v>
      </c>
      <c r="K258" s="122">
        <f>IFERROR(__xludf.DUMMYFUNCTION("""COMPUTED_VALUE"""),1.9036087002018E13)</f>
        <v>19036087002018</v>
      </c>
      <c r="L258" s="122" t="str">
        <f>IFERROR(__xludf.DUMMYFUNCTION("""COMPUTED_VALUE"""),"NGUYEN THANH HANG")</f>
        <v>NGUYEN THANH HANG</v>
      </c>
      <c r="M258" s="122" t="str">
        <f>IFERROR(__xludf.DUMMYFUNCTION("""COMPUTED_VALUE"""),"Techcombank")</f>
        <v>Techcombank</v>
      </c>
      <c r="N258" s="122" t="str">
        <f>IFERROR(__xludf.DUMMYFUNCTION("""COMPUTED_VALUE"""),"thôn cam- xã cổ bi- huyện Gia Lâm-Hà Nội")</f>
        <v>thôn cam- xã cổ bi- huyện Gia Lâm-Hà Nội</v>
      </c>
      <c r="O258" s="122" t="str">
        <f>IFERROR(__xludf.DUMMYFUNCTION("""COMPUTED_VALUE"""),"trâm")</f>
        <v>trâm</v>
      </c>
      <c r="P258" s="123" t="str">
        <f>IFERROR(__xludf.DUMMYFUNCTION("""COMPUTED_VALUE"""),"trâm")</f>
        <v>trâm</v>
      </c>
      <c r="Q258" s="122"/>
      <c r="R258" s="122" t="str">
        <f>IFERROR(__xludf.DUMMYFUNCTION("""COMPUTED_VALUE"""),"INFHANG499")</f>
        <v>INFHANG499</v>
      </c>
      <c r="S258" s="124" t="str">
        <f>IFERROR(__xludf.DUMMYFUNCTION("""COMPUTED_VALUE"""),"http://yody.vn?affcode=INFHANG499")</f>
        <v>http://yody.vn?affcode=INFHANG499</v>
      </c>
    </row>
    <row r="259">
      <c r="A259" s="122" t="str">
        <f>IFERROR(__xludf.DUMMYFUNCTION("""COMPUTED_VALUE"""),"INFNGOC288")</f>
        <v>INFNGOC288</v>
      </c>
      <c r="B259" s="122" t="str">
        <f>IFERROR(__xludf.DUMMYFUNCTION("""COMPUTED_VALUE"""),"Ngọc Kem")</f>
        <v>Ngọc Kem</v>
      </c>
      <c r="C259" s="122"/>
      <c r="D259" s="122"/>
      <c r="E259" s="122" t="str">
        <f>IFERROR(__xludf.DUMMYFUNCTION("""COMPUTED_VALUE"""),"617k")</f>
        <v>617k</v>
      </c>
      <c r="F259" s="122" t="str">
        <f>IFERROR(__xludf.DUMMYFUNCTION("""COMPUTED_VALUE"""),"Trần Nguyễn Hồng Ngọc")</f>
        <v>Trần Nguyễn Hồng Ngọc</v>
      </c>
      <c r="G259" s="129">
        <f>IFERROR(__xludf.DUMMYFUNCTION("""COMPUTED_VALUE"""),36187.0)</f>
        <v>36187</v>
      </c>
      <c r="H259" s="122">
        <f>IFERROR(__xludf.DUMMYFUNCTION("""COMPUTED_VALUE"""),1.2590706E8)</f>
        <v>125907060</v>
      </c>
      <c r="I259" s="122" t="str">
        <f>IFERROR(__xludf.DUMMYFUNCTION("""COMPUTED_VALUE"""),"0985331288")</f>
        <v>0985331288</v>
      </c>
      <c r="J259" s="122" t="str">
        <f>IFERROR(__xludf.DUMMYFUNCTION("""COMPUTED_VALUE"""),"ngockemm2422@gmail.com")</f>
        <v>ngockemm2422@gmail.com</v>
      </c>
      <c r="K259" s="122">
        <f>IFERROR(__xludf.DUMMYFUNCTION("""COMPUTED_VALUE"""),1.9035142662018E13)</f>
        <v>19035142662018</v>
      </c>
      <c r="L259" s="122"/>
      <c r="M259" s="122"/>
      <c r="N259" s="122"/>
      <c r="O259" s="122" t="str">
        <f>IFERROR(__xludf.DUMMYFUNCTION("""COMPUTED_VALUE"""),"Hoa")</f>
        <v>Hoa</v>
      </c>
      <c r="P259" s="123" t="str">
        <f>IFERROR(__xludf.DUMMYFUNCTION("""COMPUTED_VALUE"""),"Hoa")</f>
        <v>Hoa</v>
      </c>
      <c r="Q259" s="122"/>
      <c r="R259" s="122" t="str">
        <f>IFERROR(__xludf.DUMMYFUNCTION("""COMPUTED_VALUE"""),"INFNGOC288")</f>
        <v>INFNGOC288</v>
      </c>
      <c r="S259" s="124" t="str">
        <f>IFERROR(__xludf.DUMMYFUNCTION("""COMPUTED_VALUE"""),"http://yody.vn?affcode=INFNGOC288")</f>
        <v>http://yody.vn?affcode=INFNGOC288</v>
      </c>
    </row>
    <row r="260">
      <c r="A260" s="122" t="str">
        <f>IFERROR(__xludf.DUMMYFUNCTION("""COMPUTED_VALUE"""),"INFGIANG916")</f>
        <v>INFGIANG916</v>
      </c>
      <c r="B260" s="122" t="str">
        <f>IFERROR(__xludf.DUMMYFUNCTION("""COMPUTED_VALUE"""),"Thái Hà Giang")</f>
        <v>Thái Hà Giang</v>
      </c>
      <c r="C260" s="124" t="str">
        <f>IFERROR(__xludf.DUMMYFUNCTION("""COMPUTED_VALUE"""),"fb")</f>
        <v>fb</v>
      </c>
      <c r="D260" s="124" t="str">
        <f>IFERROR(__xludf.DUMMYFUNCTION("""COMPUTED_VALUE"""),"tiktok")</f>
        <v>tiktok</v>
      </c>
      <c r="E260" s="122" t="str">
        <f>IFERROR(__xludf.DUMMYFUNCTION("""COMPUTED_VALUE"""),"213,5k / 38k")</f>
        <v>213,5k / 38k</v>
      </c>
      <c r="F260" s="122" t="str">
        <f>IFERROR(__xludf.DUMMYFUNCTION("""COMPUTED_VALUE"""),"Thái Thị Giang")</f>
        <v>Thái Thị Giang</v>
      </c>
      <c r="G260" s="122" t="str">
        <f>IFERROR(__xludf.DUMMYFUNCTION("""COMPUTED_VALUE"""),"29/7/1993")</f>
        <v>29/7/1993</v>
      </c>
      <c r="H260" s="122">
        <f>IFERROR(__xludf.DUMMYFUNCTION("""COMPUTED_VALUE"""),1.82473399E8)</f>
        <v>182473399</v>
      </c>
      <c r="I260" s="122" t="str">
        <f>IFERROR(__xludf.DUMMYFUNCTION("""COMPUTED_VALUE"""),"0975597916")</f>
        <v>0975597916</v>
      </c>
      <c r="J260" s="122" t="str">
        <f>IFERROR(__xludf.DUMMYFUNCTION("""COMPUTED_VALUE"""),"thaihagiang4@gmail.com")</f>
        <v>thaihagiang4@gmail.com</v>
      </c>
      <c r="K260" s="122">
        <f>IFERROR(__xludf.DUMMYFUNCTION("""COMPUTED_VALUE"""),1.01001136793E11)</f>
        <v>101001136793</v>
      </c>
      <c r="L260" s="122" t="str">
        <f>IFERROR(__xludf.DUMMYFUNCTION("""COMPUTED_VALUE"""),"Thái Thị Giang")</f>
        <v>Thái Thị Giang</v>
      </c>
      <c r="M260" s="122" t="str">
        <f>IFERROR(__xludf.DUMMYFUNCTION("""COMPUTED_VALUE"""),"Vietcombank ")</f>
        <v>Vietcombank </v>
      </c>
      <c r="N260" s="122" t="str">
        <f>IFERROR(__xludf.DUMMYFUNCTION("""COMPUTED_VALUE"""),"số 32, ngõ 84, đường Lê Xuân Đào, Hưng Chính, tp. Vinh, Nghệ An")</f>
        <v>số 32, ngõ 84, đường Lê Xuân Đào, Hưng Chính, tp. Vinh, Nghệ An</v>
      </c>
      <c r="O260" s="122"/>
      <c r="P260" s="123" t="str">
        <f>IFERROR(__xludf.DUMMYFUNCTION("""COMPUTED_VALUE"""),"Hoa")</f>
        <v>Hoa</v>
      </c>
      <c r="Q260" s="122"/>
      <c r="R260" s="122" t="str">
        <f>IFERROR(__xludf.DUMMYFUNCTION("""COMPUTED_VALUE"""),"INFGIANG916")</f>
        <v>INFGIANG916</v>
      </c>
      <c r="S260" s="124" t="str">
        <f>IFERROR(__xludf.DUMMYFUNCTION("""COMPUTED_VALUE"""),"http://yody.vn?affcode=INFGIANG916")</f>
        <v>http://yody.vn?affcode=INFGIANG916</v>
      </c>
    </row>
    <row r="261">
      <c r="A261" s="122" t="str">
        <f>IFERROR(__xludf.DUMMYFUNCTION("""COMPUTED_VALUE"""),"INFLOI899")</f>
        <v>INFLOI899</v>
      </c>
      <c r="B261" s="122" t="str">
        <f>IFERROR(__xludf.DUMMYFUNCTION("""COMPUTED_VALUE"""),"Ngo Loi")</f>
        <v>Ngo Loi</v>
      </c>
      <c r="C261" s="124" t="str">
        <f>IFERROR(__xludf.DUMMYFUNCTION("""COMPUTED_VALUE"""),"fb")</f>
        <v>fb</v>
      </c>
      <c r="D261" s="122"/>
      <c r="E261" s="122" t="str">
        <f>IFERROR(__xludf.DUMMYFUNCTION("""COMPUTED_VALUE"""),"104,5k")</f>
        <v>104,5k</v>
      </c>
      <c r="F261" s="122" t="str">
        <f>IFERROR(__xludf.DUMMYFUNCTION("""COMPUTED_VALUE"""),"Ngô Văn Lợi")</f>
        <v>Ngô Văn Lợi</v>
      </c>
      <c r="G261" s="122" t="str">
        <f>IFERROR(__xludf.DUMMYFUNCTION("""COMPUTED_VALUE"""),"28/11/1979")</f>
        <v>28/11/1979</v>
      </c>
      <c r="H261" s="122">
        <f>IFERROR(__xludf.DUMMYFUNCTION("""COMPUTED_VALUE"""),1.21358167E8)</f>
        <v>121358167</v>
      </c>
      <c r="I261" s="122" t="str">
        <f>IFERROR(__xludf.DUMMYFUNCTION("""COMPUTED_VALUE"""),"0906080899")</f>
        <v>0906080899</v>
      </c>
      <c r="J261" s="122" t="str">
        <f>IFERROR(__xludf.DUMMYFUNCTION("""COMPUTED_VALUE"""),"Ngoloi.bg@gmail.com")</f>
        <v>Ngoloi.bg@gmail.com</v>
      </c>
      <c r="K261" s="122">
        <f>IFERROR(__xludf.DUMMYFUNCTION("""COMPUTED_VALUE"""),4.3110000908691E13)</f>
        <v>43110000908691</v>
      </c>
      <c r="L261" s="122" t="str">
        <f>IFERROR(__xludf.DUMMYFUNCTION("""COMPUTED_VALUE"""),"Ngô Văn Lợi")</f>
        <v>Ngô Văn Lợi</v>
      </c>
      <c r="M261" s="122" t="str">
        <f>IFERROR(__xludf.DUMMYFUNCTION("""COMPUTED_VALUE"""),"BIDV chi nhánh Tp. Bắc Giang")</f>
        <v>BIDV chi nhánh Tp. Bắc Giang</v>
      </c>
      <c r="N261" s="122" t="str">
        <f>IFERROR(__xludf.DUMMYFUNCTION("""COMPUTED_VALUE"""),"Chung cư Bách Việt.phường Dĩnh Kế.Tp.Bắc Giang")</f>
        <v>Chung cư Bách Việt.phường Dĩnh Kế.Tp.Bắc Giang</v>
      </c>
      <c r="O261" s="122"/>
      <c r="P261" s="123" t="str">
        <f>IFERROR(__xludf.DUMMYFUNCTION("""COMPUTED_VALUE"""),"Hoa")</f>
        <v>Hoa</v>
      </c>
      <c r="Q261" s="122"/>
      <c r="R261" s="122" t="str">
        <f>IFERROR(__xludf.DUMMYFUNCTION("""COMPUTED_VALUE"""),"INFLOI899")</f>
        <v>INFLOI899</v>
      </c>
      <c r="S261" s="124" t="str">
        <f>IFERROR(__xludf.DUMMYFUNCTION("""COMPUTED_VALUE"""),"http://yody.vn?affcode=INFLOI899")</f>
        <v>http://yody.vn?affcode=INFLOI899</v>
      </c>
    </row>
    <row r="262">
      <c r="A262" s="122" t="str">
        <f>IFERROR(__xludf.DUMMYFUNCTION("""COMPUTED_VALUE"""),"INFQUYEN404")</f>
        <v>INFQUYEN404</v>
      </c>
      <c r="B262" s="122" t="str">
        <f>IFERROR(__xludf.DUMMYFUNCTION("""COMPUTED_VALUE"""),"Quyen Doan")</f>
        <v>Quyen Doan</v>
      </c>
      <c r="C262" s="124" t="str">
        <f>IFERROR(__xludf.DUMMYFUNCTION("""COMPUTED_VALUE"""),"fb")</f>
        <v>fb</v>
      </c>
      <c r="D262" s="122"/>
      <c r="E262" s="122" t="str">
        <f>IFERROR(__xludf.DUMMYFUNCTION("""COMPUTED_VALUE"""),"143k")</f>
        <v>143k</v>
      </c>
      <c r="F262" s="122" t="str">
        <f>IFERROR(__xludf.DUMMYFUNCTION("""COMPUTED_VALUE"""),"Đoàn Ngọc Quyên")</f>
        <v>Đoàn Ngọc Quyên</v>
      </c>
      <c r="G262" s="126">
        <f>IFERROR(__xludf.DUMMYFUNCTION("""COMPUTED_VALUE"""),33731.0)</f>
        <v>33731</v>
      </c>
      <c r="H262" s="122">
        <f>IFERROR(__xludf.DUMMYFUNCTION("""COMPUTED_VALUE"""),2.01611667E8)</f>
        <v>201611667</v>
      </c>
      <c r="I262" s="122" t="str">
        <f>IFERROR(__xludf.DUMMYFUNCTION("""COMPUTED_VALUE"""),"0935757404")</f>
        <v>0935757404</v>
      </c>
      <c r="J262" s="122" t="str">
        <f>IFERROR(__xludf.DUMMYFUNCTION("""COMPUTED_VALUE"""),"ngocquyen3892@gmail.com")</f>
        <v>ngocquyen3892@gmail.com</v>
      </c>
      <c r="K262" s="122">
        <f>IFERROR(__xludf.DUMMYFUNCTION("""COMPUTED_VALUE"""),1.8550838668E10)</f>
        <v>18550838668</v>
      </c>
      <c r="L262" s="122" t="str">
        <f>IFERROR(__xludf.DUMMYFUNCTION("""COMPUTED_VALUE""")," Đoàn Ngọc Quyên  ")</f>
        <v> Đoàn Ngọc Quyên  </v>
      </c>
      <c r="M262" s="122" t="str">
        <f>IFERROR(__xludf.DUMMYFUNCTION("""COMPUTED_VALUE""")," tmcp Sài Gòn")</f>
        <v> tmcp Sài Gòn</v>
      </c>
      <c r="N262" s="122" t="str">
        <f>IFERROR(__xludf.DUMMYFUNCTION("""COMPUTED_VALUE"""),"Chung cư Diamond riverside, phương 16, quận 8, Hồ Chí Minh")</f>
        <v>Chung cư Diamond riverside, phương 16, quận 8, Hồ Chí Minh</v>
      </c>
      <c r="O262" s="122"/>
      <c r="P262" s="123" t="str">
        <f>IFERROR(__xludf.DUMMYFUNCTION("""COMPUTED_VALUE"""),"Mến")</f>
        <v>Mến</v>
      </c>
      <c r="Q262" s="122"/>
      <c r="R262" s="122" t="str">
        <f>IFERROR(__xludf.DUMMYFUNCTION("""COMPUTED_VALUE"""),"INFQUYEN404")</f>
        <v>INFQUYEN404</v>
      </c>
      <c r="S262" s="124" t="str">
        <f>IFERROR(__xludf.DUMMYFUNCTION("""COMPUTED_VALUE"""),"https://yody.vn/?affcode=INFQUYEN404")</f>
        <v>https://yody.vn/?affcode=INFQUYEN404</v>
      </c>
    </row>
    <row r="263">
      <c r="A263" s="122" t="str">
        <f>IFERROR(__xludf.DUMMYFUNCTION("""COMPUTED_VALUE"""),"INFVY915")</f>
        <v>INFVY915</v>
      </c>
      <c r="B263" s="122" t="str">
        <f>IFERROR(__xludf.DUMMYFUNCTION("""COMPUTED_VALUE"""),"Lê Hà Vy")</f>
        <v>Lê Hà Vy</v>
      </c>
      <c r="C263" s="124" t="str">
        <f>IFERROR(__xludf.DUMMYFUNCTION("""COMPUTED_VALUE"""),"fb")</f>
        <v>fb</v>
      </c>
      <c r="D263" s="122"/>
      <c r="E263" s="122" t="str">
        <f>IFERROR(__xludf.DUMMYFUNCTION("""COMPUTED_VALUE"""),"42k")</f>
        <v>42k</v>
      </c>
      <c r="F263" s="122" t="str">
        <f>IFERROR(__xludf.DUMMYFUNCTION("""COMPUTED_VALUE"""),"Lê Hà Vy")</f>
        <v>Lê Hà Vy</v>
      </c>
      <c r="G263" s="122" t="str">
        <f>IFERROR(__xludf.DUMMYFUNCTION("""COMPUTED_VALUE"""),"18-11-1999")</f>
        <v>18-11-1999</v>
      </c>
      <c r="H263" s="122">
        <f>IFERROR(__xludf.DUMMYFUNCTION("""COMPUTED_VALUE"""),1.9741386E8)</f>
        <v>197413860</v>
      </c>
      <c r="I263" s="122" t="str">
        <f>IFERROR(__xludf.DUMMYFUNCTION("""COMPUTED_VALUE"""),"0777402915")</f>
        <v>0777402915</v>
      </c>
      <c r="J263" s="122" t="str">
        <f>IFERROR(__xludf.DUMMYFUNCTION("""COMPUTED_VALUE"""),"lehavymokhoa@gmail.com")</f>
        <v>lehavymokhoa@gmail.com</v>
      </c>
      <c r="K263" s="122" t="str">
        <f>IFERROR(__xludf.DUMMYFUNCTION("""COMPUTED_VALUE"""),"0777402915
")</f>
        <v>0777402915
</v>
      </c>
      <c r="L263" s="122" t="str">
        <f>IFERROR(__xludf.DUMMYFUNCTION("""COMPUTED_VALUE"""),"Lê Thị Hà Vy")</f>
        <v>Lê Thị Hà Vy</v>
      </c>
      <c r="M263" s="122" t="str">
        <f>IFERROR(__xludf.DUMMYFUNCTION("""COMPUTED_VALUE"""),"Mb Bank 
Chi nhánh: Đà Nẵng")</f>
        <v>Mb Bank 
Chi nhánh: Đà Nẵng</v>
      </c>
      <c r="N263" s="122" t="str">
        <f>IFERROR(__xludf.DUMMYFUNCTION("""COMPUTED_VALUE"""),"Đội 4 Thượng Xá, Hải Thượng, huyện Hải Lăng, tỉnh Quảng Trị")</f>
        <v>Đội 4 Thượng Xá, Hải Thượng, huyện Hải Lăng, tỉnh Quảng Trị</v>
      </c>
      <c r="O263" s="122"/>
      <c r="P263" s="123" t="str">
        <f>IFERROR(__xludf.DUMMYFUNCTION("""COMPUTED_VALUE"""),"mến")</f>
        <v>mến</v>
      </c>
      <c r="Q263" s="122"/>
      <c r="R263" s="122" t="str">
        <f>IFERROR(__xludf.DUMMYFUNCTION("""COMPUTED_VALUE"""),"INFVY915")</f>
        <v>INFVY915</v>
      </c>
      <c r="S263" s="124" t="str">
        <f>IFERROR(__xludf.DUMMYFUNCTION("""COMPUTED_VALUE"""),"https://yody.vn/?affcode=INFVY915")</f>
        <v>https://yody.vn/?affcode=INFVY915</v>
      </c>
    </row>
    <row r="264">
      <c r="A264" s="122" t="str">
        <f>IFERROR(__xludf.DUMMYFUNCTION("""COMPUTED_VALUE"""),"INFCHUAN823")</f>
        <v>INFCHUAN823</v>
      </c>
      <c r="B264" s="122" t="str">
        <f>IFERROR(__xludf.DUMMYFUNCTION("""COMPUTED_VALUE"""),"Nguyễn Nhật Linh")</f>
        <v>Nguyễn Nhật Linh</v>
      </c>
      <c r="C264" s="124" t="str">
        <f>IFERROR(__xludf.DUMMYFUNCTION("""COMPUTED_VALUE"""),"fb")</f>
        <v>fb</v>
      </c>
      <c r="D264" s="122"/>
      <c r="E264" s="122" t="str">
        <f>IFERROR(__xludf.DUMMYFUNCTION("""COMPUTED_VALUE"""),"73,2k")</f>
        <v>73,2k</v>
      </c>
      <c r="F264" s="122" t="str">
        <f>IFERROR(__xludf.DUMMYFUNCTION("""COMPUTED_VALUE"""),"Nguyễn Công Chuẩn")</f>
        <v>Nguyễn Công Chuẩn</v>
      </c>
      <c r="G264" s="122" t="str">
        <f>IFERROR(__xludf.DUMMYFUNCTION("""COMPUTED_VALUE"""),"16/12/1990")</f>
        <v>16/12/1990</v>
      </c>
      <c r="H264" s="122">
        <f>IFERROR(__xludf.DUMMYFUNCTION("""COMPUTED_VALUE"""),1.3212254E8)</f>
        <v>132122540</v>
      </c>
      <c r="I264" s="122" t="str">
        <f>IFERROR(__xludf.DUMMYFUNCTION("""COMPUTED_VALUE"""),"0974059823")</f>
        <v>0974059823</v>
      </c>
      <c r="J264" s="122" t="str">
        <f>IFERROR(__xludf.DUMMYFUNCTION("""COMPUTED_VALUE"""),"chuanplaza.pt@gmail.com")</f>
        <v>chuanplaza.pt@gmail.com</v>
      </c>
      <c r="K264" s="122">
        <f>IFERROR(__xludf.DUMMYFUNCTION("""COMPUTED_VALUE"""),2.2010003451284E13)</f>
        <v>22010003451284</v>
      </c>
      <c r="L264" s="122" t="str">
        <f>IFERROR(__xludf.DUMMYFUNCTION("""COMPUTED_VALUE"""),"Trương Thị Lan  ")</f>
        <v>Trương Thị Lan  </v>
      </c>
      <c r="M264" s="122" t="str">
        <f>IFERROR(__xludf.DUMMYFUNCTION("""COMPUTED_VALUE"""),"BIDV")</f>
        <v>BIDV</v>
      </c>
      <c r="N264" s="122" t="str">
        <f>IFERROR(__xludf.DUMMYFUNCTION("""COMPUTED_VALUE"""),"C1A Ecohome 2 - Đông Ngạc - Bắc Từ Liêm -HN")</f>
        <v>C1A Ecohome 2 - Đông Ngạc - Bắc Từ Liêm -HN</v>
      </c>
      <c r="O264" s="122"/>
      <c r="P264" s="123" t="str">
        <f>IFERROR(__xludf.DUMMYFUNCTION("""COMPUTED_VALUE"""),"Hoa")</f>
        <v>Hoa</v>
      </c>
      <c r="Q264" s="122"/>
      <c r="R264" s="122" t="str">
        <f>IFERROR(__xludf.DUMMYFUNCTION("""COMPUTED_VALUE"""),"INFCHUAN823")</f>
        <v>INFCHUAN823</v>
      </c>
      <c r="S264" s="124" t="str">
        <f>IFERROR(__xludf.DUMMYFUNCTION("""COMPUTED_VALUE"""),"http://yody.vn?affcode=INFCHUAN823")</f>
        <v>http://yody.vn?affcode=INFCHUAN823</v>
      </c>
    </row>
    <row r="265">
      <c r="A265" s="122" t="str">
        <f>IFERROR(__xludf.DUMMYFUNCTION("""COMPUTED_VALUE"""),"INFTRUONG900")</f>
        <v>INFTRUONG900</v>
      </c>
      <c r="B265" s="122" t="str">
        <f>IFERROR(__xludf.DUMMYFUNCTION("""COMPUTED_VALUE"""),"Nguyễn Xuân Trường")</f>
        <v>Nguyễn Xuân Trường</v>
      </c>
      <c r="C265" s="124" t="str">
        <f>IFERROR(__xludf.DUMMYFUNCTION("""COMPUTED_VALUE"""),"fb")</f>
        <v>fb</v>
      </c>
      <c r="D265" s="122"/>
      <c r="E265" s="122" t="str">
        <f>IFERROR(__xludf.DUMMYFUNCTION("""COMPUTED_VALUE"""),"58,3k")</f>
        <v>58,3k</v>
      </c>
      <c r="F265" s="122" t="str">
        <f>IFERROR(__xludf.DUMMYFUNCTION("""COMPUTED_VALUE"""),"Nguyễn Xuân Trường")</f>
        <v>Nguyễn Xuân Trường</v>
      </c>
      <c r="G265" s="122" t="str">
        <f>IFERROR(__xludf.DUMMYFUNCTION("""COMPUTED_VALUE"""),"25/5/1977")</f>
        <v>25/5/1977</v>
      </c>
      <c r="H265" s="122" t="str">
        <f>IFERROR(__xludf.DUMMYFUNCTION("""COMPUTED_VALUE"""),"001077012965")</f>
        <v>001077012965</v>
      </c>
      <c r="I265" s="122" t="str">
        <f>IFERROR(__xludf.DUMMYFUNCTION("""COMPUTED_VALUE"""),"0906851900")</f>
        <v>0906851900</v>
      </c>
      <c r="J265" s="122" t="str">
        <f>IFERROR(__xludf.DUMMYFUNCTION("""COMPUTED_VALUE"""),"hophuonglinh18041994@gmail.com")</f>
        <v>hophuonglinh18041994@gmail.com</v>
      </c>
      <c r="K265" s="122"/>
      <c r="L265" s="122"/>
      <c r="M265" s="122"/>
      <c r="N265" s="122" t="str">
        <f>IFERROR(__xludf.DUMMYFUNCTION("""COMPUTED_VALUE"""),"6/48/100 Tây Sơn, Quang Trung, Đống Đa, Hà Nội")</f>
        <v>6/48/100 Tây Sơn, Quang Trung, Đống Đa, Hà Nội</v>
      </c>
      <c r="O265" s="122"/>
      <c r="P265" s="123" t="str">
        <f>IFERROR(__xludf.DUMMYFUNCTION("""COMPUTED_VALUE"""),"Hoa")</f>
        <v>Hoa</v>
      </c>
      <c r="Q265" s="122"/>
      <c r="R265" s="122" t="str">
        <f>IFERROR(__xludf.DUMMYFUNCTION("""COMPUTED_VALUE"""),"INFTRUONG900")</f>
        <v>INFTRUONG900</v>
      </c>
      <c r="S265" s="124" t="str">
        <f>IFERROR(__xludf.DUMMYFUNCTION("""COMPUTED_VALUE"""),"http://yody.vn?affcode=INFTRUONG900")</f>
        <v>http://yody.vn?affcode=INFTRUONG900</v>
      </c>
    </row>
    <row r="266">
      <c r="A266" s="122" t="str">
        <f>IFERROR(__xludf.DUMMYFUNCTION("""COMPUTED_VALUE"""),"INFHUY231")</f>
        <v>INFHUY231</v>
      </c>
      <c r="B266" s="122" t="str">
        <f>IFERROR(__xludf.DUMMYFUNCTION("""COMPUTED_VALUE"""),"Huy Quang Trần")</f>
        <v>Huy Quang Trần</v>
      </c>
      <c r="C266" s="124" t="str">
        <f>IFERROR(__xludf.DUMMYFUNCTION("""COMPUTED_VALUE"""),"tiktok")</f>
        <v>tiktok</v>
      </c>
      <c r="D266" s="122"/>
      <c r="E266" s="122" t="str">
        <f>IFERROR(__xludf.DUMMYFUNCTION("""COMPUTED_VALUE"""),"774,4k")</f>
        <v>774,4k</v>
      </c>
      <c r="F266" s="122" t="str">
        <f>IFERROR(__xludf.DUMMYFUNCTION("""COMPUTED_VALUE"""),"Trần Quang Huy")</f>
        <v>Trần Quang Huy</v>
      </c>
      <c r="G266" s="122" t="str">
        <f>IFERROR(__xludf.DUMMYFUNCTION("""COMPUTED_VALUE"""),"16/01/2002")</f>
        <v>16/01/2002</v>
      </c>
      <c r="H266" s="122" t="str">
        <f>IFERROR(__xludf.DUMMYFUNCTION("""COMPUTED_VALUE"""),"026202004277")</f>
        <v>026202004277</v>
      </c>
      <c r="I266" s="122" t="str">
        <f>IFERROR(__xludf.DUMMYFUNCTION("""COMPUTED_VALUE"""),"0967367231")</f>
        <v>0967367231</v>
      </c>
      <c r="J266" s="122" t="str">
        <f>IFERROR(__xludf.DUMMYFUNCTION("""COMPUTED_VALUE"""),"hqtofficial@gmail.com")</f>
        <v>hqtofficial@gmail.com</v>
      </c>
      <c r="K266" s="122">
        <f>IFERROR(__xludf.DUMMYFUNCTION("""COMPUTED_VALUE"""),2.870406014121E13)</f>
        <v>28704060141210</v>
      </c>
      <c r="L266" s="122" t="str">
        <f>IFERROR(__xludf.DUMMYFUNCTION("""COMPUTED_VALUE"""),"Trần Quang Huy")</f>
        <v>Trần Quang Huy</v>
      </c>
      <c r="M266" s="122" t="str">
        <f>IFERROR(__xludf.DUMMYFUNCTION("""COMPUTED_VALUE"""),"ViB  ")</f>
        <v>ViB  </v>
      </c>
      <c r="N266" s="122" t="str">
        <f>IFERROR(__xludf.DUMMYFUNCTION("""COMPUTED_VALUE"""),"Ngõ 63/30 Lê Đức Thọ")</f>
        <v>Ngõ 63/30 Lê Đức Thọ</v>
      </c>
      <c r="O266" s="122"/>
      <c r="P266" s="123" t="str">
        <f>IFERROR(__xludf.DUMMYFUNCTION("""COMPUTED_VALUE"""),"Hoa")</f>
        <v>Hoa</v>
      </c>
      <c r="Q266" s="122"/>
      <c r="R266" s="122" t="str">
        <f>IFERROR(__xludf.DUMMYFUNCTION("""COMPUTED_VALUE"""),"INFHUY231")</f>
        <v>INFHUY231</v>
      </c>
      <c r="S266" s="124" t="str">
        <f>IFERROR(__xludf.DUMMYFUNCTION("""COMPUTED_VALUE"""),"http://yody.vn?affcode=INFHUY231")</f>
        <v>http://yody.vn?affcode=INFHUY231</v>
      </c>
    </row>
    <row r="267">
      <c r="A267" s="122" t="str">
        <f>IFERROR(__xludf.DUMMYFUNCTION("""COMPUTED_VALUE"""),"INFANH989")</f>
        <v>INFANH989</v>
      </c>
      <c r="B267" s="122" t="str">
        <f>IFERROR(__xludf.DUMMYFUNCTION("""COMPUTED_VALUE"""),"Quỳnh Anh")</f>
        <v>Quỳnh Anh</v>
      </c>
      <c r="C267" s="124" t="str">
        <f>IFERROR(__xludf.DUMMYFUNCTION("""COMPUTED_VALUE"""),"tiktok")</f>
        <v>tiktok</v>
      </c>
      <c r="D267" s="122"/>
      <c r="E267" s="122" t="str">
        <f>IFERROR(__xludf.DUMMYFUNCTION("""COMPUTED_VALUE"""),"770,8k")</f>
        <v>770,8k</v>
      </c>
      <c r="F267" s="122" t="str">
        <f>IFERROR(__xludf.DUMMYFUNCTION("""COMPUTED_VALUE"""),"Trần Quỳnh Anh")</f>
        <v>Trần Quỳnh Anh</v>
      </c>
      <c r="G267" s="122" t="str">
        <f>IFERROR(__xludf.DUMMYFUNCTION("""COMPUTED_VALUE"""),"20/09/2000")</f>
        <v>20/09/2000</v>
      </c>
      <c r="H267" s="122" t="str">
        <f>IFERROR(__xludf.DUMMYFUNCTION("""COMPUTED_VALUE"""),"022300004738")</f>
        <v>022300004738</v>
      </c>
      <c r="I267" s="122" t="str">
        <f>IFERROR(__xludf.DUMMYFUNCTION("""COMPUTED_VALUE"""),"0799272989")</f>
        <v>0799272989</v>
      </c>
      <c r="J267" s="122" t="str">
        <f>IFERROR(__xludf.DUMMYFUNCTION("""COMPUTED_VALUE"""),"Quynhanh209vn@gmail.com")</f>
        <v>Quynhanh209vn@gmail.com</v>
      </c>
      <c r="K267" s="122">
        <f>IFERROR(__xludf.DUMMYFUNCTION("""COMPUTED_VALUE"""),1.07868423933E11)</f>
        <v>107868423933</v>
      </c>
      <c r="L267" s="122" t="str">
        <f>IFERROR(__xludf.DUMMYFUNCTION("""COMPUTED_VALUE"""),"TRAN THI QUYNH ANH ")</f>
        <v>TRAN THI QUYNH ANH </v>
      </c>
      <c r="M267" s="122" t="str">
        <f>IFERROR(__xludf.DUMMYFUNCTION("""COMPUTED_VALUE"""),"Vietinbank")</f>
        <v>Vietinbank</v>
      </c>
      <c r="N267" s="122" t="str">
        <f>IFERROR(__xludf.DUMMYFUNCTION("""COMPUTED_VALUE"""),"Ngõ 13 Cao Thắng Hạ Long Quảng Ninh")</f>
        <v>Ngõ 13 Cao Thắng Hạ Long Quảng Ninh</v>
      </c>
      <c r="O267" s="122"/>
      <c r="P267" s="123" t="str">
        <f>IFERROR(__xludf.DUMMYFUNCTION("""COMPUTED_VALUE"""),"Hoa")</f>
        <v>Hoa</v>
      </c>
      <c r="Q267" s="122"/>
      <c r="R267" s="122" t="str">
        <f>IFERROR(__xludf.DUMMYFUNCTION("""COMPUTED_VALUE"""),"INFANH989")</f>
        <v>INFANH989</v>
      </c>
      <c r="S267" s="124" t="str">
        <f>IFERROR(__xludf.DUMMYFUNCTION("""COMPUTED_VALUE"""),"http://yody.vn?affcode=INFANH989")</f>
        <v>http://yody.vn?affcode=INFANH989</v>
      </c>
    </row>
    <row r="268">
      <c r="A268" s="122" t="str">
        <f>IFERROR(__xludf.DUMMYFUNCTION("""COMPUTED_VALUE"""),"INFHUE986")</f>
        <v>INFHUE986</v>
      </c>
      <c r="B268" s="122" t="str">
        <f>IFERROR(__xludf.DUMMYFUNCTION("""COMPUTED_VALUE"""),"Phan Thanh Huệ")</f>
        <v>Phan Thanh Huệ</v>
      </c>
      <c r="C268" s="124" t="str">
        <f>IFERROR(__xludf.DUMMYFUNCTION("""COMPUTED_VALUE"""),"fb")</f>
        <v>fb</v>
      </c>
      <c r="D268" s="122"/>
      <c r="E268" s="122" t="str">
        <f>IFERROR(__xludf.DUMMYFUNCTION("""COMPUTED_VALUE"""),"211,7k")</f>
        <v>211,7k</v>
      </c>
      <c r="F268" s="122" t="str">
        <f>IFERROR(__xludf.DUMMYFUNCTION("""COMPUTED_VALUE"""),"Phan Thị Thanh Huệ")</f>
        <v>Phan Thị Thanh Huệ</v>
      </c>
      <c r="G268" s="122" t="str">
        <f>IFERROR(__xludf.DUMMYFUNCTION("""COMPUTED_VALUE"""),"20/10/1986")</f>
        <v>20/10/1986</v>
      </c>
      <c r="H268" s="122" t="str">
        <f>IFERROR(__xludf.DUMMYFUNCTION("""COMPUTED_VALUE"""),"001186002078")</f>
        <v>001186002078</v>
      </c>
      <c r="I268" s="122" t="str">
        <f>IFERROR(__xludf.DUMMYFUNCTION("""COMPUTED_VALUE"""),"0983437986")</f>
        <v>0983437986</v>
      </c>
      <c r="J268" s="122" t="str">
        <f>IFERROR(__xludf.DUMMYFUNCTION("""COMPUTED_VALUE"""),"linhkute08@gmail.com")</f>
        <v>linhkute08@gmail.com</v>
      </c>
      <c r="K268" s="122">
        <f>IFERROR(__xludf.DUMMYFUNCTION("""COMPUTED_VALUE"""),1.9021855074026E13)</f>
        <v>19021855074026</v>
      </c>
      <c r="L268" s="122" t="str">
        <f>IFERROR(__xludf.DUMMYFUNCTION("""COMPUTED_VALUE"""),"Phan Thị Thanh Huệ")</f>
        <v>Phan Thị Thanh Huệ</v>
      </c>
      <c r="M268" s="122" t="str">
        <f>IFERROR(__xludf.DUMMYFUNCTION("""COMPUTED_VALUE"""),"Techcombank chi nhánh Ha Noi  ")</f>
        <v>Techcombank chi nhánh Ha Noi  </v>
      </c>
      <c r="N268" s="122" t="str">
        <f>IFERROR(__xludf.DUMMYFUNCTION("""COMPUTED_VALUE"""),"số 5 ngõ 321/10/2 Vĩnh Hưng Thanh Trì Hoàng Mai Hà Nội")</f>
        <v>số 5 ngõ 321/10/2 Vĩnh Hưng Thanh Trì Hoàng Mai Hà Nội</v>
      </c>
      <c r="O268" s="122"/>
      <c r="P268" s="123" t="str">
        <f>IFERROR(__xludf.DUMMYFUNCTION("""COMPUTED_VALUE"""),"Hoa")</f>
        <v>Hoa</v>
      </c>
      <c r="Q268" s="122"/>
      <c r="R268" s="122" t="str">
        <f>IFERROR(__xludf.DUMMYFUNCTION("""COMPUTED_VALUE"""),"INFHUE986")</f>
        <v>INFHUE986</v>
      </c>
      <c r="S268" s="124" t="str">
        <f>IFERROR(__xludf.DUMMYFUNCTION("""COMPUTED_VALUE"""),"http://yody.vn?affcode=INFHUE986")</f>
        <v>http://yody.vn?affcode=INFHUE986</v>
      </c>
    </row>
    <row r="269">
      <c r="A269" s="122" t="str">
        <f>IFERROR(__xludf.DUMMYFUNCTION("""COMPUTED_VALUE"""),"INFTHANH806")</f>
        <v>INFTHANH806</v>
      </c>
      <c r="B269" s="122" t="str">
        <f>IFERROR(__xludf.DUMMYFUNCTION("""COMPUTED_VALUE"""),"Nguyễn Chí Thanh")</f>
        <v>Nguyễn Chí Thanh</v>
      </c>
      <c r="C269" s="124" t="str">
        <f>IFERROR(__xludf.DUMMYFUNCTION("""COMPUTED_VALUE"""),"fb")</f>
        <v>fb</v>
      </c>
      <c r="D269" s="122"/>
      <c r="E269" s="122" t="str">
        <f>IFERROR(__xludf.DUMMYFUNCTION("""COMPUTED_VALUE"""),"109,2k")</f>
        <v>109,2k</v>
      </c>
      <c r="F269" s="122" t="str">
        <f>IFERROR(__xludf.DUMMYFUNCTION("""COMPUTED_VALUE"""),"Nguyễn Chí Thanh")</f>
        <v>Nguyễn Chí Thanh</v>
      </c>
      <c r="G269" s="126">
        <f>IFERROR(__xludf.DUMMYFUNCTION("""COMPUTED_VALUE"""),30504.0)</f>
        <v>30504</v>
      </c>
      <c r="H269" s="122">
        <f>IFERROR(__xludf.DUMMYFUNCTION("""COMPUTED_VALUE"""),1.87388981E8)</f>
        <v>187388981</v>
      </c>
      <c r="I269" s="122" t="str">
        <f>IFERROR(__xludf.DUMMYFUNCTION("""COMPUTED_VALUE"""),"0912196806")</f>
        <v>0912196806</v>
      </c>
      <c r="J269" s="122" t="str">
        <f>IFERROR(__xludf.DUMMYFUNCTION("""COMPUTED_VALUE"""),"nguyenchithanh221@gmail.com")</f>
        <v>nguyenchithanh221@gmail.com</v>
      </c>
      <c r="K269" s="122"/>
      <c r="L269" s="122"/>
      <c r="M269" s="122"/>
      <c r="N269" s="122" t="str">
        <f>IFERROR(__xludf.DUMMYFUNCTION("""COMPUTED_VALUE"""),"số 32 ngõ 84 đường Lê Xuân Đào, Hưng CHính, tp. Vinh, Nghệ An")</f>
        <v>số 32 ngõ 84 đường Lê Xuân Đào, Hưng CHính, tp. Vinh, Nghệ An</v>
      </c>
      <c r="O269" s="122"/>
      <c r="P269" s="123" t="str">
        <f>IFERROR(__xludf.DUMMYFUNCTION("""COMPUTED_VALUE"""),"Hoa")</f>
        <v>Hoa</v>
      </c>
      <c r="Q269" s="122"/>
      <c r="R269" s="122" t="str">
        <f>IFERROR(__xludf.DUMMYFUNCTION("""COMPUTED_VALUE"""),"INFTHANH806")</f>
        <v>INFTHANH806</v>
      </c>
      <c r="S269" s="124" t="str">
        <f>IFERROR(__xludf.DUMMYFUNCTION("""COMPUTED_VALUE"""),"http://yody.vn?affcode=INFTHANH806")</f>
        <v>http://yody.vn?affcode=INFTHANH806</v>
      </c>
    </row>
    <row r="270">
      <c r="A270" s="122" t="str">
        <f>IFERROR(__xludf.DUMMYFUNCTION("""COMPUTED_VALUE"""),"INFTUAN079")</f>
        <v>INFTUAN079</v>
      </c>
      <c r="B270" s="122" t="str">
        <f>IFERROR(__xludf.DUMMYFUNCTION("""COMPUTED_VALUE"""),"Nguyễn Anh Tuấn")</f>
        <v>Nguyễn Anh Tuấn</v>
      </c>
      <c r="C270" s="124" t="str">
        <f>IFERROR(__xludf.DUMMYFUNCTION("""COMPUTED_VALUE"""),"fb")</f>
        <v>fb</v>
      </c>
      <c r="D270" s="122"/>
      <c r="E270" s="122" t="str">
        <f>IFERROR(__xludf.DUMMYFUNCTION("""COMPUTED_VALUE"""),"58,6k")</f>
        <v>58,6k</v>
      </c>
      <c r="F270" s="122" t="str">
        <f>IFERROR(__xludf.DUMMYFUNCTION("""COMPUTED_VALUE"""),"Nguyễn Anh Tuấn")</f>
        <v>Nguyễn Anh Tuấn</v>
      </c>
      <c r="G270" s="122" t="str">
        <f>IFERROR(__xludf.DUMMYFUNCTION("""COMPUTED_VALUE"""),"22/08/1980")</f>
        <v>22/08/1980</v>
      </c>
      <c r="H270" s="122" t="str">
        <f>IFERROR(__xludf.DUMMYFUNCTION("""COMPUTED_VALUE"""),"001080005639")</f>
        <v>001080005639</v>
      </c>
      <c r="I270" s="122" t="str">
        <f>IFERROR(__xludf.DUMMYFUNCTION("""COMPUTED_VALUE"""),"0978583079 ")</f>
        <v>0978583079 </v>
      </c>
      <c r="J270" s="122" t="str">
        <f>IFERROR(__xludf.DUMMYFUNCTION("""COMPUTED_VALUE"""),"Anhtuan8008@gmail.com")</f>
        <v>Anhtuan8008@gmail.com</v>
      </c>
      <c r="K270" s="122">
        <f>IFERROR(__xludf.DUMMYFUNCTION("""COMPUTED_VALUE"""),1.08868089288E11)</f>
        <v>108868089288</v>
      </c>
      <c r="L270" s="122"/>
      <c r="M270" s="122" t="str">
        <f>IFERROR(__xludf.DUMMYFUNCTION("""COMPUTED_VALUE"""),"ngân hàng công thương Việt Nam")</f>
        <v>ngân hàng công thương Việt Nam</v>
      </c>
      <c r="N270" s="122" t="str">
        <f>IFERROR(__xludf.DUMMYFUNCTION("""COMPUTED_VALUE"""),"Đội 10 - xã thạch thán - quốc oai - HN")</f>
        <v>Đội 10 - xã thạch thán - quốc oai - HN</v>
      </c>
      <c r="O270" s="122"/>
      <c r="P270" s="123" t="str">
        <f>IFERROR(__xludf.DUMMYFUNCTION("""COMPUTED_VALUE"""),"Hoa")</f>
        <v>Hoa</v>
      </c>
      <c r="Q270" s="122"/>
      <c r="R270" s="122" t="str">
        <f>IFERROR(__xludf.DUMMYFUNCTION("""COMPUTED_VALUE"""),"INFTUAN079")</f>
        <v>INFTUAN079</v>
      </c>
      <c r="S270" s="124" t="str">
        <f>IFERROR(__xludf.DUMMYFUNCTION("""COMPUTED_VALUE"""),"http://yody.vn?affcode=INFTUAN079")</f>
        <v>http://yody.vn?affcode=INFTUAN079</v>
      </c>
    </row>
    <row r="271">
      <c r="A271" s="122" t="str">
        <f>IFERROR(__xludf.DUMMYFUNCTION("""COMPUTED_VALUE"""),"INFTUAN595")</f>
        <v>INFTUAN595</v>
      </c>
      <c r="B271" s="122" t="str">
        <f>IFERROR(__xludf.DUMMYFUNCTION("""COMPUTED_VALUE"""),"Nguyễn Minh Tuấn")</f>
        <v>Nguyễn Minh Tuấn</v>
      </c>
      <c r="C271" s="124" t="str">
        <f>IFERROR(__xludf.DUMMYFUNCTION("""COMPUTED_VALUE"""),"fb")</f>
        <v>fb</v>
      </c>
      <c r="D271" s="122"/>
      <c r="E271" s="122" t="str">
        <f>IFERROR(__xludf.DUMMYFUNCTION("""COMPUTED_VALUE"""),"105,4k")</f>
        <v>105,4k</v>
      </c>
      <c r="F271" s="122" t="str">
        <f>IFERROR(__xludf.DUMMYFUNCTION("""COMPUTED_VALUE"""),"Nguyễn Minh Tuấn")</f>
        <v>Nguyễn Minh Tuấn</v>
      </c>
      <c r="G271" s="122" t="str">
        <f>IFERROR(__xludf.DUMMYFUNCTION("""COMPUTED_VALUE"""),"30/3/1981")</f>
        <v>30/3/1981</v>
      </c>
      <c r="H271" s="122" t="str">
        <f>IFERROR(__xludf.DUMMYFUNCTION("""COMPUTED_VALUE"""),"01081004907")</f>
        <v>01081004907</v>
      </c>
      <c r="I271" s="122" t="str">
        <f>IFERROR(__xludf.DUMMYFUNCTION("""COMPUTED_VALUE"""),"0983377595")</f>
        <v>0983377595</v>
      </c>
      <c r="J271" s="122" t="str">
        <f>IFERROR(__xludf.DUMMYFUNCTION("""COMPUTED_VALUE"""),"phuongbv89.kt@gmail.com")</f>
        <v>phuongbv89.kt@gmail.com</v>
      </c>
      <c r="K271" s="122">
        <f>IFERROR(__xludf.DUMMYFUNCTION("""COMPUTED_VALUE"""),9.950126969999E12)</f>
        <v>9950126969999</v>
      </c>
      <c r="L271" s="122" t="str">
        <f>IFERROR(__xludf.DUMMYFUNCTION("""COMPUTED_VALUE"""),"Nguyễn Minh Tuấn")</f>
        <v>Nguyễn Minh Tuấn</v>
      </c>
      <c r="M271" s="122" t="str">
        <f>IFERROR(__xludf.DUMMYFUNCTION("""COMPUTED_VALUE"""),"MB Hoàn Kiếm HN")</f>
        <v>MB Hoàn Kiếm HN</v>
      </c>
      <c r="N271" s="122" t="str">
        <f>IFERROR(__xludf.DUMMYFUNCTION("""COMPUTED_VALUE"""),"76/42 phố Mai Dịch, Cầu Giấy , HN")</f>
        <v>76/42 phố Mai Dịch, Cầu Giấy , HN</v>
      </c>
      <c r="O271" s="122"/>
      <c r="P271" s="123" t="str">
        <f>IFERROR(__xludf.DUMMYFUNCTION("""COMPUTED_VALUE"""),"Hoa")</f>
        <v>Hoa</v>
      </c>
      <c r="Q271" s="122"/>
      <c r="R271" s="122" t="str">
        <f>IFERROR(__xludf.DUMMYFUNCTION("""COMPUTED_VALUE"""),"INFTUAN595")</f>
        <v>INFTUAN595</v>
      </c>
      <c r="S271" s="124" t="str">
        <f>IFERROR(__xludf.DUMMYFUNCTION("""COMPUTED_VALUE"""),"http://yody.vn?affcode=INFTUAN595")</f>
        <v>http://yody.vn?affcode=INFTUAN595</v>
      </c>
    </row>
    <row r="272">
      <c r="A272" s="122" t="str">
        <f>IFERROR(__xludf.DUMMYFUNCTION("""COMPUTED_VALUE"""),"INFTUAN884")</f>
        <v>INFTUAN884</v>
      </c>
      <c r="B272" s="122" t="str">
        <f>IFERROR(__xludf.DUMMYFUNCTION("""COMPUTED_VALUE"""),"Đặng Tuấn")</f>
        <v>Đặng Tuấn</v>
      </c>
      <c r="C272" s="124" t="str">
        <f>IFERROR(__xludf.DUMMYFUNCTION("""COMPUTED_VALUE"""),"fb")</f>
        <v>fb</v>
      </c>
      <c r="D272" s="122"/>
      <c r="E272" s="122" t="str">
        <f>IFERROR(__xludf.DUMMYFUNCTION("""COMPUTED_VALUE"""),"51,7k")</f>
        <v>51,7k</v>
      </c>
      <c r="F272" s="122" t="str">
        <f>IFERROR(__xludf.DUMMYFUNCTION("""COMPUTED_VALUE"""),"Đặng Tuấn")</f>
        <v>Đặng Tuấn</v>
      </c>
      <c r="G272" s="122" t="str">
        <f>IFERROR(__xludf.DUMMYFUNCTION("""COMPUTED_VALUE"""),"27/08/1985")</f>
        <v>27/08/1985</v>
      </c>
      <c r="H272" s="122" t="str">
        <f>IFERROR(__xludf.DUMMYFUNCTION("""COMPUTED_VALUE"""),"001085009577")</f>
        <v>001085009577</v>
      </c>
      <c r="I272" s="122" t="str">
        <f>IFERROR(__xludf.DUMMYFUNCTION("""COMPUTED_VALUE"""),"0981438884")</f>
        <v>0981438884</v>
      </c>
      <c r="J272" s="122" t="str">
        <f>IFERROR(__xludf.DUMMYFUNCTION("""COMPUTED_VALUE"""),"tuanttp0201@gmail.com")</f>
        <v>tuanttp0201@gmail.com</v>
      </c>
      <c r="K272" s="122">
        <f>IFERROR(__xludf.DUMMYFUNCTION("""COMPUTED_VALUE"""),3.01120507361E12)</f>
        <v>3011205073610</v>
      </c>
      <c r="L272" s="122" t="str">
        <f>IFERROR(__xludf.DUMMYFUNCTION("""COMPUTED_VALUE"""),"Đặng Tuấn")</f>
        <v>Đặng Tuấn</v>
      </c>
      <c r="M272" s="122" t="str">
        <f>IFERROR(__xludf.DUMMYFUNCTION("""COMPUTED_VALUE"""),"Agribank")</f>
        <v>Agribank</v>
      </c>
      <c r="N272" s="122" t="str">
        <f>IFERROR(__xludf.DUMMYFUNCTION("""COMPUTED_VALUE"""),"Thôn 6, Thạch Xá, Thạch Thất, Hà Nội")</f>
        <v>Thôn 6, Thạch Xá, Thạch Thất, Hà Nội</v>
      </c>
      <c r="O272" s="122"/>
      <c r="P272" s="123" t="str">
        <f>IFERROR(__xludf.DUMMYFUNCTION("""COMPUTED_VALUE"""),"Hoa")</f>
        <v>Hoa</v>
      </c>
      <c r="Q272" s="122"/>
      <c r="R272" s="122" t="str">
        <f>IFERROR(__xludf.DUMMYFUNCTION("""COMPUTED_VALUE"""),"INFTUAN884")</f>
        <v>INFTUAN884</v>
      </c>
      <c r="S272" s="124" t="str">
        <f>IFERROR(__xludf.DUMMYFUNCTION("""COMPUTED_VALUE"""),"http://yody.vn?affcode=INFTUAN884")</f>
        <v>http://yody.vn?affcode=INFTUAN884</v>
      </c>
    </row>
    <row r="273">
      <c r="A273" s="122" t="str">
        <f>IFERROR(__xludf.DUMMYFUNCTION("""COMPUTED_VALUE"""),"INFMAI010")</f>
        <v>INFMAI010</v>
      </c>
      <c r="B273" s="122" t="str">
        <f>IFERROR(__xludf.DUMMYFUNCTION("""COMPUTED_VALUE"""),"Võ Mãi")</f>
        <v>Võ Mãi</v>
      </c>
      <c r="C273" s="124" t="str">
        <f>IFERROR(__xludf.DUMMYFUNCTION("""COMPUTED_VALUE"""),"tiktok")</f>
        <v>tiktok</v>
      </c>
      <c r="D273" s="122"/>
      <c r="E273" s="122" t="str">
        <f>IFERROR(__xludf.DUMMYFUNCTION("""COMPUTED_VALUE"""),"948k")</f>
        <v>948k</v>
      </c>
      <c r="F273" s="122" t="str">
        <f>IFERROR(__xludf.DUMMYFUNCTION("""COMPUTED_VALUE"""),"Võ Văn Mãi")</f>
        <v>Võ Văn Mãi</v>
      </c>
      <c r="G273" s="122" t="str">
        <f>IFERROR(__xludf.DUMMYFUNCTION("""COMPUTED_VALUE"""),"24/12/2002")</f>
        <v>24/12/2002</v>
      </c>
      <c r="H273" s="122">
        <f>IFERROR(__xludf.DUMMYFUNCTION("""COMPUTED_VALUE"""),2.06395669E8)</f>
        <v>206395669</v>
      </c>
      <c r="I273" s="122" t="str">
        <f>IFERROR(__xludf.DUMMYFUNCTION("""COMPUTED_VALUE"""),"0766520010")</f>
        <v>0766520010</v>
      </c>
      <c r="J273" s="122" t="str">
        <f>IFERROR(__xludf.DUMMYFUNCTION("""COMPUTED_VALUE"""),"maivo24012002@gmail.com")</f>
        <v>maivo24012002@gmail.com</v>
      </c>
      <c r="K273" s="122">
        <f>IFERROR(__xludf.DUMMYFUNCTION("""COMPUTED_VALUE"""),1.012673809E9)</f>
        <v>1012673809</v>
      </c>
      <c r="L273" s="122" t="str">
        <f>IFERROR(__xludf.DUMMYFUNCTION("""COMPUTED_VALUE"""),"Võ Văn Mãi")</f>
        <v>Võ Văn Mãi</v>
      </c>
      <c r="M273" s="122" t="str">
        <f>IFERROR(__xludf.DUMMYFUNCTION("""COMPUTED_VALUE"""),"vietcombank")</f>
        <v>vietcombank</v>
      </c>
      <c r="N273" s="122" t="str">
        <f>IFERROR(__xludf.DUMMYFUNCTION("""COMPUTED_VALUE"""),"Đông Quan-Điện Hoà- Điện Bàn -Quảng Nam")</f>
        <v>Đông Quan-Điện Hoà- Điện Bàn -Quảng Nam</v>
      </c>
      <c r="O273" s="122"/>
      <c r="P273" s="123" t="str">
        <f>IFERROR(__xludf.DUMMYFUNCTION("""COMPUTED_VALUE"""),"Hoa")</f>
        <v>Hoa</v>
      </c>
      <c r="Q273" s="122"/>
      <c r="R273" s="122" t="str">
        <f>IFERROR(__xludf.DUMMYFUNCTION("""COMPUTED_VALUE"""),"INFMAI010")</f>
        <v>INFMAI010</v>
      </c>
      <c r="S273" s="124" t="str">
        <f>IFERROR(__xludf.DUMMYFUNCTION("""COMPUTED_VALUE"""),"http://yody.vn?affcode=INFMAI010")</f>
        <v>http://yody.vn?affcode=INFMAI010</v>
      </c>
    </row>
    <row r="274">
      <c r="A274" s="122" t="str">
        <f>IFERROR(__xludf.DUMMYFUNCTION("""COMPUTED_VALUE"""),"INFTHAO815")</f>
        <v>INFTHAO815</v>
      </c>
      <c r="B274" s="122" t="str">
        <f>IFERROR(__xludf.DUMMYFUNCTION("""COMPUTED_VALUE"""),"Phạm Phương Thảo")</f>
        <v>Phạm Phương Thảo</v>
      </c>
      <c r="C274" s="124" t="str">
        <f>IFERROR(__xludf.DUMMYFUNCTION("""COMPUTED_VALUE"""),"tiktok")</f>
        <v>tiktok</v>
      </c>
      <c r="D274" s="122"/>
      <c r="E274" s="122" t="str">
        <f>IFERROR(__xludf.DUMMYFUNCTION("""COMPUTED_VALUE"""),"57,5k")</f>
        <v>57,5k</v>
      </c>
      <c r="F274" s="122" t="str">
        <f>IFERROR(__xludf.DUMMYFUNCTION("""COMPUTED_VALUE"""),"Phạm Thị Phương Thảo")</f>
        <v>Phạm Thị Phương Thảo</v>
      </c>
      <c r="G274" s="126">
        <f>IFERROR(__xludf.DUMMYFUNCTION("""COMPUTED_VALUE"""),37591.0)</f>
        <v>37591</v>
      </c>
      <c r="H274" s="122" t="str">
        <f>IFERROR(__xludf.DUMMYFUNCTION("""COMPUTED_VALUE"""),"030302009422")</f>
        <v>030302009422</v>
      </c>
      <c r="I274" s="122" t="str">
        <f>IFERROR(__xludf.DUMMYFUNCTION("""COMPUTED_VALUE"""),"0332756815")</f>
        <v>0332756815</v>
      </c>
      <c r="J274" s="122" t="str">
        <f>IFERROR(__xludf.DUMMYFUNCTION("""COMPUTED_VALUE"""),"phuongthaop663@gmail.com")</f>
        <v>phuongthaop663@gmail.com</v>
      </c>
      <c r="K274" s="122">
        <f>IFERROR(__xludf.DUMMYFUNCTION("""COMPUTED_VALUE"""),1.016512566E9)</f>
        <v>1016512566</v>
      </c>
      <c r="L274" s="122" t="str">
        <f>IFERROR(__xludf.DUMMYFUNCTION("""COMPUTED_VALUE"""),"PHAM THI PHUONG THAO")</f>
        <v>PHAM THI PHUONG THAO</v>
      </c>
      <c r="M274" s="122" t="str">
        <f>IFERROR(__xludf.DUMMYFUNCTION("""COMPUTED_VALUE"""),"Vietcombank")</f>
        <v>Vietcombank</v>
      </c>
      <c r="N274" s="122" t="str">
        <f>IFERROR(__xludf.DUMMYFUNCTION("""COMPUTED_VALUE"""),"An Liệt 1, Thanh Hải, Thanh Hà, Hải Dương")</f>
        <v>An Liệt 1, Thanh Hải, Thanh Hà, Hải Dương</v>
      </c>
      <c r="O274" s="122"/>
      <c r="P274" s="123" t="str">
        <f>IFERROR(__xludf.DUMMYFUNCTION("""COMPUTED_VALUE"""),"Hoa")</f>
        <v>Hoa</v>
      </c>
      <c r="Q274" s="122"/>
      <c r="R274" s="122" t="str">
        <f>IFERROR(__xludf.DUMMYFUNCTION("""COMPUTED_VALUE"""),"INFTHAO815")</f>
        <v>INFTHAO815</v>
      </c>
      <c r="S274" s="124" t="str">
        <f>IFERROR(__xludf.DUMMYFUNCTION("""COMPUTED_VALUE"""),"http://yody.vn?affcode=INFTHAO815")</f>
        <v>http://yody.vn?affcode=INFTHAO815</v>
      </c>
    </row>
    <row r="275">
      <c r="A275" s="122" t="str">
        <f>IFERROR(__xludf.DUMMYFUNCTION("""COMPUTED_VALUE"""),"INFTRAN804")</f>
        <v>INFTRAN804</v>
      </c>
      <c r="B275" s="122" t="str">
        <f>IFERROR(__xludf.DUMMYFUNCTION("""COMPUTED_VALUE"""),"Trần Xuân Quế Trân")</f>
        <v>Trần Xuân Quế Trân</v>
      </c>
      <c r="C275" s="124" t="str">
        <f>IFERROR(__xludf.DUMMYFUNCTION("""COMPUTED_VALUE"""),"tiktok")</f>
        <v>tiktok</v>
      </c>
      <c r="D275" s="122"/>
      <c r="E275" s="122" t="str">
        <f>IFERROR(__xludf.DUMMYFUNCTION("""COMPUTED_VALUE"""),"1,1M")</f>
        <v>1,1M</v>
      </c>
      <c r="F275" s="122" t="str">
        <f>IFERROR(__xludf.DUMMYFUNCTION("""COMPUTED_VALUE"""),"Trần Xuân Quế Trân")</f>
        <v>Trần Xuân Quế Trân</v>
      </c>
      <c r="G275" s="126">
        <f>IFERROR(__xludf.DUMMYFUNCTION("""COMPUTED_VALUE"""),37196.0)</f>
        <v>37196</v>
      </c>
      <c r="H275" s="122" t="str">
        <f>IFERROR(__xludf.DUMMYFUNCTION("""COMPUTED_VALUE"""),"192183218")</f>
        <v>192183218</v>
      </c>
      <c r="I275" s="122" t="str">
        <f>IFERROR(__xludf.DUMMYFUNCTION("""COMPUTED_VALUE"""),"0939612804")</f>
        <v>0939612804</v>
      </c>
      <c r="J275" s="122" t="str">
        <f>IFERROR(__xludf.DUMMYFUNCTION("""COMPUTED_VALUE"""),"Tranxuantrang2105@gmail.com")</f>
        <v>Tranxuantrang2105@gmail.com</v>
      </c>
      <c r="K275" s="122">
        <f>IFERROR(__xludf.DUMMYFUNCTION("""COMPUTED_VALUE"""),1.012693657E9)</f>
        <v>1012693657</v>
      </c>
      <c r="L275" s="122" t="str">
        <f>IFERROR(__xludf.DUMMYFUNCTION("""COMPUTED_VALUE"""),"TRAN XUAN QUE TRAN")</f>
        <v>TRAN XUAN QUE TRAN</v>
      </c>
      <c r="M275" s="122" t="str">
        <f>IFERROR(__xludf.DUMMYFUNCTION("""COMPUTED_VALUE"""),"vietcombank")</f>
        <v>vietcombank</v>
      </c>
      <c r="N275" s="122" t="str">
        <f>IFERROR(__xludf.DUMMYFUNCTION("""COMPUTED_VALUE"""),"50/6a ấp hậu lân xã bà điểm huyện hóc môn tphcm")</f>
        <v>50/6a ấp hậu lân xã bà điểm huyện hóc môn tphcm</v>
      </c>
      <c r="O275" s="122"/>
      <c r="P275" s="123" t="str">
        <f>IFERROR(__xludf.DUMMYFUNCTION("""COMPUTED_VALUE"""),"Hoa")</f>
        <v>Hoa</v>
      </c>
      <c r="Q275" s="122"/>
      <c r="R275" s="122" t="str">
        <f>IFERROR(__xludf.DUMMYFUNCTION("""COMPUTED_VALUE"""),"INFTRAN804")</f>
        <v>INFTRAN804</v>
      </c>
      <c r="S275" s="124" t="str">
        <f>IFERROR(__xludf.DUMMYFUNCTION("""COMPUTED_VALUE"""),"http://yody.vn?affcode=INFTRAN804")</f>
        <v>http://yody.vn?affcode=INFTRAN804</v>
      </c>
    </row>
    <row r="276">
      <c r="A276" s="122" t="str">
        <f>IFERROR(__xludf.DUMMYFUNCTION("""COMPUTED_VALUE"""),"INFY145")</f>
        <v>INFY145</v>
      </c>
      <c r="B276" s="122" t="str">
        <f>IFERROR(__xludf.DUMMYFUNCTION("""COMPUTED_VALUE"""),"congchuaflop")</f>
        <v>congchuaflop</v>
      </c>
      <c r="C276" s="124" t="str">
        <f>IFERROR(__xludf.DUMMYFUNCTION("""COMPUTED_VALUE"""),"tiktok")</f>
        <v>tiktok</v>
      </c>
      <c r="D276" s="122"/>
      <c r="E276" s="122" t="str">
        <f>IFERROR(__xludf.DUMMYFUNCTION("""COMPUTED_VALUE"""),"81,7k")</f>
        <v>81,7k</v>
      </c>
      <c r="F276" s="122" t="str">
        <f>IFERROR(__xludf.DUMMYFUNCTION("""COMPUTED_VALUE"""),"Nguyễn Thị Như Ý")</f>
        <v>Nguyễn Thị Như Ý</v>
      </c>
      <c r="G276" s="126">
        <f>IFERROR(__xludf.DUMMYFUNCTION("""COMPUTED_VALUE"""),37077.0)</f>
        <v>37077</v>
      </c>
      <c r="H276" s="122">
        <f>IFERROR(__xludf.DUMMYFUNCTION("""COMPUTED_VALUE"""),2.31344947E8)</f>
        <v>231344947</v>
      </c>
      <c r="I276" s="122" t="str">
        <f>IFERROR(__xludf.DUMMYFUNCTION("""COMPUTED_VALUE"""),"0363338145")</f>
        <v>0363338145</v>
      </c>
      <c r="J276" s="122" t="str">
        <f>IFERROR(__xludf.DUMMYFUNCTION("""COMPUTED_VALUE"""),"nguyenthinhuy752001@gmail.com")</f>
        <v>nguyenthinhuy752001@gmail.com</v>
      </c>
      <c r="K276" s="122" t="str">
        <f>IFERROR(__xludf.DUMMYFUNCTION("""COMPUTED_VALUE"""),"0291000353926")</f>
        <v>0291000353926</v>
      </c>
      <c r="L276" s="122" t="str">
        <f>IFERROR(__xludf.DUMMYFUNCTION("""COMPUTED_VALUE"""),"Nguyen Thi Nhu Y")</f>
        <v>Nguyen Thi Nhu Y</v>
      </c>
      <c r="M276" s="122" t="str">
        <f>IFERROR(__xludf.DUMMYFUNCTION("""COMPUTED_VALUE"""),"vietcombank")</f>
        <v>vietcombank</v>
      </c>
      <c r="N276" s="122" t="str">
        <f>IFERROR(__xludf.DUMMYFUNCTION("""COMPUTED_VALUE"""),"52 Đông Hưng Thuận , Quận 12 , TP Hồ Chí Minh")</f>
        <v>52 Đông Hưng Thuận , Quận 12 , TP Hồ Chí Minh</v>
      </c>
      <c r="O276" s="122"/>
      <c r="P276" s="123" t="str">
        <f>IFERROR(__xludf.DUMMYFUNCTION("""COMPUTED_VALUE"""),"Hoa")</f>
        <v>Hoa</v>
      </c>
      <c r="Q276" s="122"/>
      <c r="R276" s="122" t="str">
        <f>IFERROR(__xludf.DUMMYFUNCTION("""COMPUTED_VALUE"""),"INFY145")</f>
        <v>INFY145</v>
      </c>
      <c r="S276" s="124" t="str">
        <f>IFERROR(__xludf.DUMMYFUNCTION("""COMPUTED_VALUE"""),"http://yody.vn?affcode=INFY145")</f>
        <v>http://yody.vn?affcode=INFY145</v>
      </c>
    </row>
    <row r="277">
      <c r="A277" s="122" t="str">
        <f>IFERROR(__xludf.DUMMYFUNCTION("""COMPUTED_VALUE"""),"INFVINH014")</f>
        <v>INFVINH014</v>
      </c>
      <c r="B277" s="122" t="str">
        <f>IFERROR(__xludf.DUMMYFUNCTION("""COMPUTED_VALUE"""),"Cá Mề Vinh")</f>
        <v>Cá Mề Vinh</v>
      </c>
      <c r="C277" s="124" t="str">
        <f>IFERROR(__xludf.DUMMYFUNCTION("""COMPUTED_VALUE"""),"tiktok")</f>
        <v>tiktok</v>
      </c>
      <c r="D277" s="122"/>
      <c r="E277" s="122" t="str">
        <f>IFERROR(__xludf.DUMMYFUNCTION("""COMPUTED_VALUE"""),"821k")</f>
        <v>821k</v>
      </c>
      <c r="F277" s="122" t="str">
        <f>IFERROR(__xludf.DUMMYFUNCTION("""COMPUTED_VALUE"""),"Nguyễn Phú Vinh")</f>
        <v>Nguyễn Phú Vinh</v>
      </c>
      <c r="G277" s="126">
        <f>IFERROR(__xludf.DUMMYFUNCTION("""COMPUTED_VALUE"""),36934.0)</f>
        <v>36934</v>
      </c>
      <c r="H277" s="122">
        <f>IFERROR(__xludf.DUMMYFUNCTION("""COMPUTED_VALUE"""),3.66284909E8)</f>
        <v>366284909</v>
      </c>
      <c r="I277" s="122" t="str">
        <f>IFERROR(__xludf.DUMMYFUNCTION("""COMPUTED_VALUE"""),"0398818014")</f>
        <v>0398818014</v>
      </c>
      <c r="J277" s="122" t="str">
        <f>IFERROR(__xludf.DUMMYFUNCTION("""COMPUTED_VALUE"""),"bompatom17@gmail.com")</f>
        <v>bompatom17@gmail.com</v>
      </c>
      <c r="K277" s="122" t="str">
        <f>IFERROR(__xludf.DUMMYFUNCTION("""COMPUTED_VALUE"""),"7602215023924-")</f>
        <v>7602215023924-</v>
      </c>
      <c r="L277" s="122" t="str">
        <f>IFERROR(__xludf.DUMMYFUNCTION("""COMPUTED_VALUE"""),"NGUYEN PHU VINH")</f>
        <v>NGUYEN PHU VINH</v>
      </c>
      <c r="M277" s="122" t="str">
        <f>IFERROR(__xludf.DUMMYFUNCTION("""COMPUTED_VALUE"""),"Agribank")</f>
        <v>Agribank</v>
      </c>
      <c r="N277" s="122" t="str">
        <f>IFERROR(__xludf.DUMMYFUNCTION("""COMPUTED_VALUE"""),"Ấp an thành thị trấn kế sách huyện kế sách tỉnh Sóc Trăng")</f>
        <v>Ấp an thành thị trấn kế sách huyện kế sách tỉnh Sóc Trăng</v>
      </c>
      <c r="O277" s="122"/>
      <c r="P277" s="123" t="str">
        <f>IFERROR(__xludf.DUMMYFUNCTION("""COMPUTED_VALUE"""),"Hoa")</f>
        <v>Hoa</v>
      </c>
      <c r="Q277" s="122"/>
      <c r="R277" s="122" t="str">
        <f>IFERROR(__xludf.DUMMYFUNCTION("""COMPUTED_VALUE"""),"INFVINH014")</f>
        <v>INFVINH014</v>
      </c>
      <c r="S277" s="124" t="str">
        <f>IFERROR(__xludf.DUMMYFUNCTION("""COMPUTED_VALUE"""),"http://yody.vn?affcode=INFVINH014")</f>
        <v>http://yody.vn?affcode=INFVINH014</v>
      </c>
    </row>
    <row r="278">
      <c r="A278" s="122" t="str">
        <f>IFERROR(__xludf.DUMMYFUNCTION("""COMPUTED_VALUE"""),"INFHUONG996")</f>
        <v>INFHUONG996</v>
      </c>
      <c r="B278" s="122" t="str">
        <f>IFERROR(__xludf.DUMMYFUNCTION("""COMPUTED_VALUE"""),"Nguyễn Hằng Hương")</f>
        <v>Nguyễn Hằng Hương</v>
      </c>
      <c r="C278" s="124" t="str">
        <f>IFERROR(__xludf.DUMMYFUNCTION("""COMPUTED_VALUE"""),"tiktok")</f>
        <v>tiktok</v>
      </c>
      <c r="D278" s="122"/>
      <c r="E278" s="122" t="str">
        <f>IFERROR(__xludf.DUMMYFUNCTION("""COMPUTED_VALUE"""),"2M")</f>
        <v>2M</v>
      </c>
      <c r="F278" s="122" t="str">
        <f>IFERROR(__xludf.DUMMYFUNCTION("""COMPUTED_VALUE"""),"Nguyễn Thị Hương")</f>
        <v>Nguyễn Thị Hương</v>
      </c>
      <c r="G278" s="122" t="str">
        <f>IFERROR(__xludf.DUMMYFUNCTION("""COMPUTED_VALUE"""),"29/02/1996")</f>
        <v>29/02/1996</v>
      </c>
      <c r="H278" s="122">
        <f>IFERROR(__xludf.DUMMYFUNCTION("""COMPUTED_VALUE"""),1.22109874E8)</f>
        <v>122109874</v>
      </c>
      <c r="I278" s="122" t="str">
        <f>IFERROR(__xludf.DUMMYFUNCTION("""COMPUTED_VALUE"""),"0888832996")</f>
        <v>0888832996</v>
      </c>
      <c r="J278" s="122" t="str">
        <f>IFERROR(__xludf.DUMMYFUNCTION("""COMPUTED_VALUE"""),"Huongnguyen12380@gmail.com")</f>
        <v>Huongnguyen12380@gmail.com</v>
      </c>
      <c r="K278" s="122"/>
      <c r="L278" s="122" t="str">
        <f>IFERROR(__xludf.DUMMYFUNCTION("""COMPUTED_VALUE"""),"Nguyen Thi Huong")</f>
        <v>Nguyen Thi Huong</v>
      </c>
      <c r="M278" s="122"/>
      <c r="N278" s="122" t="str">
        <f>IFERROR(__xludf.DUMMYFUNCTION("""COMPUTED_VALUE"""),"Tp Bắc Giang")</f>
        <v>Tp Bắc Giang</v>
      </c>
      <c r="O278" s="122"/>
      <c r="P278" s="123" t="str">
        <f>IFERROR(__xludf.DUMMYFUNCTION("""COMPUTED_VALUE"""),"Hoa")</f>
        <v>Hoa</v>
      </c>
      <c r="Q278" s="122"/>
      <c r="R278" s="122" t="str">
        <f>IFERROR(__xludf.DUMMYFUNCTION("""COMPUTED_VALUE"""),"INFHUONG996")</f>
        <v>INFHUONG996</v>
      </c>
      <c r="S278" s="124" t="str">
        <f>IFERROR(__xludf.DUMMYFUNCTION("""COMPUTED_VALUE"""),"http://yody.vn?affcode=INFHUONG996")</f>
        <v>http://yody.vn?affcode=INFHUONG996</v>
      </c>
    </row>
    <row r="279">
      <c r="A279" s="122" t="str">
        <f>IFERROR(__xludf.DUMMYFUNCTION("""COMPUTED_VALUE"""),"INFDUY153")</f>
        <v>INFDUY153</v>
      </c>
      <c r="B279" s="122" t="str">
        <f>IFERROR(__xludf.DUMMYFUNCTION("""COMPUTED_VALUE"""),"Lê Thiên Duy")</f>
        <v>Lê Thiên Duy</v>
      </c>
      <c r="C279" s="124" t="str">
        <f>IFERROR(__xludf.DUMMYFUNCTION("""COMPUTED_VALUE"""),"tiktok")</f>
        <v>tiktok</v>
      </c>
      <c r="D279" s="122"/>
      <c r="E279" s="122" t="str">
        <f>IFERROR(__xludf.DUMMYFUNCTION("""COMPUTED_VALUE"""),"576,2k")</f>
        <v>576,2k</v>
      </c>
      <c r="F279" s="122" t="str">
        <f>IFERROR(__xludf.DUMMYFUNCTION("""COMPUTED_VALUE"""),"Lê Thiên Duy")</f>
        <v>Lê Thiên Duy</v>
      </c>
      <c r="G279" s="122" t="str">
        <f>IFERROR(__xludf.DUMMYFUNCTION("""COMPUTED_VALUE"""),"22/05/2001")</f>
        <v>22/05/2001</v>
      </c>
      <c r="H279" s="122">
        <f>IFERROR(__xludf.DUMMYFUNCTION("""COMPUTED_VALUE"""),3.42013926E8)</f>
        <v>342013926</v>
      </c>
      <c r="I279" s="122" t="str">
        <f>IFERROR(__xludf.DUMMYFUNCTION("""COMPUTED_VALUE"""),"0775996153")</f>
        <v>0775996153</v>
      </c>
      <c r="J279" s="122" t="str">
        <f>IFERROR(__xludf.DUMMYFUNCTION("""COMPUTED_VALUE"""),"dtl22052001@gmail.com")</f>
        <v>dtl22052001@gmail.com</v>
      </c>
      <c r="K279" s="122" t="str">
        <f>IFERROR(__xludf.DUMMYFUNCTION("""COMPUTED_VALUE"""),"060238587452")</f>
        <v>060238587452</v>
      </c>
      <c r="L279" s="122"/>
      <c r="M279" s="122"/>
      <c r="N279" s="122" t="str">
        <f>IFERROR(__xludf.DUMMYFUNCTION("""COMPUTED_VALUE"""),"35/10,Tl41, phường Thạnh Lộc,Q12, Tp HCM")</f>
        <v>35/10,Tl41, phường Thạnh Lộc,Q12, Tp HCM</v>
      </c>
      <c r="O279" s="122"/>
      <c r="P279" s="123" t="str">
        <f>IFERROR(__xludf.DUMMYFUNCTION("""COMPUTED_VALUE"""),"Hoa")</f>
        <v>Hoa</v>
      </c>
      <c r="Q279" s="122"/>
      <c r="R279" s="122" t="str">
        <f>IFERROR(__xludf.DUMMYFUNCTION("""COMPUTED_VALUE"""),"INFDUY153")</f>
        <v>INFDUY153</v>
      </c>
      <c r="S279" s="124" t="str">
        <f>IFERROR(__xludf.DUMMYFUNCTION("""COMPUTED_VALUE"""),"http://yody.vn?affcode=INFDUY153")</f>
        <v>http://yody.vn?affcode=INFDUY153</v>
      </c>
    </row>
    <row r="280">
      <c r="A280" s="122" t="str">
        <f>IFERROR(__xludf.DUMMYFUNCTION("""COMPUTED_VALUE"""),"INFTIEN989")</f>
        <v>INFTIEN989</v>
      </c>
      <c r="B280" s="122" t="str">
        <f>IFERROR(__xludf.DUMMYFUNCTION("""COMPUTED_VALUE"""),"MC Dịu Tiên")</f>
        <v>MC Dịu Tiên</v>
      </c>
      <c r="C280" s="122" t="str">
        <f>IFERROR(__xludf.DUMMYFUNCTION("""COMPUTED_VALUE"""),"tiktok
fb")</f>
        <v>tiktok
fb</v>
      </c>
      <c r="D280" s="122"/>
      <c r="E280" s="122" t="str">
        <f>IFERROR(__xludf.DUMMYFUNCTION("""COMPUTED_VALUE"""),"105,9k 
158,6k")</f>
        <v>105,9k 
158,6k</v>
      </c>
      <c r="F280" s="122" t="str">
        <f>IFERROR(__xludf.DUMMYFUNCTION("""COMPUTED_VALUE"""),"Hoàng Thị Dịu Tiên")</f>
        <v>Hoàng Thị Dịu Tiên</v>
      </c>
      <c r="G280" s="126">
        <f>IFERROR(__xludf.DUMMYFUNCTION("""COMPUTED_VALUE"""),34189.0)</f>
        <v>34189</v>
      </c>
      <c r="H280" s="122">
        <f>IFERROR(__xludf.DUMMYFUNCTION("""COMPUTED_VALUE"""),2.41556417E8)</f>
        <v>241556417</v>
      </c>
      <c r="I280" s="122" t="str">
        <f>IFERROR(__xludf.DUMMYFUNCTION("""COMPUTED_VALUE"""),"0372688989")</f>
        <v>0372688989</v>
      </c>
      <c r="J280" s="122" t="str">
        <f>IFERROR(__xludf.DUMMYFUNCTION("""COMPUTED_VALUE"""),"Diutienmc@gmail.com")</f>
        <v>Diutienmc@gmail.com</v>
      </c>
      <c r="K280" s="122" t="str">
        <f>IFERROR(__xludf.DUMMYFUNCTION("""COMPUTED_VALUE"""),"7979 0789 0789")</f>
        <v>7979 0789 0789</v>
      </c>
      <c r="L280" s="122" t="str">
        <f>IFERROR(__xludf.DUMMYFUNCTION("""COMPUTED_VALUE"""),"Hoàng Thị Dịu Tiên")</f>
        <v>Hoàng Thị Dịu Tiên</v>
      </c>
      <c r="M280" s="122" t="str">
        <f>IFERROR(__xludf.DUMMYFUNCTION("""COMPUTED_VALUE"""),"Vp Bank")</f>
        <v>Vp Bank</v>
      </c>
      <c r="N280" s="122" t="str">
        <f>IFERROR(__xludf.DUMMYFUNCTION("""COMPUTED_VALUE"""),"14 Nguyễn Hữu Thọ xã phước kiển huyện nhà bè TP HCM")</f>
        <v>14 Nguyễn Hữu Thọ xã phước kiển huyện nhà bè TP HCM</v>
      </c>
      <c r="O280" s="122"/>
      <c r="P280" s="123" t="str">
        <f>IFERROR(__xludf.DUMMYFUNCTION("""COMPUTED_VALUE"""),"Hoa")</f>
        <v>Hoa</v>
      </c>
      <c r="Q280" s="122"/>
      <c r="R280" s="122" t="str">
        <f>IFERROR(__xludf.DUMMYFUNCTION("""COMPUTED_VALUE"""),"INFTIEN989")</f>
        <v>INFTIEN989</v>
      </c>
      <c r="S280" s="124" t="str">
        <f>IFERROR(__xludf.DUMMYFUNCTION("""COMPUTED_VALUE"""),"http://yody.vn?affcode=INFTIEN989")</f>
        <v>http://yody.vn?affcode=INFTIEN989</v>
      </c>
    </row>
    <row r="281">
      <c r="A281" s="122" t="str">
        <f>IFERROR(__xludf.DUMMYFUNCTION("""COMPUTED_VALUE"""),"INFLUONG898")</f>
        <v>INFLUONG898</v>
      </c>
      <c r="B281" s="122" t="str">
        <f>IFERROR(__xludf.DUMMYFUNCTION("""COMPUTED_VALUE"""),"Phạm Đức Lương")</f>
        <v>Phạm Đức Lương</v>
      </c>
      <c r="C281" s="124" t="str">
        <f>IFERROR(__xludf.DUMMYFUNCTION("""COMPUTED_VALUE"""),"tiktok")</f>
        <v>tiktok</v>
      </c>
      <c r="D281" s="122"/>
      <c r="E281" s="122" t="str">
        <f>IFERROR(__xludf.DUMMYFUNCTION("""COMPUTED_VALUE"""),"745,5k")</f>
        <v>745,5k</v>
      </c>
      <c r="F281" s="122" t="str">
        <f>IFERROR(__xludf.DUMMYFUNCTION("""COMPUTED_VALUE"""),"Phạm Đức Lương")</f>
        <v>Phạm Đức Lương</v>
      </c>
      <c r="G281" s="126">
        <f>IFERROR(__xludf.DUMMYFUNCTION("""COMPUTED_VALUE"""),36682.0)</f>
        <v>36682</v>
      </c>
      <c r="H281" s="122">
        <f>IFERROR(__xludf.DUMMYFUNCTION("""COMPUTED_VALUE"""),2.72788777E8)</f>
        <v>272788777</v>
      </c>
      <c r="I281" s="122" t="str">
        <f>IFERROR(__xludf.DUMMYFUNCTION("""COMPUTED_VALUE"""),"0812129898")</f>
        <v>0812129898</v>
      </c>
      <c r="J281" s="122" t="str">
        <f>IFERROR(__xludf.DUMMYFUNCTION("""COMPUTED_VALUE"""),"dluong652000@gmail.com")</f>
        <v>dluong652000@gmail.com</v>
      </c>
      <c r="K281" s="122" t="str">
        <f>IFERROR(__xludf.DUMMYFUNCTION("""COMPUTED_VALUE"""),"050124544707")</f>
        <v>050124544707</v>
      </c>
      <c r="L281" s="122" t="str">
        <f>IFERROR(__xludf.DUMMYFUNCTION("""COMPUTED_VALUE"""),"PHAM DUC LUONG")</f>
        <v>PHAM DUC LUONG</v>
      </c>
      <c r="M281" s="122" t="str">
        <f>IFERROR(__xludf.DUMMYFUNCTION("""COMPUTED_VALUE"""),"Sacombank")</f>
        <v>Sacombank</v>
      </c>
      <c r="N281" s="122" t="str">
        <f>IFERROR(__xludf.DUMMYFUNCTION("""COMPUTED_VALUE"""),"21/60/14 KP.1 phường Tân Hiệp , Biên Hòa , Đồng Nai")</f>
        <v>21/60/14 KP.1 phường Tân Hiệp , Biên Hòa , Đồng Nai</v>
      </c>
      <c r="O281" s="122"/>
      <c r="P281" s="123" t="str">
        <f>IFERROR(__xludf.DUMMYFUNCTION("""COMPUTED_VALUE"""),"Hoa")</f>
        <v>Hoa</v>
      </c>
      <c r="Q281" s="122"/>
      <c r="R281" s="122" t="str">
        <f>IFERROR(__xludf.DUMMYFUNCTION("""COMPUTED_VALUE"""),"INFLUONG898")</f>
        <v>INFLUONG898</v>
      </c>
      <c r="S281" s="124" t="str">
        <f>IFERROR(__xludf.DUMMYFUNCTION("""COMPUTED_VALUE"""),"http://yody.vn?affcode=INFLUONG898")</f>
        <v>http://yody.vn?affcode=INFLUONG898</v>
      </c>
    </row>
    <row r="282">
      <c r="A282" s="122" t="str">
        <f>IFERROR(__xludf.DUMMYFUNCTION("""COMPUTED_VALUE"""),"INFHUONG633")</f>
        <v>INFHUONG633</v>
      </c>
      <c r="B282" s="122" t="str">
        <f>IFERROR(__xludf.DUMMYFUNCTION("""COMPUTED_VALUE"""),"Hàn Thu Hương")</f>
        <v>Hàn Thu Hương</v>
      </c>
      <c r="C282" s="124" t="str">
        <f>IFERROR(__xludf.DUMMYFUNCTION("""COMPUTED_VALUE"""),"tiktok")</f>
        <v>tiktok</v>
      </c>
      <c r="D282" s="122"/>
      <c r="E282" s="122" t="str">
        <f>IFERROR(__xludf.DUMMYFUNCTION("""COMPUTED_VALUE"""),"580,7k")</f>
        <v>580,7k</v>
      </c>
      <c r="F282" s="122" t="str">
        <f>IFERROR(__xludf.DUMMYFUNCTION("""COMPUTED_VALUE"""),"Nguyễn Thị Hương")</f>
        <v>Nguyễn Thị Hương</v>
      </c>
      <c r="G282" s="122" t="str">
        <f>IFERROR(__xludf.DUMMYFUNCTION("""COMPUTED_VALUE"""),"25/08/2001")</f>
        <v>25/08/2001</v>
      </c>
      <c r="H282" s="122" t="str">
        <f>IFERROR(__xludf.DUMMYFUNCTION("""COMPUTED_VALUE"""),"038301018371")</f>
        <v>038301018371</v>
      </c>
      <c r="I282" s="122" t="str">
        <f>IFERROR(__xludf.DUMMYFUNCTION("""COMPUTED_VALUE"""),"0329983633")</f>
        <v>0329983633</v>
      </c>
      <c r="J282" s="122" t="str">
        <f>IFERROR(__xludf.DUMMYFUNCTION("""COMPUTED_VALUE"""),"Chiikhenhh@gmail.com")</f>
        <v>Chiikhenhh@gmail.com</v>
      </c>
      <c r="K282" s="122" t="str">
        <f>IFERROR(__xludf.DUMMYFUNCTION("""COMPUTED_VALUE"""),"0329983633")</f>
        <v>0329983633</v>
      </c>
      <c r="L282" s="122" t="str">
        <f>IFERROR(__xludf.DUMMYFUNCTION("""COMPUTED_VALUE"""),"NGUYỄN THỊ HƯƠNG")</f>
        <v>NGUYỄN THỊ HƯƠNG</v>
      </c>
      <c r="M282" s="122" t="str">
        <f>IFERROR(__xludf.DUMMYFUNCTION("""COMPUTED_VALUE"""),"MB")</f>
        <v>MB</v>
      </c>
      <c r="N282" s="122" t="str">
        <f>IFERROR(__xludf.DUMMYFUNCTION("""COMPUTED_VALUE"""),"Thiệu Nguyên , Thiệu Hoá , Thanh Hoá")</f>
        <v>Thiệu Nguyên , Thiệu Hoá , Thanh Hoá</v>
      </c>
      <c r="O282" s="122"/>
      <c r="P282" s="123" t="str">
        <f>IFERROR(__xludf.DUMMYFUNCTION("""COMPUTED_VALUE"""),"Hoa")</f>
        <v>Hoa</v>
      </c>
      <c r="Q282" s="122"/>
      <c r="R282" s="122" t="str">
        <f>IFERROR(__xludf.DUMMYFUNCTION("""COMPUTED_VALUE"""),"INFHUONG633")</f>
        <v>INFHUONG633</v>
      </c>
      <c r="S282" s="124" t="str">
        <f>IFERROR(__xludf.DUMMYFUNCTION("""COMPUTED_VALUE"""),"http://yody.vn?affcode=INFHUONG633")</f>
        <v>http://yody.vn?affcode=INFHUONG633</v>
      </c>
    </row>
    <row r="283">
      <c r="A283" s="122" t="str">
        <f>IFERROR(__xludf.DUMMYFUNCTION("""COMPUTED_VALUE"""),"INFTHU186")</f>
        <v>INFTHU186</v>
      </c>
      <c r="B283" s="122" t="str">
        <f>IFERROR(__xludf.DUMMYFUNCTION("""COMPUTED_VALUE"""),"Lộc Ánh Thu")</f>
        <v>Lộc Ánh Thu</v>
      </c>
      <c r="C283" s="122" t="str">
        <f>IFERROR(__xludf.DUMMYFUNCTION("""COMPUTED_VALUE"""),"fb / tiktok")</f>
        <v>fb / tiktok</v>
      </c>
      <c r="D283" s="122"/>
      <c r="E283" s="122" t="str">
        <f>IFERROR(__xludf.DUMMYFUNCTION("""COMPUTED_VALUE"""),"71,4k / 2,4M")</f>
        <v>71,4k / 2,4M</v>
      </c>
      <c r="F283" s="122" t="str">
        <f>IFERROR(__xludf.DUMMYFUNCTION("""COMPUTED_VALUE"""),"Lộc Ánh Thu")</f>
        <v>Lộc Ánh Thu</v>
      </c>
      <c r="G283" s="126">
        <f>IFERROR(__xludf.DUMMYFUNCTION("""COMPUTED_VALUE"""),36869.0)</f>
        <v>36869</v>
      </c>
      <c r="H283" s="122" t="str">
        <f>IFERROR(__xludf.DUMMYFUNCTION("""COMPUTED_VALUE"""),"073492030")</f>
        <v>073492030</v>
      </c>
      <c r="I283" s="122" t="str">
        <f>IFERROR(__xludf.DUMMYFUNCTION("""COMPUTED_VALUE"""),"0816173186")</f>
        <v>0816173186</v>
      </c>
      <c r="J283" s="122" t="str">
        <f>IFERROR(__xludf.DUMMYFUNCTION("""COMPUTED_VALUE"""),"Kunham1234@gmail.com")</f>
        <v>Kunham1234@gmail.com</v>
      </c>
      <c r="K283" s="122">
        <f>IFERROR(__xludf.DUMMYFUNCTION("""COMPUTED_VALUE"""),1.5110000846231E13)</f>
        <v>15110000846231</v>
      </c>
      <c r="L283" s="122" t="str">
        <f>IFERROR(__xludf.DUMMYFUNCTION("""COMPUTED_VALUE"""),"LOC ANH THU")</f>
        <v>LOC ANH THU</v>
      </c>
      <c r="M283" s="122" t="str">
        <f>IFERROR(__xludf.DUMMYFUNCTION("""COMPUTED_VALUE"""),"BIDV")</f>
        <v>BIDV</v>
      </c>
      <c r="N283" s="122" t="str">
        <f>IFERROR(__xludf.DUMMYFUNCTION("""COMPUTED_VALUE"""),"Chung cư ruby CT3 - Phúc Lợi - Long Biên - Hà Nội")</f>
        <v>Chung cư ruby CT3 - Phúc Lợi - Long Biên - Hà Nội</v>
      </c>
      <c r="O283" s="122"/>
      <c r="P283" s="123" t="str">
        <f>IFERROR(__xludf.DUMMYFUNCTION("""COMPUTED_VALUE"""),"Hoa")</f>
        <v>Hoa</v>
      </c>
      <c r="Q283" s="122"/>
      <c r="R283" s="122" t="str">
        <f>IFERROR(__xludf.DUMMYFUNCTION("""COMPUTED_VALUE"""),"INFTHU186")</f>
        <v>INFTHU186</v>
      </c>
      <c r="S283" s="124" t="str">
        <f>IFERROR(__xludf.DUMMYFUNCTION("""COMPUTED_VALUE"""),"http://yody.vn?affcode=INFTHU186")</f>
        <v>http://yody.vn?affcode=INFTHU186</v>
      </c>
    </row>
    <row r="284">
      <c r="A284" s="122" t="str">
        <f>IFERROR(__xludf.DUMMYFUNCTION("""COMPUTED_VALUE"""),"INFPHUONG681")</f>
        <v>INFPHUONG681</v>
      </c>
      <c r="B284" s="122" t="str">
        <f>IFERROR(__xludf.DUMMYFUNCTION("""COMPUTED_VALUE"""),"Lê Thảo Phương")</f>
        <v>Lê Thảo Phương</v>
      </c>
      <c r="C284" s="124" t="str">
        <f>IFERROR(__xludf.DUMMYFUNCTION("""COMPUTED_VALUE"""),"fb")</f>
        <v>fb</v>
      </c>
      <c r="D284" s="122"/>
      <c r="E284" s="122" t="str">
        <f>IFERROR(__xludf.DUMMYFUNCTION("""COMPUTED_VALUE"""),"104,6k")</f>
        <v>104,6k</v>
      </c>
      <c r="F284" s="122" t="str">
        <f>IFERROR(__xludf.DUMMYFUNCTION("""COMPUTED_VALUE"""),"Lê Thảo Phương")</f>
        <v>Lê Thảo Phương</v>
      </c>
      <c r="G284" s="126">
        <f>IFERROR(__xludf.DUMMYFUNCTION("""COMPUTED_VALUE"""),36567.0)</f>
        <v>36567</v>
      </c>
      <c r="H284" s="122" t="str">
        <f>IFERROR(__xludf.DUMMYFUNCTION("""COMPUTED_VALUE"""),"038300016534")</f>
        <v>038300016534</v>
      </c>
      <c r="I284" s="122" t="str">
        <f>IFERROR(__xludf.DUMMYFUNCTION("""COMPUTED_VALUE"""),"0354662681")</f>
        <v>0354662681</v>
      </c>
      <c r="J284" s="122" t="str">
        <f>IFERROR(__xludf.DUMMYFUNCTION("""COMPUTED_VALUE"""),"Lethaophuong0211@gmail.com")</f>
        <v>Lethaophuong0211@gmail.com</v>
      </c>
      <c r="K284" s="122">
        <f>IFERROR(__xludf.DUMMYFUNCTION("""COMPUTED_VALUE"""),3.521205189783E12)</f>
        <v>3521205189783</v>
      </c>
      <c r="L284" s="122" t="str">
        <f>IFERROR(__xludf.DUMMYFUNCTION("""COMPUTED_VALUE"""),"Lê Thảo Phương")</f>
        <v>Lê Thảo Phương</v>
      </c>
      <c r="M284" s="122" t="str">
        <f>IFERROR(__xludf.DUMMYFUNCTION("""COMPUTED_VALUE"""),"agribank")</f>
        <v>agribank</v>
      </c>
      <c r="N284" s="122" t="str">
        <f>IFERROR(__xludf.DUMMYFUNCTION("""COMPUTED_VALUE"""),"101 ngõ 55 Trần Phú, Hà Đông, Hà Nội")</f>
        <v>101 ngõ 55 Trần Phú, Hà Đông, Hà Nội</v>
      </c>
      <c r="O284" s="122"/>
      <c r="P284" s="123" t="str">
        <f>IFERROR(__xludf.DUMMYFUNCTION("""COMPUTED_VALUE"""),"Hoa")</f>
        <v>Hoa</v>
      </c>
      <c r="Q284" s="122"/>
      <c r="R284" s="122" t="str">
        <f>IFERROR(__xludf.DUMMYFUNCTION("""COMPUTED_VALUE"""),"INFPHUONG681")</f>
        <v>INFPHUONG681</v>
      </c>
      <c r="S284" s="124" t="str">
        <f>IFERROR(__xludf.DUMMYFUNCTION("""COMPUTED_VALUE"""),"http://yody.vn?affcode=INFPHUONG681")</f>
        <v>http://yody.vn?affcode=INFPHUONG681</v>
      </c>
    </row>
    <row r="285">
      <c r="A285" s="122" t="str">
        <f>IFERROR(__xludf.DUMMYFUNCTION("""COMPUTED_VALUE"""),"INFDUYEN818")</f>
        <v>INFDUYEN818</v>
      </c>
      <c r="B285" s="122" t="str">
        <f>IFERROR(__xludf.DUMMYFUNCTION("""COMPUTED_VALUE"""),"Lê Thị Duyến")</f>
        <v>Lê Thị Duyến</v>
      </c>
      <c r="C285" s="124" t="str">
        <f>IFERROR(__xludf.DUMMYFUNCTION("""COMPUTED_VALUE"""),"fb")</f>
        <v>fb</v>
      </c>
      <c r="D285" s="122"/>
      <c r="E285" s="122" t="str">
        <f>IFERROR(__xludf.DUMMYFUNCTION("""COMPUTED_VALUE"""),"212,7k")</f>
        <v>212,7k</v>
      </c>
      <c r="F285" s="122" t="str">
        <f>IFERROR(__xludf.DUMMYFUNCTION("""COMPUTED_VALUE"""),"Lê Thị Duyến")</f>
        <v>Lê Thị Duyến</v>
      </c>
      <c r="G285" s="126">
        <f>IFERROR(__xludf.DUMMYFUNCTION("""COMPUTED_VALUE"""),33216.0)</f>
        <v>33216</v>
      </c>
      <c r="H285" s="122">
        <f>IFERROR(__xludf.DUMMYFUNCTION("""COMPUTED_VALUE"""),1.73607296E8)</f>
        <v>173607296</v>
      </c>
      <c r="I285" s="122" t="str">
        <f>IFERROR(__xludf.DUMMYFUNCTION("""COMPUTED_VALUE"""),"0912072818")</f>
        <v>0912072818</v>
      </c>
      <c r="J285" s="122" t="str">
        <f>IFERROR(__xludf.DUMMYFUNCTION("""COMPUTED_VALUE"""),"hathi866@gmail.com")</f>
        <v>hathi866@gmail.com</v>
      </c>
      <c r="K285" s="122">
        <f>IFERROR(__xludf.DUMMYFUNCTION("""COMPUTED_VALUE"""),1.9028261550027E13)</f>
        <v>19028261550027</v>
      </c>
      <c r="L285" s="122" t="str">
        <f>IFERROR(__xludf.DUMMYFUNCTION("""COMPUTED_VALUE"""),"Lê Thị Duyến")</f>
        <v>Lê Thị Duyến</v>
      </c>
      <c r="M285" s="122" t="str">
        <f>IFERROR(__xludf.DUMMYFUNCTION("""COMPUTED_VALUE"""),"Techcombank Thanh Hóa")</f>
        <v>Techcombank Thanh Hóa</v>
      </c>
      <c r="N285" s="122" t="str">
        <f>IFERROR(__xludf.DUMMYFUNCTION("""COMPUTED_VALUE"""),"254/77 Hải Thượng Lãn ông - Đông Vệ - TP Thanh Hóa")</f>
        <v>254/77 Hải Thượng Lãn ông - Đông Vệ - TP Thanh Hóa</v>
      </c>
      <c r="O285" s="122"/>
      <c r="P285" s="123" t="str">
        <f>IFERROR(__xludf.DUMMYFUNCTION("""COMPUTED_VALUE"""),"Hoa")</f>
        <v>Hoa</v>
      </c>
      <c r="Q285" s="122"/>
      <c r="R285" s="122" t="str">
        <f>IFERROR(__xludf.DUMMYFUNCTION("""COMPUTED_VALUE"""),"INFDUYEN818")</f>
        <v>INFDUYEN818</v>
      </c>
      <c r="S285" s="124" t="str">
        <f>IFERROR(__xludf.DUMMYFUNCTION("""COMPUTED_VALUE"""),"http://yody.vn?affcode=INFDUYEN818")</f>
        <v>http://yody.vn?affcode=INFDUYEN818</v>
      </c>
    </row>
    <row r="286">
      <c r="A286" s="122" t="str">
        <f>IFERROR(__xludf.DUMMYFUNCTION("""COMPUTED_VALUE"""),"INFTHUY949")</f>
        <v>INFTHUY949</v>
      </c>
      <c r="B286" s="122" t="str">
        <f>IFERROR(__xludf.DUMMYFUNCTION("""COMPUTED_VALUE""")," Thuý Nguyễn")</f>
        <v> Thuý Nguyễn</v>
      </c>
      <c r="C286" s="124" t="str">
        <f>IFERROR(__xludf.DUMMYFUNCTION("""COMPUTED_VALUE"""),"fb")</f>
        <v>fb</v>
      </c>
      <c r="D286" s="122"/>
      <c r="E286" s="122" t="str">
        <f>IFERROR(__xludf.DUMMYFUNCTION("""COMPUTED_VALUE"""),"121,8k")</f>
        <v>121,8k</v>
      </c>
      <c r="F286" s="122" t="str">
        <f>IFERROR(__xludf.DUMMYFUNCTION("""COMPUTED_VALUE"""),"Nguyễn Thanh Thuý")</f>
        <v>Nguyễn Thanh Thuý</v>
      </c>
      <c r="G286" s="122" t="str">
        <f>IFERROR(__xludf.DUMMYFUNCTION("""COMPUTED_VALUE"""),"20/10/1999")</f>
        <v>20/10/1999</v>
      </c>
      <c r="H286" s="122">
        <f>IFERROR(__xludf.DUMMYFUNCTION("""COMPUTED_VALUE"""),3.12404231E8)</f>
        <v>312404231</v>
      </c>
      <c r="I286" s="122" t="str">
        <f>IFERROR(__xludf.DUMMYFUNCTION("""COMPUTED_VALUE"""),"0365396949")</f>
        <v>0365396949</v>
      </c>
      <c r="J286" s="122" t="str">
        <f>IFERROR(__xludf.DUMMYFUNCTION("""COMPUTED_VALUE"""),"nguyenthanhthuy997497@gmail.com")</f>
        <v>nguyenthanhthuy997497@gmail.com</v>
      </c>
      <c r="K286" s="122">
        <f>IFERROR(__xludf.DUMMYFUNCTION("""COMPUTED_VALUE"""),2390637.0)</f>
        <v>2390637</v>
      </c>
      <c r="L286" s="122" t="str">
        <f>IFERROR(__xludf.DUMMYFUNCTION("""COMPUTED_VALUE"""),"Nguyễn Thanh Thuý")</f>
        <v>Nguyễn Thanh Thuý</v>
      </c>
      <c r="M286" s="122" t="str">
        <f>IFERROR(__xludf.DUMMYFUNCTION("""COMPUTED_VALUE"""),"ACB")</f>
        <v>ACB</v>
      </c>
      <c r="N286" s="122" t="str">
        <f>IFERROR(__xludf.DUMMYFUNCTION("""COMPUTED_VALUE"""),"Chợ Tân Hội, ấp Tân Phong, xã Tân Hội, thị xã Cai Lậy, tỉnh Tiền Giang")</f>
        <v>Chợ Tân Hội, ấp Tân Phong, xã Tân Hội, thị xã Cai Lậy, tỉnh Tiền Giang</v>
      </c>
      <c r="O286" s="122"/>
      <c r="P286" s="123" t="str">
        <f>IFERROR(__xludf.DUMMYFUNCTION("""COMPUTED_VALUE"""),"Hoa")</f>
        <v>Hoa</v>
      </c>
      <c r="Q286" s="122"/>
      <c r="R286" s="122" t="str">
        <f>IFERROR(__xludf.DUMMYFUNCTION("""COMPUTED_VALUE"""),"INFTHUY949")</f>
        <v>INFTHUY949</v>
      </c>
      <c r="S286" s="124" t="str">
        <f>IFERROR(__xludf.DUMMYFUNCTION("""COMPUTED_VALUE"""),"http://yody.vn?affcode=INFTHUY949")</f>
        <v>http://yody.vn?affcode=INFTHUY949</v>
      </c>
    </row>
    <row r="287">
      <c r="A287" s="122" t="str">
        <f>IFERROR(__xludf.DUMMYFUNCTION("""COMPUTED_VALUE"""),"INFTRANG116")</f>
        <v>INFTRANG116</v>
      </c>
      <c r="B287" s="122" t="str">
        <f>IFERROR(__xludf.DUMMYFUNCTION("""COMPUTED_VALUE"""),"Nguyễn Thị Lệ Trang")</f>
        <v>Nguyễn Thị Lệ Trang</v>
      </c>
      <c r="C287" s="124" t="str">
        <f>IFERROR(__xludf.DUMMYFUNCTION("""COMPUTED_VALUE"""),"fb")</f>
        <v>fb</v>
      </c>
      <c r="D287" s="122"/>
      <c r="E287" s="122" t="str">
        <f>IFERROR(__xludf.DUMMYFUNCTION("""COMPUTED_VALUE"""),"64,7k")</f>
        <v>64,7k</v>
      </c>
      <c r="F287" s="122" t="str">
        <f>IFERROR(__xludf.DUMMYFUNCTION("""COMPUTED_VALUE"""),"Nguyễn Thị Lệ Trang")</f>
        <v>Nguyễn Thị Lệ Trang</v>
      </c>
      <c r="G287" s="122" t="str">
        <f>IFERROR(__xludf.DUMMYFUNCTION("""COMPUTED_VALUE"""),"20/09/1995")</f>
        <v>20/09/1995</v>
      </c>
      <c r="H287" s="122" t="str">
        <f>IFERROR(__xludf.DUMMYFUNCTION("""COMPUTED_VALUE"""),"026195001249")</f>
        <v>026195001249</v>
      </c>
      <c r="I287" s="122" t="str">
        <f>IFERROR(__xludf.DUMMYFUNCTION("""COMPUTED_VALUE"""),"0943981116")</f>
        <v>0943981116</v>
      </c>
      <c r="J287" s="122" t="str">
        <f>IFERROR(__xludf.DUMMYFUNCTION("""COMPUTED_VALUE"""),"betranglouisa1995@gmail.com")</f>
        <v>betranglouisa1995@gmail.com</v>
      </c>
      <c r="K287" s="122">
        <f>IFERROR(__xludf.DUMMYFUNCTION("""COMPUTED_VALUE"""),8.800156956666E12)</f>
        <v>8800156956666</v>
      </c>
      <c r="L287" s="122" t="str">
        <f>IFERROR(__xludf.DUMMYFUNCTION("""COMPUTED_VALUE"""),"Nguyen Thi Le Trang")</f>
        <v>Nguyen Thi Le Trang</v>
      </c>
      <c r="M287" s="122" t="str">
        <f>IFERROR(__xludf.DUMMYFUNCTION("""COMPUTED_VALUE"""),"MB")</f>
        <v>MB</v>
      </c>
      <c r="N287" s="122" t="str">
        <f>IFERROR(__xludf.DUMMYFUNCTION("""COMPUTED_VALUE"""),"1/252 Tây Sơn, Đống Đa, Hà Nội")</f>
        <v>1/252 Tây Sơn, Đống Đa, Hà Nội</v>
      </c>
      <c r="O287" s="122"/>
      <c r="P287" s="123" t="str">
        <f>IFERROR(__xludf.DUMMYFUNCTION("""COMPUTED_VALUE"""),"Hoa")</f>
        <v>Hoa</v>
      </c>
      <c r="Q287" s="122"/>
      <c r="R287" s="122" t="str">
        <f>IFERROR(__xludf.DUMMYFUNCTION("""COMPUTED_VALUE"""),"INFTRANG116")</f>
        <v>INFTRANG116</v>
      </c>
      <c r="S287" s="124" t="str">
        <f>IFERROR(__xludf.DUMMYFUNCTION("""COMPUTED_VALUE"""),"http://yody.vn?affcode=INFTRANG116")</f>
        <v>http://yody.vn?affcode=INFTRANG116</v>
      </c>
    </row>
    <row r="288">
      <c r="A288" s="122" t="str">
        <f>IFERROR(__xludf.DUMMYFUNCTION("""COMPUTED_VALUE"""),"INFANH017")</f>
        <v>INFANH017</v>
      </c>
      <c r="B288" s="122" t="str">
        <f>IFERROR(__xludf.DUMMYFUNCTION("""COMPUTED_VALUE"""),"Trần Phương Anh")</f>
        <v>Trần Phương Anh</v>
      </c>
      <c r="C288" s="124" t="str">
        <f>IFERROR(__xludf.DUMMYFUNCTION("""COMPUTED_VALUE"""),"fb")</f>
        <v>fb</v>
      </c>
      <c r="D288" s="122"/>
      <c r="E288" s="122" t="str">
        <f>IFERROR(__xludf.DUMMYFUNCTION("""COMPUTED_VALUE"""),"203,7k")</f>
        <v>203,7k</v>
      </c>
      <c r="F288" s="122" t="str">
        <f>IFERROR(__xludf.DUMMYFUNCTION("""COMPUTED_VALUE"""),"Trần Phương Anh")</f>
        <v>Trần Phương Anh</v>
      </c>
      <c r="G288" s="122" t="str">
        <f>IFERROR(__xludf.DUMMYFUNCTION("""COMPUTED_VALUE"""),"19/12/1979")</f>
        <v>19/12/1979</v>
      </c>
      <c r="H288" s="122" t="str">
        <f>IFERROR(__xludf.DUMMYFUNCTION("""COMPUTED_VALUE"""),"001179025807")</f>
        <v>001179025807</v>
      </c>
      <c r="I288" s="122" t="str">
        <f>IFERROR(__xludf.DUMMYFUNCTION("""COMPUTED_VALUE"""),"0904482017")</f>
        <v>0904482017</v>
      </c>
      <c r="J288" s="122" t="str">
        <f>IFERROR(__xludf.DUMMYFUNCTION("""COMPUTED_VALUE"""),"phuonganh1912@gmail.com")</f>
        <v>phuonganh1912@gmail.com</v>
      </c>
      <c r="K288" s="122">
        <f>IFERROR(__xludf.DUMMYFUNCTION("""COMPUTED_VALUE"""),1.9120784818019E13)</f>
        <v>19120784818019</v>
      </c>
      <c r="L288" s="122" t="str">
        <f>IFERROR(__xludf.DUMMYFUNCTION("""COMPUTED_VALUE"""),"Trần Phương Anh")</f>
        <v>Trần Phương Anh</v>
      </c>
      <c r="M288" s="122" t="str">
        <f>IFERROR(__xludf.DUMMYFUNCTION("""COMPUTED_VALUE"""),"Techcombank")</f>
        <v>Techcombank</v>
      </c>
      <c r="N288" s="122" t="str">
        <f>IFERROR(__xludf.DUMMYFUNCTION("""COMPUTED_VALUE"""),"71 ngõ Thịnh Hào 1 - Tôn Đức Thắng - Đống Đa - Hà Nội")</f>
        <v>71 ngõ Thịnh Hào 1 - Tôn Đức Thắng - Đống Đa - Hà Nội</v>
      </c>
      <c r="O288" s="122"/>
      <c r="P288" s="123" t="str">
        <f>IFERROR(__xludf.DUMMYFUNCTION("""COMPUTED_VALUE"""),"Hoa")</f>
        <v>Hoa</v>
      </c>
      <c r="Q288" s="122"/>
      <c r="R288" s="122" t="str">
        <f>IFERROR(__xludf.DUMMYFUNCTION("""COMPUTED_VALUE"""),"INFANH017")</f>
        <v>INFANH017</v>
      </c>
      <c r="S288" s="124" t="str">
        <f>IFERROR(__xludf.DUMMYFUNCTION("""COMPUTED_VALUE"""),"http://yody.vn?affcode=INFANH017")</f>
        <v>http://yody.vn?affcode=INFANH017</v>
      </c>
    </row>
    <row r="289">
      <c r="A289" s="122" t="str">
        <f>IFERROR(__xludf.DUMMYFUNCTION("""COMPUTED_VALUE"""),"INFLAN889")</f>
        <v>INFLAN889</v>
      </c>
      <c r="B289" s="122" t="str">
        <f>IFERROR(__xludf.DUMMYFUNCTION("""COMPUTED_VALUE"""),"Trịnh Thúy Lan")</f>
        <v>Trịnh Thúy Lan</v>
      </c>
      <c r="C289" s="124" t="str">
        <f>IFERROR(__xludf.DUMMYFUNCTION("""COMPUTED_VALUE"""),"fb
tiktok
")</f>
        <v>fb
tiktok
</v>
      </c>
      <c r="D289" s="122"/>
      <c r="E289" s="122" t="str">
        <f>IFERROR(__xludf.DUMMYFUNCTION("""COMPUTED_VALUE"""),"154,6k")</f>
        <v>154,6k</v>
      </c>
      <c r="F289" s="122" t="str">
        <f>IFERROR(__xludf.DUMMYFUNCTION("""COMPUTED_VALUE"""),"Trịnh Thúy Lan")</f>
        <v>Trịnh Thúy Lan</v>
      </c>
      <c r="G289" s="122" t="str">
        <f>IFERROR(__xludf.DUMMYFUNCTION("""COMPUTED_VALUE"""),"30/4/1988")</f>
        <v>30/4/1988</v>
      </c>
      <c r="H289" s="122" t="str">
        <f>IFERROR(__xludf.DUMMYFUNCTION("""COMPUTED_VALUE"""),"092006296")</f>
        <v>092006296</v>
      </c>
      <c r="I289" s="122" t="str">
        <f>IFERROR(__xludf.DUMMYFUNCTION("""COMPUTED_VALUE"""),"0975727889")</f>
        <v>0975727889</v>
      </c>
      <c r="J289" s="122" t="str">
        <f>IFERROR(__xludf.DUMMYFUNCTION("""COMPUTED_VALUE"""),"tlan.3004@gmail.com")</f>
        <v>tlan.3004@gmail.com</v>
      </c>
      <c r="K289" s="122">
        <f>IFERROR(__xludf.DUMMYFUNCTION("""COMPUTED_VALUE"""),3.9010000540068E13)</f>
        <v>39010000540068</v>
      </c>
      <c r="L289" s="122" t="str">
        <f>IFERROR(__xludf.DUMMYFUNCTION("""COMPUTED_VALUE"""),"Trịnh Thuý Lan")</f>
        <v>Trịnh Thuý Lan</v>
      </c>
      <c r="M289" s="122" t="str">
        <f>IFERROR(__xludf.DUMMYFUNCTION("""COMPUTED_VALUE"""),"BIDV Thái Nguyên")</f>
        <v>BIDV Thái Nguyên</v>
      </c>
      <c r="N289" s="122" t="str">
        <f>IFERROR(__xludf.DUMMYFUNCTION("""COMPUTED_VALUE"""),"sn 28a ngõ 158 đường Phan đình phùng tổ 5 phường Phan Đình Phùng TP Thái nguyên")</f>
        <v>sn 28a ngõ 158 đường Phan đình phùng tổ 5 phường Phan Đình Phùng TP Thái nguyên</v>
      </c>
      <c r="O289" s="122"/>
      <c r="P289" s="123" t="str">
        <f>IFERROR(__xludf.DUMMYFUNCTION("""COMPUTED_VALUE"""),"Hoa")</f>
        <v>Hoa</v>
      </c>
      <c r="Q289" s="122"/>
      <c r="R289" s="122" t="str">
        <f>IFERROR(__xludf.DUMMYFUNCTION("""COMPUTED_VALUE"""),"INFLAN889")</f>
        <v>INFLAN889</v>
      </c>
      <c r="S289" s="124" t="str">
        <f>IFERROR(__xludf.DUMMYFUNCTION("""COMPUTED_VALUE"""),"http://yody.vn?affcode=INFLAN889")</f>
        <v>http://yody.vn?affcode=INFLAN889</v>
      </c>
    </row>
    <row r="290">
      <c r="A290" s="122" t="str">
        <f>IFERROR(__xludf.DUMMYFUNCTION("""COMPUTED_VALUE"""),"INFLINH333")</f>
        <v>INFLINH333</v>
      </c>
      <c r="B290" s="122" t="str">
        <f>IFERROR(__xludf.DUMMYFUNCTION("""COMPUTED_VALUE"""),"Phan Thùy Linh")</f>
        <v>Phan Thùy Linh</v>
      </c>
      <c r="C290" s="124" t="str">
        <f>IFERROR(__xludf.DUMMYFUNCTION("""COMPUTED_VALUE"""),"fb")</f>
        <v>fb</v>
      </c>
      <c r="D290" s="122"/>
      <c r="E290" s="122" t="str">
        <f>IFERROR(__xludf.DUMMYFUNCTION("""COMPUTED_VALUE"""),"105,3k")</f>
        <v>105,3k</v>
      </c>
      <c r="F290" s="122" t="str">
        <f>IFERROR(__xludf.DUMMYFUNCTION("""COMPUTED_VALUE"""),"Phan Thuỳ Linh")</f>
        <v>Phan Thuỳ Linh</v>
      </c>
      <c r="G290" s="122" t="str">
        <f>IFERROR(__xludf.DUMMYFUNCTION("""COMPUTED_VALUE"""),"22/09/1993")</f>
        <v>22/09/1993</v>
      </c>
      <c r="H290" s="122">
        <f>IFERROR(__xludf.DUMMYFUNCTION("""COMPUTED_VALUE"""),1.97320621E8)</f>
        <v>197320621</v>
      </c>
      <c r="I290" s="122" t="str">
        <f>IFERROR(__xludf.DUMMYFUNCTION("""COMPUTED_VALUE"""),"0775468333")</f>
        <v>0775468333</v>
      </c>
      <c r="J290" s="122" t="str">
        <f>IFERROR(__xludf.DUMMYFUNCTION("""COMPUTED_VALUE"""),"Ljnh.angel123@gmail.com")</f>
        <v>Ljnh.angel123@gmail.com</v>
      </c>
      <c r="K290" s="122">
        <f>IFERROR(__xludf.DUMMYFUNCTION("""COMPUTED_VALUE"""),9996317.0)</f>
        <v>9996317</v>
      </c>
      <c r="L290" s="122" t="str">
        <f>IFERROR(__xludf.DUMMYFUNCTION("""COMPUTED_VALUE"""),"Phan Lê Thuỳ Linh")</f>
        <v>Phan Lê Thuỳ Linh</v>
      </c>
      <c r="M290" s="122" t="str">
        <f>IFERROR(__xludf.DUMMYFUNCTION("""COMPUTED_VALUE"""),"ACB -  Chi nhánh Lạc Long Quân")</f>
        <v>ACB -  Chi nhánh Lạc Long Quân</v>
      </c>
      <c r="N290" s="122" t="str">
        <f>IFERROR(__xludf.DUMMYFUNCTION("""COMPUTED_VALUE"""),"15a/41 Lê thánh tôn , phường bến nghé , quận 1")</f>
        <v>15a/41 Lê thánh tôn , phường bến nghé , quận 1</v>
      </c>
      <c r="O290" s="122"/>
      <c r="P290" s="123" t="str">
        <f>IFERROR(__xludf.DUMMYFUNCTION("""COMPUTED_VALUE"""),"Hoa")</f>
        <v>Hoa</v>
      </c>
      <c r="Q290" s="122"/>
      <c r="R290" s="122" t="str">
        <f>IFERROR(__xludf.DUMMYFUNCTION("""COMPUTED_VALUE"""),"INFLINH333")</f>
        <v>INFLINH333</v>
      </c>
      <c r="S290" s="124" t="str">
        <f>IFERROR(__xludf.DUMMYFUNCTION("""COMPUTED_VALUE"""),"http://yody.vn?affcode=INFLINH333")</f>
        <v>http://yody.vn?affcode=INFLINH333</v>
      </c>
    </row>
    <row r="291">
      <c r="A291" s="122" t="str">
        <f>IFERROR(__xludf.DUMMYFUNCTION("""COMPUTED_VALUE"""),"INFTHANH912")</f>
        <v>INFTHANH912</v>
      </c>
      <c r="B291" s="122" t="str">
        <f>IFERROR(__xludf.DUMMYFUNCTION("""COMPUTED_VALUE"""),"Nguyễn Lâm Thành")</f>
        <v>Nguyễn Lâm Thành</v>
      </c>
      <c r="C291" s="124" t="str">
        <f>IFERROR(__xludf.DUMMYFUNCTION("""COMPUTED_VALUE"""),"fb")</f>
        <v>fb</v>
      </c>
      <c r="D291" s="122"/>
      <c r="E291" s="122" t="str">
        <f>IFERROR(__xludf.DUMMYFUNCTION("""COMPUTED_VALUE"""),"114,2k")</f>
        <v>114,2k</v>
      </c>
      <c r="F291" s="122" t="str">
        <f>IFERROR(__xludf.DUMMYFUNCTION("""COMPUTED_VALUE"""),"Nguyễn Lâm Thành")</f>
        <v>Nguyễn Lâm Thành</v>
      </c>
      <c r="G291" s="122" t="str">
        <f>IFERROR(__xludf.DUMMYFUNCTION("""COMPUTED_VALUE"""),"16/11/2000")</f>
        <v>16/11/2000</v>
      </c>
      <c r="H291" s="122" t="str">
        <f>IFERROR(__xludf.DUMMYFUNCTION("""COMPUTED_VALUE"""),"056200006996")</f>
        <v>056200006996</v>
      </c>
      <c r="I291" s="122" t="str">
        <f>IFERROR(__xludf.DUMMYFUNCTION("""COMPUTED_VALUE"""),"0886914912")</f>
        <v>0886914912</v>
      </c>
      <c r="J291" s="122" t="str">
        <f>IFERROR(__xludf.DUMMYFUNCTION("""COMPUTED_VALUE"""),"Thanhlamthanh888@gmail.com")</f>
        <v>Thanhlamthanh888@gmail.com</v>
      </c>
      <c r="K291" s="122" t="str">
        <f>IFERROR(__xludf.DUMMYFUNCTION("""COMPUTED_VALUE"""),"0581000790418")</f>
        <v>0581000790418</v>
      </c>
      <c r="L291" s="122" t="str">
        <f>IFERROR(__xludf.DUMMYFUNCTION("""COMPUTED_VALUE"""),"NGUYEN LAM THANH")</f>
        <v>NGUYEN LAM THANH</v>
      </c>
      <c r="M291" s="122" t="str">
        <f>IFERROR(__xludf.DUMMYFUNCTION("""COMPUTED_VALUE"""),"Vietcombank")</f>
        <v>Vietcombank</v>
      </c>
      <c r="N291" s="122" t="str">
        <f>IFERROR(__xludf.DUMMYFUNCTION("""COMPUTED_VALUE"""),"Khánh Hoà")</f>
        <v>Khánh Hoà</v>
      </c>
      <c r="O291" s="122"/>
      <c r="P291" s="123" t="str">
        <f>IFERROR(__xludf.DUMMYFUNCTION("""COMPUTED_VALUE"""),"Hoa")</f>
        <v>Hoa</v>
      </c>
      <c r="Q291" s="122"/>
      <c r="R291" s="122" t="str">
        <f>IFERROR(__xludf.DUMMYFUNCTION("""COMPUTED_VALUE"""),"INFTHANH912")</f>
        <v>INFTHANH912</v>
      </c>
      <c r="S291" s="124" t="str">
        <f>IFERROR(__xludf.DUMMYFUNCTION("""COMPUTED_VALUE"""),"http://yody.vn?affcode=INFTHANH912")</f>
        <v>http://yody.vn?affcode=INFTHANH912</v>
      </c>
    </row>
    <row r="292">
      <c r="A292" s="122" t="str">
        <f>IFERROR(__xludf.DUMMYFUNCTION("""COMPUTED_VALUE"""),"INFDUC556")</f>
        <v>INFDUC556</v>
      </c>
      <c r="B292" s="122" t="str">
        <f>IFERROR(__xludf.DUMMYFUNCTION("""COMPUTED_VALUE"""),"Trinh Anh Duc")</f>
        <v>Trinh Anh Duc</v>
      </c>
      <c r="C292" s="124" t="str">
        <f>IFERROR(__xludf.DUMMYFUNCTION("""COMPUTED_VALUE"""),"fb")</f>
        <v>fb</v>
      </c>
      <c r="D292" s="122"/>
      <c r="E292" s="122" t="str">
        <f>IFERROR(__xludf.DUMMYFUNCTION("""COMPUTED_VALUE"""),"70,1k")</f>
        <v>70,1k</v>
      </c>
      <c r="F292" s="122" t="str">
        <f>IFERROR(__xludf.DUMMYFUNCTION("""COMPUTED_VALUE"""),"Trịnh Anh Đức")</f>
        <v>Trịnh Anh Đức</v>
      </c>
      <c r="G292" s="122" t="str">
        <f>IFERROR(__xludf.DUMMYFUNCTION("""COMPUTED_VALUE"""),"13.01.2006")</f>
        <v>13.01.2006</v>
      </c>
      <c r="H292" s="122" t="str">
        <f>IFERROR(__xludf.DUMMYFUNCTION("""COMPUTED_VALUE"""),"038206026365")</f>
        <v>038206026365</v>
      </c>
      <c r="I292" s="122" t="str">
        <f>IFERROR(__xludf.DUMMYFUNCTION("""COMPUTED_VALUE"""),"0948027556")</f>
        <v>0948027556</v>
      </c>
      <c r="J292" s="124" t="str">
        <f>IFERROR(__xludf.DUMMYFUNCTION("""COMPUTED_VALUE"""),"anhductrinh206@gmail.com")</f>
        <v>anhductrinh206@gmail.com</v>
      </c>
      <c r="K292" s="122">
        <f>IFERROR(__xludf.DUMMYFUNCTION("""COMPUTED_VALUE"""),9.130102020205E12)</f>
        <v>9130102020205</v>
      </c>
      <c r="L292" s="122"/>
      <c r="M292" s="122" t="str">
        <f>IFERROR(__xludf.DUMMYFUNCTION("""COMPUTED_VALUE"""),"MB")</f>
        <v>MB</v>
      </c>
      <c r="N292" s="122"/>
      <c r="O292" s="122"/>
      <c r="P292" s="123" t="str">
        <f>IFERROR(__xludf.DUMMYFUNCTION("""COMPUTED_VALUE"""),"Hoa")</f>
        <v>Hoa</v>
      </c>
      <c r="Q292" s="122"/>
      <c r="R292" s="122" t="str">
        <f>IFERROR(__xludf.DUMMYFUNCTION("""COMPUTED_VALUE"""),"INFDUC556")</f>
        <v>INFDUC556</v>
      </c>
      <c r="S292" s="124" t="str">
        <f>IFERROR(__xludf.DUMMYFUNCTION("""COMPUTED_VALUE"""),"http://yody.vn?affcode=INFDUC556")</f>
        <v>http://yody.vn?affcode=INFDUC556</v>
      </c>
    </row>
    <row r="293">
      <c r="A293" s="122" t="str">
        <f>IFERROR(__xludf.DUMMYFUNCTION("""COMPUTED_VALUE"""),"INFNHU058")</f>
        <v>INFNHU058</v>
      </c>
      <c r="B293" s="122" t="str">
        <f>IFERROR(__xludf.DUMMYFUNCTION("""COMPUTED_VALUE"""),"Tố Như")</f>
        <v>Tố Như</v>
      </c>
      <c r="C293" s="124" t="str">
        <f>IFERROR(__xludf.DUMMYFUNCTION("""COMPUTED_VALUE"""),"tiktok")</f>
        <v>tiktok</v>
      </c>
      <c r="D293" s="122"/>
      <c r="E293" s="122" t="str">
        <f>IFERROR(__xludf.DUMMYFUNCTION("""COMPUTED_VALUE"""),"121,9k")</f>
        <v>121,9k</v>
      </c>
      <c r="F293" s="122" t="str">
        <f>IFERROR(__xludf.DUMMYFUNCTION("""COMPUTED_VALUE"""),"Hoàng Phạm Tố Như ")</f>
        <v>Hoàng Phạm Tố Như </v>
      </c>
      <c r="G293" s="122" t="str">
        <f>IFERROR(__xludf.DUMMYFUNCTION("""COMPUTED_VALUE"""),"18/06/2000")</f>
        <v>18/06/2000</v>
      </c>
      <c r="H293" s="122">
        <f>IFERROR(__xludf.DUMMYFUNCTION("""COMPUTED_VALUE"""),2.41772642E8)</f>
        <v>241772642</v>
      </c>
      <c r="I293" s="122" t="str">
        <f>IFERROR(__xludf.DUMMYFUNCTION("""COMPUTED_VALUE"""),"0901913058")</f>
        <v>0901913058</v>
      </c>
      <c r="J293" s="122" t="str">
        <f>IFERROR(__xludf.DUMMYFUNCTION("""COMPUTED_VALUE"""),"Hoangohamtonhu18062000@gmail.com")</f>
        <v>Hoangohamtonhu18062000@gmail.com</v>
      </c>
      <c r="K293" s="122" t="str">
        <f>IFERROR(__xludf.DUMMYFUNCTION("""COMPUTED_VALUE"""),"0381 4349 501")</f>
        <v>0381 4349 501</v>
      </c>
      <c r="L293" s="122" t="str">
        <f>IFERROR(__xludf.DUMMYFUNCTION("""COMPUTED_VALUE"""),"Hoàng phạm tố như")</f>
        <v>Hoàng phạm tố như</v>
      </c>
      <c r="M293" s="122" t="str">
        <f>IFERROR(__xludf.DUMMYFUNCTION("""COMPUTED_VALUE"""),"Ngân hàng tp(tien phong) bank . Chi nhánh TPBANK DIGITAL .")</f>
        <v>Ngân hàng tp(tien phong) bank . Chi nhánh TPBANK DIGITAL .</v>
      </c>
      <c r="N293" s="122" t="str">
        <f>IFERROR(__xludf.DUMMYFUNCTION("""COMPUTED_VALUE"""),"The Park Residence, Đường Nguyễn Hữu Thọ, Phước Kiển, Nhà Bè, Thành phố Hồ Chí Minh")</f>
        <v>The Park Residence, Đường Nguyễn Hữu Thọ, Phước Kiển, Nhà Bè, Thành phố Hồ Chí Minh</v>
      </c>
      <c r="O293" s="122"/>
      <c r="P293" s="123" t="str">
        <f>IFERROR(__xludf.DUMMYFUNCTION("""COMPUTED_VALUE"""),"Hoa")</f>
        <v>Hoa</v>
      </c>
      <c r="Q293" s="122"/>
      <c r="R293" s="122" t="str">
        <f>IFERROR(__xludf.DUMMYFUNCTION("""COMPUTED_VALUE"""),"INFNHU058")</f>
        <v>INFNHU058</v>
      </c>
      <c r="S293" s="124" t="str">
        <f>IFERROR(__xludf.DUMMYFUNCTION("""COMPUTED_VALUE"""),"http://yody.vn?affcode=INFNHU058")</f>
        <v>http://yody.vn?affcode=INFNHU058</v>
      </c>
    </row>
    <row r="294">
      <c r="A294" s="122" t="str">
        <f>IFERROR(__xludf.DUMMYFUNCTION("""COMPUTED_VALUE"""),"INFTRUONG023")</f>
        <v>INFTRUONG023</v>
      </c>
      <c r="B294" s="122" t="str">
        <f>IFERROR(__xludf.DUMMYFUNCTION("""COMPUTED_VALUE"""),"NMT Vlog")</f>
        <v>NMT Vlog</v>
      </c>
      <c r="C294" s="122" t="str">
        <f>IFERROR(__xludf.DUMMYFUNCTION("""COMPUTED_VALUE"""),"tiktok / fb /  youtube")</f>
        <v>tiktok / fb /  youtube</v>
      </c>
      <c r="D294" s="122"/>
      <c r="E294" s="122" t="str">
        <f>IFERROR(__xludf.DUMMYFUNCTION("""COMPUTED_VALUE"""),"1,8M-177k
462N")</f>
        <v>1,8M-177k
462N</v>
      </c>
      <c r="F294" s="122" t="str">
        <f>IFERROR(__xludf.DUMMYFUNCTION("""COMPUTED_VALUE"""),"Nguyễn Minh Trường")</f>
        <v>Nguyễn Minh Trường</v>
      </c>
      <c r="G294" s="126">
        <f>IFERROR(__xludf.DUMMYFUNCTION("""COMPUTED_VALUE"""),36230.0)</f>
        <v>36230</v>
      </c>
      <c r="H294" s="122" t="str">
        <f>IFERROR(__xludf.DUMMYFUNCTION("""COMPUTED_VALUE"""),"091911704")</f>
        <v>091911704</v>
      </c>
      <c r="I294" s="122" t="str">
        <f>IFERROR(__xludf.DUMMYFUNCTION("""COMPUTED_VALUE"""),"0965675023")</f>
        <v>0965675023</v>
      </c>
      <c r="J294" s="122" t="str">
        <f>IFERROR(__xludf.DUMMYFUNCTION("""COMPUTED_VALUE"""),"truongmich99@gmail.com")</f>
        <v>truongmich99@gmail.com</v>
      </c>
      <c r="K294" s="122">
        <f>IFERROR(__xludf.DUMMYFUNCTION("""COMPUTED_VALUE"""),1.04888311999E11)</f>
        <v>104888311999</v>
      </c>
      <c r="L294" s="122" t="str">
        <f>IFERROR(__xludf.DUMMYFUNCTION("""COMPUTED_VALUE"""),"NGUYEN MINH TRUONG")</f>
        <v>NGUYEN MINH TRUONG</v>
      </c>
      <c r="M294" s="122" t="str">
        <f>IFERROR(__xludf.DUMMYFUNCTION("""COMPUTED_VALUE"""),"vietinbank ")</f>
        <v>vietinbank </v>
      </c>
      <c r="N294" s="122" t="str">
        <f>IFERROR(__xludf.DUMMYFUNCTION("""COMPUTED_VALUE"""),"xã Minh Đức-Thị xã Phổ Yên-Tỉnh Thái Nguyên")</f>
        <v>xã Minh Đức-Thị xã Phổ Yên-Tỉnh Thái Nguyên</v>
      </c>
      <c r="O294" s="122" t="str">
        <f>IFERROR(__xludf.DUMMYFUNCTION("""COMPUTED_VALUE"""),"Mến")</f>
        <v>Mến</v>
      </c>
      <c r="P294" s="123" t="str">
        <f>IFERROR(__xludf.DUMMYFUNCTION("""COMPUTED_VALUE"""),"Mến")</f>
        <v>Mến</v>
      </c>
      <c r="Q294" s="122"/>
      <c r="R294" s="122" t="str">
        <f>IFERROR(__xludf.DUMMYFUNCTION("""COMPUTED_VALUE"""),"INFTRUONG023")</f>
        <v>INFTRUONG023</v>
      </c>
      <c r="S294" s="124" t="str">
        <f>IFERROR(__xludf.DUMMYFUNCTION("""COMPUTED_VALUE"""),"https://yody.vn/?affcode=INFTRUONG023")</f>
        <v>https://yody.vn/?affcode=INFTRUONG023</v>
      </c>
    </row>
    <row r="295">
      <c r="A295" s="122" t="str">
        <f>IFERROR(__xludf.DUMMYFUNCTION("""COMPUTED_VALUE"""),"INFYODYVICTO")</f>
        <v>INFYODYVICTO</v>
      </c>
      <c r="B295" s="122" t="str">
        <f>IFERROR(__xludf.DUMMYFUNCTION("""COMPUTED_VALUE"""),"yody_vn")</f>
        <v>yody_vn</v>
      </c>
      <c r="C295" s="124" t="str">
        <f>IFERROR(__xludf.DUMMYFUNCTION("""COMPUTED_VALUE"""),"TikTok")</f>
        <v>TikTok</v>
      </c>
      <c r="D295" s="122"/>
      <c r="E295" s="122"/>
      <c r="F295" s="122" t="str">
        <f>IFERROR(__xludf.DUMMYFUNCTION("""COMPUTED_VALUE"""),"Nguyễn Thị Nền")</f>
        <v>Nguyễn Thị Nền</v>
      </c>
      <c r="G295" s="122"/>
      <c r="H295" s="122"/>
      <c r="I295" s="122" t="str">
        <f>IFERROR(__xludf.DUMMYFUNCTION("""COMPUTED_VALUE"""),"0817744133")</f>
        <v>0817744133</v>
      </c>
      <c r="J295" s="122"/>
      <c r="K295" s="122">
        <f>IFERROR(__xludf.DUMMYFUNCTION("""COMPUTED_VALUE"""),1.9030503639014E13)</f>
        <v>19030503639014</v>
      </c>
      <c r="L295" s="122" t="str">
        <f>IFERROR(__xludf.DUMMYFUNCTION("""COMPUTED_VALUE"""),"Nguyễn Thị Nền")</f>
        <v>Nguyễn Thị Nền</v>
      </c>
      <c r="M295" s="122" t="str">
        <f>IFERROR(__xludf.DUMMYFUNCTION("""COMPUTED_VALUE"""),"Techcombank")</f>
        <v>Techcombank</v>
      </c>
      <c r="N295" s="122" t="str">
        <f>IFERROR(__xludf.DUMMYFUNCTION("""COMPUTED_VALUE"""),"Chi nhánh VICTORY")</f>
        <v>Chi nhánh VICTORY</v>
      </c>
      <c r="O295" s="122" t="str">
        <f>IFERROR(__xludf.DUMMYFUNCTION("""COMPUTED_VALUE"""),"Dũng")</f>
        <v>Dũng</v>
      </c>
      <c r="P295" s="123" t="str">
        <f>IFERROR(__xludf.DUMMYFUNCTION("""COMPUTED_VALUE"""),"Hoa")</f>
        <v>Hoa</v>
      </c>
      <c r="Q295" s="122"/>
      <c r="R295" s="122" t="str">
        <f>IFERROR(__xludf.DUMMYFUNCTION("""COMPUTED_VALUE"""),"INFYODYVICTO")</f>
        <v>INFYODYVICTO</v>
      </c>
      <c r="S295" s="122"/>
    </row>
    <row r="296">
      <c r="A296" s="122" t="str">
        <f>IFERROR(__xludf.DUMMYFUNCTION("""COMPUTED_VALUE"""),"INFTUYEN753")</f>
        <v>INFTUYEN753</v>
      </c>
      <c r="B296" s="122" t="str">
        <f>IFERROR(__xludf.DUMMYFUNCTION("""COMPUTED_VALUE"""),"Trần Ngọc Tuyền")</f>
        <v>Trần Ngọc Tuyền</v>
      </c>
      <c r="C296" s="122" t="str">
        <f>IFERROR(__xludf.DUMMYFUNCTION("""COMPUTED_VALUE"""),"fb / tiktok")</f>
        <v>fb / tiktok</v>
      </c>
      <c r="D296" s="122"/>
      <c r="E296" s="122" t="str">
        <f>IFERROR(__xludf.DUMMYFUNCTION("""COMPUTED_VALUE"""),"57k / 3M")</f>
        <v>57k / 3M</v>
      </c>
      <c r="F296" s="122" t="str">
        <f>IFERROR(__xludf.DUMMYFUNCTION("""COMPUTED_VALUE"""),"Trần Thị Ngọc Tuyền")</f>
        <v>Trần Thị Ngọc Tuyền</v>
      </c>
      <c r="G296" s="126">
        <f>IFERROR(__xludf.DUMMYFUNCTION("""COMPUTED_VALUE"""),37661.0)</f>
        <v>37661</v>
      </c>
      <c r="H296" s="122">
        <f>IFERROR(__xludf.DUMMYFUNCTION("""COMPUTED_VALUE"""),2.15667659E8)</f>
        <v>215667659</v>
      </c>
      <c r="I296" s="122" t="str">
        <f>IFERROR(__xludf.DUMMYFUNCTION("""COMPUTED_VALUE"""),"0375719753")</f>
        <v>0375719753</v>
      </c>
      <c r="J296" s="122" t="str">
        <f>IFERROR(__xludf.DUMMYFUNCTION("""COMPUTED_VALUE"""),"Ngoctuyent263@gmail.com")</f>
        <v>Ngoctuyent263@gmail.com</v>
      </c>
      <c r="K296" s="122">
        <f>IFERROR(__xludf.DUMMYFUNCTION("""COMPUTED_VALUE"""),1.016884331E9)</f>
        <v>1016884331</v>
      </c>
      <c r="L296" s="122" t="str">
        <f>IFERROR(__xludf.DUMMYFUNCTION("""COMPUTED_VALUE"""),"Tran Thi Ngoc Tuyen")</f>
        <v>Tran Thi Ngoc Tuyen</v>
      </c>
      <c r="M296" s="122" t="str">
        <f>IFERROR(__xludf.DUMMYFUNCTION("""COMPUTED_VALUE"""),"Vietcombank")</f>
        <v>Vietcombank</v>
      </c>
      <c r="N296" s="122" t="str">
        <f>IFERROR(__xludf.DUMMYFUNCTION("""COMPUTED_VALUE"""),"44 Huỳnh Thúc Kháng Pleiku GiaLai")</f>
        <v>44 Huỳnh Thúc Kháng Pleiku GiaLai</v>
      </c>
      <c r="O296" s="122"/>
      <c r="P296" s="123" t="str">
        <f>IFERROR(__xludf.DUMMYFUNCTION("""COMPUTED_VALUE"""),"Hoa")</f>
        <v>Hoa</v>
      </c>
      <c r="Q296" s="122"/>
      <c r="R296" s="122" t="str">
        <f>IFERROR(__xludf.DUMMYFUNCTION("""COMPUTED_VALUE"""),"INFTUYEN753")</f>
        <v>INFTUYEN753</v>
      </c>
      <c r="S296" s="124" t="str">
        <f>IFERROR(__xludf.DUMMYFUNCTION("""COMPUTED_VALUE"""),"http://yody.vn?affcode=INFTUYEN753")</f>
        <v>http://yody.vn?affcode=INFTUYEN753</v>
      </c>
    </row>
    <row r="297">
      <c r="A297" s="122" t="str">
        <f>IFERROR(__xludf.DUMMYFUNCTION("""COMPUTED_VALUE"""),"INFNGOC336")</f>
        <v>INFNGOC336</v>
      </c>
      <c r="B297" s="122" t="str">
        <f>IFERROR(__xludf.DUMMYFUNCTION("""COMPUTED_VALUE"""),"Nona Ngọc")</f>
        <v>Nona Ngọc</v>
      </c>
      <c r="C297" s="124" t="str">
        <f>IFERROR(__xludf.DUMMYFUNCTION("""COMPUTED_VALUE"""),"fb")</f>
        <v>fb</v>
      </c>
      <c r="D297" s="122"/>
      <c r="E297" s="122" t="str">
        <f>IFERROR(__xludf.DUMMYFUNCTION("""COMPUTED_VALUE"""),"114,8k")</f>
        <v>114,8k</v>
      </c>
      <c r="F297" s="122" t="str">
        <f>IFERROR(__xludf.DUMMYFUNCTION("""COMPUTED_VALUE"""),"Phạm Thị Hồng Ngọc")</f>
        <v>Phạm Thị Hồng Ngọc</v>
      </c>
      <c r="G297" s="125">
        <f>IFERROR(__xludf.DUMMYFUNCTION("""COMPUTED_VALUE"""),35105.0)</f>
        <v>35105</v>
      </c>
      <c r="H297" s="122" t="str">
        <f>IFERROR(__xludf.DUMMYFUNCTION("""COMPUTED_VALUE"""),"017528396")</f>
        <v>017528396</v>
      </c>
      <c r="I297" s="122" t="str">
        <f>IFERROR(__xludf.DUMMYFUNCTION("""COMPUTED_VALUE"""),"0866703336")</f>
        <v>0866703336</v>
      </c>
      <c r="J297" s="122" t="str">
        <f>IFERROR(__xludf.DUMMYFUNCTION("""COMPUTED_VALUE"""),"ngocnona@gmail.com")</f>
        <v>ngocnona@gmail.com</v>
      </c>
      <c r="K297" s="122" t="str">
        <f>IFERROR(__xludf.DUMMYFUNCTION("""COMPUTED_VALUE""")," 0451000473993")</f>
        <v> 0451000473993</v>
      </c>
      <c r="L297" s="122" t="str">
        <f>IFERROR(__xludf.DUMMYFUNCTION("""COMPUTED_VALUE"""),"Phạm Thị Hồng Ngọc")</f>
        <v>Phạm Thị Hồng Ngọc</v>
      </c>
      <c r="M297" s="122" t="str">
        <f>IFERROR(__xludf.DUMMYFUNCTION("""COMPUTED_VALUE"""),"Vietcombank")</f>
        <v>Vietcombank</v>
      </c>
      <c r="N297" s="122" t="str">
        <f>IFERROR(__xludf.DUMMYFUNCTION("""COMPUTED_VALUE"""),"117/20 ngõ 20 mĩ đình 2, quận nam từ liêm , hà nội")</f>
        <v>117/20 ngõ 20 mĩ đình 2, quận nam từ liêm , hà nội</v>
      </c>
      <c r="O297" s="122"/>
      <c r="P297" s="123" t="str">
        <f>IFERROR(__xludf.DUMMYFUNCTION("""COMPUTED_VALUE"""),"Hoa")</f>
        <v>Hoa</v>
      </c>
      <c r="Q297" s="122"/>
      <c r="R297" s="122" t="str">
        <f>IFERROR(__xludf.DUMMYFUNCTION("""COMPUTED_VALUE"""),"INFNGOC336")</f>
        <v>INFNGOC336</v>
      </c>
      <c r="S297" s="124" t="str">
        <f>IFERROR(__xludf.DUMMYFUNCTION("""COMPUTED_VALUE"""),"http://yody.vn?affcode=INFNGOC336")</f>
        <v>http://yody.vn?affcode=INFNGOC336</v>
      </c>
    </row>
    <row r="298">
      <c r="A298" s="122" t="str">
        <f>IFERROR(__xludf.DUMMYFUNCTION("""COMPUTED_VALUE"""),"INFVY259")</f>
        <v>INFVY259</v>
      </c>
      <c r="B298" s="122" t="str">
        <f>IFERROR(__xludf.DUMMYFUNCTION("""COMPUTED_VALUE"""),"Trần Thảo Vy")</f>
        <v>Trần Thảo Vy</v>
      </c>
      <c r="C298" s="124" t="str">
        <f>IFERROR(__xludf.DUMMYFUNCTION("""COMPUTED_VALUE"""),"fb")</f>
        <v>fb</v>
      </c>
      <c r="D298" s="122"/>
      <c r="E298" s="122" t="str">
        <f>IFERROR(__xludf.DUMMYFUNCTION("""COMPUTED_VALUE"""),"73,7k")</f>
        <v>73,7k</v>
      </c>
      <c r="F298" s="122" t="str">
        <f>IFERROR(__xludf.DUMMYFUNCTION("""COMPUTED_VALUE"""),"Trần Thảo Vy")</f>
        <v>Trần Thảo Vy</v>
      </c>
      <c r="G298" s="125">
        <f>IFERROR(__xludf.DUMMYFUNCTION("""COMPUTED_VALUE"""),36042.0)</f>
        <v>36042</v>
      </c>
      <c r="H298" s="122">
        <f>IFERROR(__xludf.DUMMYFUNCTION("""COMPUTED_VALUE"""),2.25599509E8)</f>
        <v>225599509</v>
      </c>
      <c r="I298" s="122" t="str">
        <f>IFERROR(__xludf.DUMMYFUNCTION("""COMPUTED_VALUE"""),"0899349259")</f>
        <v>0899349259</v>
      </c>
      <c r="J298" s="122" t="str">
        <f>IFERROR(__xludf.DUMMYFUNCTION("""COMPUTED_VALUE"""),"thaovy9498@gmail.com")</f>
        <v>thaovy9498@gmail.com</v>
      </c>
      <c r="K298" s="122">
        <f>IFERROR(__xludf.DUMMYFUNCTION("""COMPUTED_VALUE"""),1.9036317913015E13)</f>
        <v>19036317913015</v>
      </c>
      <c r="L298" s="122" t="str">
        <f>IFERROR(__xludf.DUMMYFUNCTION("""COMPUTED_VALUE"""),"TRAN THAO VY")</f>
        <v>TRAN THAO VY</v>
      </c>
      <c r="M298" s="122" t="str">
        <f>IFERROR(__xludf.DUMMYFUNCTION("""COMPUTED_VALUE"""),"Techcombank")</f>
        <v>Techcombank</v>
      </c>
      <c r="N298" s="122" t="str">
        <f>IFERROR(__xludf.DUMMYFUNCTION("""COMPUTED_VALUE"""),"241/2 Phạm Văn Đồng, p1, Quận Gò Vấp, Tp.HCM")</f>
        <v>241/2 Phạm Văn Đồng, p1, Quận Gò Vấp, Tp.HCM</v>
      </c>
      <c r="O298" s="122"/>
      <c r="P298" s="123" t="str">
        <f>IFERROR(__xludf.DUMMYFUNCTION("""COMPUTED_VALUE"""),"Hoa")</f>
        <v>Hoa</v>
      </c>
      <c r="Q298" s="122"/>
      <c r="R298" s="122" t="str">
        <f>IFERROR(__xludf.DUMMYFUNCTION("""COMPUTED_VALUE"""),"INFVY259")</f>
        <v>INFVY259</v>
      </c>
      <c r="S298" s="124" t="str">
        <f>IFERROR(__xludf.DUMMYFUNCTION("""COMPUTED_VALUE"""),"http://yody.vn?affcode=INFVY259")</f>
        <v>http://yody.vn?affcode=INFVY259</v>
      </c>
    </row>
    <row r="299">
      <c r="A299" s="122" t="str">
        <f>IFERROR(__xludf.DUMMYFUNCTION("""COMPUTED_VALUE"""),"INFTUNG923")</f>
        <v>INFTUNG923</v>
      </c>
      <c r="B299" s="122" t="str">
        <f>IFERROR(__xludf.DUMMYFUNCTION("""COMPUTED_VALUE"""),"Trần Thế Tùng")</f>
        <v>Trần Thế Tùng</v>
      </c>
      <c r="C299" s="122" t="str">
        <f>IFERROR(__xludf.DUMMYFUNCTION("""COMPUTED_VALUE"""),"fb  /  tiktok")</f>
        <v>fb  /  tiktok</v>
      </c>
      <c r="D299" s="122"/>
      <c r="E299" s="122" t="str">
        <f>IFERROR(__xludf.DUMMYFUNCTION("""COMPUTED_VALUE"""),"102k / 4,1M")</f>
        <v>102k / 4,1M</v>
      </c>
      <c r="F299" s="122" t="str">
        <f>IFERROR(__xludf.DUMMYFUNCTION("""COMPUTED_VALUE"""),"Trần Thế Tùng")</f>
        <v>Trần Thế Tùng</v>
      </c>
      <c r="G299" s="126">
        <f>IFERROR(__xludf.DUMMYFUNCTION("""COMPUTED_VALUE"""),38049.0)</f>
        <v>38049</v>
      </c>
      <c r="H299" s="122" t="str">
        <f>IFERROR(__xludf.DUMMYFUNCTION("""COMPUTED_VALUE"""),"037204004490")</f>
        <v>037204004490</v>
      </c>
      <c r="I299" s="122" t="str">
        <f>IFERROR(__xludf.DUMMYFUNCTION("""COMPUTED_VALUE"""),"0961334923")</f>
        <v>0961334923</v>
      </c>
      <c r="J299" s="122" t="str">
        <f>IFERROR(__xludf.DUMMYFUNCTION("""COMPUTED_VALUE"""),"tttung3333@gmail.com")</f>
        <v>tttung3333@gmail.com</v>
      </c>
      <c r="K299" s="122">
        <f>IFERROR(__xludf.DUMMYFUNCTION("""COMPUTED_VALUE"""),1.12575561E8)</f>
        <v>112575561</v>
      </c>
      <c r="L299" s="122" t="str">
        <f>IFERROR(__xludf.DUMMYFUNCTION("""COMPUTED_VALUE"""),"Trần thị ngọc ánh")</f>
        <v>Trần thị ngọc ánh</v>
      </c>
      <c r="M299" s="122" t="str">
        <f>IFERROR(__xludf.DUMMYFUNCTION("""COMPUTED_VALUE"""),"vpbank")</f>
        <v>vpbank</v>
      </c>
      <c r="N299" s="122" t="str">
        <f>IFERROR(__xludf.DUMMYFUNCTION("""COMPUTED_VALUE"""),"Xóm 6 Gia Sinh Gia Viễn Ninh Bình")</f>
        <v>Xóm 6 Gia Sinh Gia Viễn Ninh Bình</v>
      </c>
      <c r="O299" s="122"/>
      <c r="P299" s="123" t="str">
        <f>IFERROR(__xludf.DUMMYFUNCTION("""COMPUTED_VALUE"""),"Hoa")</f>
        <v>Hoa</v>
      </c>
      <c r="Q299" s="122"/>
      <c r="R299" s="122" t="str">
        <f>IFERROR(__xludf.DUMMYFUNCTION("""COMPUTED_VALUE"""),"INFTUNG923")</f>
        <v>INFTUNG923</v>
      </c>
      <c r="S299" s="124" t="str">
        <f>IFERROR(__xludf.DUMMYFUNCTION("""COMPUTED_VALUE"""),"http://yody.vn?affcode=INFTUNG923")</f>
        <v>http://yody.vn?affcode=INFTUNG923</v>
      </c>
    </row>
    <row r="300">
      <c r="A300" s="122" t="str">
        <f>IFERROR(__xludf.DUMMYFUNCTION("""COMPUTED_VALUE"""),"INFHANH836")</f>
        <v>INFHANH836</v>
      </c>
      <c r="B300" s="122" t="str">
        <f>IFERROR(__xludf.DUMMYFUNCTION("""COMPUTED_VALUE"""),"Hạnhh Ana")</f>
        <v>Hạnhh Ana</v>
      </c>
      <c r="C300" s="124" t="str">
        <f>IFERROR(__xludf.DUMMYFUNCTION("""COMPUTED_VALUE"""),"fb")</f>
        <v>fb</v>
      </c>
      <c r="D300" s="122"/>
      <c r="E300" s="122" t="str">
        <f>IFERROR(__xludf.DUMMYFUNCTION("""COMPUTED_VALUE"""),"109,4k")</f>
        <v>109,4k</v>
      </c>
      <c r="F300" s="122"/>
      <c r="G300" s="122" t="str">
        <f>IFERROR(__xludf.DUMMYFUNCTION("""COMPUTED_VALUE"""),"25/11/2001")</f>
        <v>25/11/2001</v>
      </c>
      <c r="H300" s="122">
        <f>IFERROR(__xludf.DUMMYFUNCTION("""COMPUTED_VALUE"""),2.15571674E8)</f>
        <v>215571674</v>
      </c>
      <c r="I300" s="122" t="str">
        <f>IFERROR(__xludf.DUMMYFUNCTION("""COMPUTED_VALUE"""),"0906773836")</f>
        <v>0906773836</v>
      </c>
      <c r="J300" s="122" t="str">
        <f>IFERROR(__xludf.DUMMYFUNCTION("""COMPUTED_VALUE"""),"pthonghanh2511@gmail.com")</f>
        <v>pthonghanh2511@gmail.com</v>
      </c>
      <c r="K300" s="122">
        <f>IFERROR(__xludf.DUMMYFUNCTION("""COMPUTED_VALUE"""),1.9035672599015E13)</f>
        <v>19035672599015</v>
      </c>
      <c r="L300" s="122" t="str">
        <f>IFERROR(__xludf.DUMMYFUNCTION("""COMPUTED_VALUE"""),"Phạm thị hồng hạnh")</f>
        <v>Phạm thị hồng hạnh</v>
      </c>
      <c r="M300" s="122" t="str">
        <f>IFERROR(__xludf.DUMMYFUNCTION("""COMPUTED_VALUE"""),"Techcombank")</f>
        <v>Techcombank</v>
      </c>
      <c r="N300" s="122" t="str">
        <f>IFERROR(__xludf.DUMMYFUNCTION("""COMPUTED_VALUE"""),"35 TDP thành công thị trấn eapok huyện cưmagar tỉnh daklak")</f>
        <v>35 TDP thành công thị trấn eapok huyện cưmagar tỉnh daklak</v>
      </c>
      <c r="O300" s="122"/>
      <c r="P300" s="123" t="str">
        <f>IFERROR(__xludf.DUMMYFUNCTION("""COMPUTED_VALUE"""),"Hoa")</f>
        <v>Hoa</v>
      </c>
      <c r="Q300" s="122"/>
      <c r="R300" s="122" t="str">
        <f>IFERROR(__xludf.DUMMYFUNCTION("""COMPUTED_VALUE"""),"INFHANH836")</f>
        <v>INFHANH836</v>
      </c>
      <c r="S300" s="124" t="str">
        <f>IFERROR(__xludf.DUMMYFUNCTION("""COMPUTED_VALUE"""),"http://yody.vn?affcode=INFHANH836")</f>
        <v>http://yody.vn?affcode=INFHANH836</v>
      </c>
    </row>
    <row r="301">
      <c r="A301" s="122" t="str">
        <f>IFERROR(__xludf.DUMMYFUNCTION("""COMPUTED_VALUE"""),"INFLOI543")</f>
        <v>INFLOI543</v>
      </c>
      <c r="B301" s="122" t="str">
        <f>IFERROR(__xludf.DUMMYFUNCTION("""COMPUTED_VALUE"""),"Nguyễn Thành Lợi")</f>
        <v>Nguyễn Thành Lợi</v>
      </c>
      <c r="C301" s="124" t="str">
        <f>IFERROR(__xludf.DUMMYFUNCTION("""COMPUTED_VALUE"""),"fb")</f>
        <v>fb</v>
      </c>
      <c r="D301" s="122"/>
      <c r="E301" s="133">
        <f>IFERROR(__xludf.DUMMYFUNCTION("""COMPUTED_VALUE"""),74000.0)</f>
        <v>74000</v>
      </c>
      <c r="F301" s="122" t="str">
        <f>IFERROR(__xludf.DUMMYFUNCTION("""COMPUTED_VALUE"""),"Nguyễn Thành Lợi")</f>
        <v>Nguyễn Thành Lợi</v>
      </c>
      <c r="G301" s="129">
        <f>IFERROR(__xludf.DUMMYFUNCTION("""COMPUTED_VALUE"""),37384.0)</f>
        <v>37384</v>
      </c>
      <c r="H301" s="122" t="str">
        <f>IFERROR(__xludf.DUMMYFUNCTION("""COMPUTED_VALUE"""),"033202000187")</f>
        <v>033202000187</v>
      </c>
      <c r="I301" s="122" t="str">
        <f>IFERROR(__xludf.DUMMYFUNCTION("""COMPUTED_VALUE"""),"0362556543")</f>
        <v>0362556543</v>
      </c>
      <c r="J301" s="122" t="str">
        <f>IFERROR(__xludf.DUMMYFUNCTION("""COMPUTED_VALUE"""),"ngthanhloi.contact@gmail.com")</f>
        <v>ngthanhloi.contact@gmail.com</v>
      </c>
      <c r="K301" s="122"/>
      <c r="L301" s="122"/>
      <c r="M301" s="122"/>
      <c r="N301" s="122"/>
      <c r="O301" s="122"/>
      <c r="P301" s="123" t="str">
        <f>IFERROR(__xludf.DUMMYFUNCTION("""COMPUTED_VALUE"""),"Mến")</f>
        <v>Mến</v>
      </c>
      <c r="Q301" s="122"/>
      <c r="R301" s="122" t="str">
        <f>IFERROR(__xludf.DUMMYFUNCTION("""COMPUTED_VALUE"""),"INFLOI543")</f>
        <v>INFLOI543</v>
      </c>
      <c r="S301" s="124" t="str">
        <f>IFERROR(__xludf.DUMMYFUNCTION("""COMPUTED_VALUE"""),"https://yody.vn/?affcode=INFLOI543")</f>
        <v>https://yody.vn/?affcode=INFLOI543</v>
      </c>
    </row>
    <row r="302">
      <c r="A302" s="122" t="str">
        <f>IFERROR(__xludf.DUMMYFUNCTION("""COMPUTED_VALUE"""),"INFHA392")</f>
        <v>INFHA392</v>
      </c>
      <c r="B302" s="122" t="str">
        <f>IFERROR(__xludf.DUMMYFUNCTION("""COMPUTED_VALUE"""),"Ca My")</f>
        <v>Ca My</v>
      </c>
      <c r="C302" s="124" t="str">
        <f>IFERROR(__xludf.DUMMYFUNCTION("""COMPUTED_VALUE"""),"https://www.facebook.com/camy0210")</f>
        <v>https://www.facebook.com/camy0210</v>
      </c>
      <c r="D302" s="122"/>
      <c r="E302" s="133">
        <f>IFERROR(__xludf.DUMMYFUNCTION("""COMPUTED_VALUE"""),52000.0)</f>
        <v>52000</v>
      </c>
      <c r="F302" s="122" t="str">
        <f>IFERROR(__xludf.DUMMYFUNCTION("""COMPUTED_VALUE"""),"Lê Thị Thu Hà")</f>
        <v>Lê Thị Thu Hà</v>
      </c>
      <c r="G302" s="129">
        <f>IFERROR(__xludf.DUMMYFUNCTION("""COMPUTED_VALUE"""),35340.0)</f>
        <v>35340</v>
      </c>
      <c r="H302" s="122">
        <f>IFERROR(__xludf.DUMMYFUNCTION("""COMPUTED_VALUE"""),2.73626687E8)</f>
        <v>273626687</v>
      </c>
      <c r="I302" s="122" t="str">
        <f>IFERROR(__xludf.DUMMYFUNCTION("""COMPUTED_VALUE"""),"0931206392")</f>
        <v>0931206392</v>
      </c>
      <c r="J302" s="122" t="str">
        <f>IFERROR(__xludf.DUMMYFUNCTION("""COMPUTED_VALUE"""),"thuha02101996@gmail.com")</f>
        <v>thuha02101996@gmail.com</v>
      </c>
      <c r="K302" s="122"/>
      <c r="L302" s="122"/>
      <c r="M302" s="122"/>
      <c r="N302" s="122"/>
      <c r="O302" s="122"/>
      <c r="P302" s="123" t="str">
        <f>IFERROR(__xludf.DUMMYFUNCTION("""COMPUTED_VALUE"""),"Mến")</f>
        <v>Mến</v>
      </c>
      <c r="Q302" s="122"/>
      <c r="R302" s="122" t="str">
        <f>IFERROR(__xludf.DUMMYFUNCTION("""COMPUTED_VALUE"""),"INFHA392")</f>
        <v>INFHA392</v>
      </c>
      <c r="S302" s="124" t="str">
        <f>IFERROR(__xludf.DUMMYFUNCTION("""COMPUTED_VALUE"""),"https://yody.vn/?affcode=INFHA392")</f>
        <v>https://yody.vn/?affcode=INFHA392</v>
      </c>
    </row>
    <row r="303">
      <c r="A303" s="122" t="str">
        <f>IFERROR(__xludf.DUMMYFUNCTION("""COMPUTED_VALUE"""),"INFTU498")</f>
        <v>INFTU498</v>
      </c>
      <c r="B303" s="122" t="str">
        <f>IFERROR(__xludf.DUMMYFUNCTION("""COMPUTED_VALUE"""),"Hoàng Văn Tú")</f>
        <v>Hoàng Văn Tú</v>
      </c>
      <c r="C303" s="124" t="str">
        <f>IFERROR(__xludf.DUMMYFUNCTION("""COMPUTED_VALUE"""),"https://www.facebook.com/tuba.haha.1")</f>
        <v>https://www.facebook.com/tuba.haha.1</v>
      </c>
      <c r="D303" s="122"/>
      <c r="E303" s="133">
        <f>IFERROR(__xludf.DUMMYFUNCTION("""COMPUTED_VALUE"""),15500.0)</f>
        <v>15500</v>
      </c>
      <c r="F303" s="122" t="str">
        <f>IFERROR(__xludf.DUMMYFUNCTION("""COMPUTED_VALUE"""),"Hoàng Văn Tú")</f>
        <v>Hoàng Văn Tú</v>
      </c>
      <c r="G303" s="129">
        <f>IFERROR(__xludf.DUMMYFUNCTION("""COMPUTED_VALUE"""),36954.0)</f>
        <v>36954</v>
      </c>
      <c r="H303" s="122" t="str">
        <f>IFERROR(__xludf.DUMMYFUNCTION("""COMPUTED_VALUE"""),"‘030201003593'")</f>
        <v>‘030201003593'</v>
      </c>
      <c r="I303" s="122" t="str">
        <f>IFERROR(__xludf.DUMMYFUNCTION("""COMPUTED_VALUE"""),"0969167498")</f>
        <v>0969167498</v>
      </c>
      <c r="J303" s="122" t="str">
        <f>IFERROR(__xludf.DUMMYFUNCTION("""COMPUTED_VALUE"""),"hoangvantu04032001@gmail.com")</f>
        <v>hoangvantu04032001@gmail.com</v>
      </c>
      <c r="K303" s="122"/>
      <c r="L303" s="122"/>
      <c r="M303" s="122"/>
      <c r="N303" s="122"/>
      <c r="O303" s="122"/>
      <c r="P303" s="123" t="str">
        <f>IFERROR(__xludf.DUMMYFUNCTION("""COMPUTED_VALUE"""),"Mến")</f>
        <v>Mến</v>
      </c>
      <c r="Q303" s="122"/>
      <c r="R303" s="122" t="str">
        <f>IFERROR(__xludf.DUMMYFUNCTION("""COMPUTED_VALUE"""),"INFTU498")</f>
        <v>INFTU498</v>
      </c>
      <c r="S303" s="124" t="str">
        <f>IFERROR(__xludf.DUMMYFUNCTION("""COMPUTED_VALUE"""),"https://yody.vn/?affcode=INFTU498")</f>
        <v>https://yody.vn/?affcode=INFTU498</v>
      </c>
    </row>
    <row r="304">
      <c r="A304" s="122" t="str">
        <f>IFERROR(__xludf.DUMMYFUNCTION("""COMPUTED_VALUE"""),"INFVU350")</f>
        <v>INFVU350</v>
      </c>
      <c r="B304" s="122" t="str">
        <f>IFERROR(__xludf.DUMMYFUNCTION("""COMPUTED_VALUE"""),"Nguyễn Trọng Vũ")</f>
        <v>Nguyễn Trọng Vũ</v>
      </c>
      <c r="C304" s="124" t="str">
        <f>IFERROR(__xludf.DUMMYFUNCTION("""COMPUTED_VALUE"""),"https://www.facebook.com/profile.php?id=100013541372885")</f>
        <v>https://www.facebook.com/profile.php?id=100013541372885</v>
      </c>
      <c r="D304" s="122"/>
      <c r="E304" s="133">
        <f>IFERROR(__xludf.DUMMYFUNCTION("""COMPUTED_VALUE"""),20000.0)</f>
        <v>20000</v>
      </c>
      <c r="F304" s="122" t="str">
        <f>IFERROR(__xludf.DUMMYFUNCTION("""COMPUTED_VALUE"""),"Nguyễn Trọng Vũ")</f>
        <v>Nguyễn Trọng Vũ</v>
      </c>
      <c r="G304" s="129">
        <f>IFERROR(__xludf.DUMMYFUNCTION("""COMPUTED_VALUE"""),37654.0)</f>
        <v>37654</v>
      </c>
      <c r="H304" s="122">
        <f>IFERROR(__xludf.DUMMYFUNCTION("""COMPUTED_VALUE"""),2.41959867E8)</f>
        <v>241959867</v>
      </c>
      <c r="I304" s="122" t="str">
        <f>IFERROR(__xludf.DUMMYFUNCTION("""COMPUTED_VALUE"""),"0899380350")</f>
        <v>0899380350</v>
      </c>
      <c r="J304" s="122" t="str">
        <f>IFERROR(__xludf.DUMMYFUNCTION("""COMPUTED_VALUE"""),"kunkunkids0202@gmail.com")</f>
        <v>kunkunkids0202@gmail.com</v>
      </c>
      <c r="K304" s="122"/>
      <c r="L304" s="122"/>
      <c r="M304" s="122"/>
      <c r="N304" s="122"/>
      <c r="O304" s="122"/>
      <c r="P304" s="123" t="str">
        <f>IFERROR(__xludf.DUMMYFUNCTION("""COMPUTED_VALUE"""),"Mến")</f>
        <v>Mến</v>
      </c>
      <c r="Q304" s="122"/>
      <c r="R304" s="122" t="str">
        <f>IFERROR(__xludf.DUMMYFUNCTION("""COMPUTED_VALUE"""),"INFVU350")</f>
        <v>INFVU350</v>
      </c>
      <c r="S304" s="124" t="str">
        <f>IFERROR(__xludf.DUMMYFUNCTION("""COMPUTED_VALUE"""),"https://yody.vn/?affcode=INFVU350")</f>
        <v>https://yody.vn/?affcode=INFVU350</v>
      </c>
    </row>
    <row r="305">
      <c r="A305" s="122" t="str">
        <f>IFERROR(__xludf.DUMMYFUNCTION("""COMPUTED_VALUE"""),"INFMY904")</f>
        <v>INFMY904</v>
      </c>
      <c r="B305" s="122" t="str">
        <f>IFERROR(__xludf.DUMMYFUNCTION("""COMPUTED_VALUE"""),"Trần Kiều My")</f>
        <v>Trần Kiều My</v>
      </c>
      <c r="C305" s="124" t="str">
        <f>IFERROR(__xludf.DUMMYFUNCTION("""COMPUTED_VALUE"""),"https://www.facebook.com/kieumy26/")</f>
        <v>https://www.facebook.com/kieumy26/</v>
      </c>
      <c r="D305" s="122"/>
      <c r="E305" s="133">
        <f>IFERROR(__xludf.DUMMYFUNCTION("""COMPUTED_VALUE"""),51000.0)</f>
        <v>51000</v>
      </c>
      <c r="F305" s="122" t="str">
        <f>IFERROR(__xludf.DUMMYFUNCTION("""COMPUTED_VALUE"""),"Trần Kiều My")</f>
        <v>Trần Kiều My</v>
      </c>
      <c r="G305" s="130">
        <f>IFERROR(__xludf.DUMMYFUNCTION("""COMPUTED_VALUE"""),37251.0)</f>
        <v>37251</v>
      </c>
      <c r="H305" s="122">
        <f>IFERROR(__xludf.DUMMYFUNCTION("""COMPUTED_VALUE"""),5.1301010001E10)</f>
        <v>51301010001</v>
      </c>
      <c r="I305" s="122" t="str">
        <f>IFERROR(__xludf.DUMMYFUNCTION("""COMPUTED_VALUE"""),"0356205904")</f>
        <v>0356205904</v>
      </c>
      <c r="J305" s="122" t="str">
        <f>IFERROR(__xludf.DUMMYFUNCTION("""COMPUTED_VALUE"""),"kieumykm26@gmail.com")</f>
        <v>kieumykm26@gmail.com</v>
      </c>
      <c r="K305" s="122"/>
      <c r="L305" s="122"/>
      <c r="M305" s="122"/>
      <c r="N305" s="122"/>
      <c r="O305" s="122"/>
      <c r="P305" s="123" t="str">
        <f>IFERROR(__xludf.DUMMYFUNCTION("""COMPUTED_VALUE"""),"Mến")</f>
        <v>Mến</v>
      </c>
      <c r="Q305" s="122"/>
      <c r="R305" s="122" t="str">
        <f>IFERROR(__xludf.DUMMYFUNCTION("""COMPUTED_VALUE"""),"INFMY904")</f>
        <v>INFMY904</v>
      </c>
      <c r="S305" s="124" t="str">
        <f>IFERROR(__xludf.DUMMYFUNCTION("""COMPUTED_VALUE"""),"https://yody.vn/?affcode=INFMY904")</f>
        <v>https://yody.vn/?affcode=INFMY904</v>
      </c>
    </row>
    <row r="306">
      <c r="A306" s="122" t="str">
        <f>IFERROR(__xludf.DUMMYFUNCTION("""COMPUTED_VALUE"""),"INFTHANH703")</f>
        <v>INFTHANH703</v>
      </c>
      <c r="B306" s="122" t="str">
        <f>IFERROR(__xludf.DUMMYFUNCTION("""COMPUTED_VALUE"""),"Nguyễn Ngọc Quỳnh Thanh")</f>
        <v>Nguyễn Ngọc Quỳnh Thanh</v>
      </c>
      <c r="C306" s="124" t="str">
        <f>IFERROR(__xludf.DUMMYFUNCTION("""COMPUTED_VALUE"""),"https://www.facebook.com/nguyenngocquynh.thanh")</f>
        <v>https://www.facebook.com/nguyenngocquynh.thanh</v>
      </c>
      <c r="D306" s="122"/>
      <c r="E306" s="133">
        <f>IFERROR(__xludf.DUMMYFUNCTION("""COMPUTED_VALUE"""),18000.0)</f>
        <v>18000</v>
      </c>
      <c r="F306" s="122" t="str">
        <f>IFERROR(__xludf.DUMMYFUNCTION("""COMPUTED_VALUE"""),"Nguyễn Ngọc Quỳnh Thanh")</f>
        <v>Nguyễn Ngọc Quỳnh Thanh</v>
      </c>
      <c r="G306" s="129">
        <f>IFERROR(__xludf.DUMMYFUNCTION("""COMPUTED_VALUE"""),37803.0)</f>
        <v>37803</v>
      </c>
      <c r="H306" s="122" t="str">
        <f>IFERROR(__xludf.DUMMYFUNCTION("""COMPUTED_VALUE"""),"/079303022393")</f>
        <v>/079303022393</v>
      </c>
      <c r="I306" s="122" t="str">
        <f>IFERROR(__xludf.DUMMYFUNCTION("""COMPUTED_VALUE"""),"0834010703")</f>
        <v>0834010703</v>
      </c>
      <c r="J306" s="122" t="str">
        <f>IFERROR(__xludf.DUMMYFUNCTION("""COMPUTED_VALUE"""),"xiudopey@gmail.com")</f>
        <v>xiudopey@gmail.com</v>
      </c>
      <c r="K306" s="122"/>
      <c r="L306" s="122"/>
      <c r="M306" s="122"/>
      <c r="N306" s="122"/>
      <c r="O306" s="122"/>
      <c r="P306" s="123" t="str">
        <f>IFERROR(__xludf.DUMMYFUNCTION("""COMPUTED_VALUE"""),"Mến")</f>
        <v>Mến</v>
      </c>
      <c r="Q306" s="122"/>
      <c r="R306" s="122" t="str">
        <f>IFERROR(__xludf.DUMMYFUNCTION("""COMPUTED_VALUE"""),"INFTHANH703")</f>
        <v>INFTHANH703</v>
      </c>
      <c r="S306" s="124" t="str">
        <f>IFERROR(__xludf.DUMMYFUNCTION("""COMPUTED_VALUE"""),"https://yody.vn/?affcode=INFTHANH703")</f>
        <v>https://yody.vn/?affcode=INFTHANH703</v>
      </c>
    </row>
    <row r="307">
      <c r="A307" s="122" t="str">
        <f>IFERROR(__xludf.DUMMYFUNCTION("""COMPUTED_VALUE"""),"INFANH430")</f>
        <v>INFANH430</v>
      </c>
      <c r="B307" s="122" t="str">
        <f>IFERROR(__xludf.DUMMYFUNCTION("""COMPUTED_VALUE"""),"Nghiêm Hoàng Diễm Anh")</f>
        <v>Nghiêm Hoàng Diễm Anh</v>
      </c>
      <c r="C307" s="124" t="str">
        <f>IFERROR(__xludf.DUMMYFUNCTION("""COMPUTED_VALUE"""),"https://www.facebook.com/NghiemHoangDiemAnh99")</f>
        <v>https://www.facebook.com/NghiemHoangDiemAnh99</v>
      </c>
      <c r="D307" s="122"/>
      <c r="E307" s="133">
        <f>IFERROR(__xludf.DUMMYFUNCTION("""COMPUTED_VALUE"""),143000.0)</f>
        <v>143000</v>
      </c>
      <c r="F307" s="122" t="str">
        <f>IFERROR(__xludf.DUMMYFUNCTION("""COMPUTED_VALUE"""),"Nghiêm Hoàng Diễm Anh")</f>
        <v>Nghiêm Hoàng Diễm Anh</v>
      </c>
      <c r="G307" s="129">
        <f>IFERROR(__xludf.DUMMYFUNCTION("""COMPUTED_VALUE"""),34337.0)</f>
        <v>34337</v>
      </c>
      <c r="H307" s="122" t="str">
        <f>IFERROR(__xludf.DUMMYFUNCTION("""COMPUTED_VALUE"""),"013060438")</f>
        <v>013060438</v>
      </c>
      <c r="I307" s="122" t="str">
        <f>IFERROR(__xludf.DUMMYFUNCTION("""COMPUTED_VALUE"""),"0981034430")</f>
        <v>0981034430</v>
      </c>
      <c r="J307" s="122" t="str">
        <f>IFERROR(__xludf.DUMMYFUNCTION("""COMPUTED_VALUE"""),"nghiemhoangdiemanh@gmail.com")</f>
        <v>nghiemhoangdiemanh@gmail.com</v>
      </c>
      <c r="K307" s="122"/>
      <c r="L307" s="122"/>
      <c r="M307" s="122"/>
      <c r="N307" s="122"/>
      <c r="O307" s="122"/>
      <c r="P307" s="123" t="str">
        <f>IFERROR(__xludf.DUMMYFUNCTION("""COMPUTED_VALUE"""),"Mến")</f>
        <v>Mến</v>
      </c>
      <c r="Q307" s="122"/>
      <c r="R307" s="122" t="str">
        <f>IFERROR(__xludf.DUMMYFUNCTION("""COMPUTED_VALUE"""),"INFANH430")</f>
        <v>INFANH430</v>
      </c>
      <c r="S307" s="124" t="str">
        <f>IFERROR(__xludf.DUMMYFUNCTION("""COMPUTED_VALUE"""),"https://yody.vn/?affcode=INFANH430")</f>
        <v>https://yody.vn/?affcode=INFANH430</v>
      </c>
    </row>
    <row r="308">
      <c r="A308" s="122" t="str">
        <f>IFERROR(__xludf.DUMMYFUNCTION("""COMPUTED_VALUE"""),"INFTHAO401")</f>
        <v>INFTHAO401</v>
      </c>
      <c r="B308" s="122" t="str">
        <f>IFERROR(__xludf.DUMMYFUNCTION("""COMPUTED_VALUE"""),"Trần Lê Thu Thảo")</f>
        <v>Trần Lê Thu Thảo</v>
      </c>
      <c r="C308" s="124" t="str">
        <f>IFERROR(__xludf.DUMMYFUNCTION("""COMPUTED_VALUE"""),"https://www.facebook.com/tltt0920")</f>
        <v>https://www.facebook.com/tltt0920</v>
      </c>
      <c r="D308" s="122"/>
      <c r="E308" s="133">
        <f>IFERROR(__xludf.DUMMYFUNCTION("""COMPUTED_VALUE"""),24000.0)</f>
        <v>24000</v>
      </c>
      <c r="F308" s="122" t="str">
        <f>IFERROR(__xludf.DUMMYFUNCTION("""COMPUTED_VALUE"""),"Trần Lê Thu Thảo")</f>
        <v>Trần Lê Thu Thảo</v>
      </c>
      <c r="G308" s="129">
        <f>IFERROR(__xludf.DUMMYFUNCTION("""COMPUTED_VALUE"""),38250.0)</f>
        <v>38250</v>
      </c>
      <c r="H308" s="122">
        <f>IFERROR(__xludf.DUMMYFUNCTION("""COMPUTED_VALUE"""),2.86304000008E11)</f>
        <v>286304000008</v>
      </c>
      <c r="I308" s="122" t="str">
        <f>IFERROR(__xludf.DUMMYFUNCTION("""COMPUTED_VALUE"""),"0868454401")</f>
        <v>0868454401</v>
      </c>
      <c r="J308" s="122" t="str">
        <f>IFERROR(__xludf.DUMMYFUNCTION("""COMPUTED_VALUE"""),"tranthao1234ab@gmail.com")</f>
        <v>tranthao1234ab@gmail.com</v>
      </c>
      <c r="K308" s="122"/>
      <c r="L308" s="122"/>
      <c r="M308" s="122"/>
      <c r="N308" s="122"/>
      <c r="O308" s="122"/>
      <c r="P308" s="123" t="str">
        <f>IFERROR(__xludf.DUMMYFUNCTION("""COMPUTED_VALUE"""),"Mến")</f>
        <v>Mến</v>
      </c>
      <c r="Q308" s="122"/>
      <c r="R308" s="122" t="str">
        <f>IFERROR(__xludf.DUMMYFUNCTION("""COMPUTED_VALUE"""),"INFTHAO401")</f>
        <v>INFTHAO401</v>
      </c>
      <c r="S308" s="124" t="str">
        <f>IFERROR(__xludf.DUMMYFUNCTION("""COMPUTED_VALUE"""),"https://yody.vn/?affcode=INFTHAO401")</f>
        <v>https://yody.vn/?affcode=INFTHAO401</v>
      </c>
    </row>
    <row r="309">
      <c r="A309" s="122" t="str">
        <f>IFERROR(__xludf.DUMMYFUNCTION("""COMPUTED_VALUE"""),"INFQUAN352")</f>
        <v>INFQUAN352</v>
      </c>
      <c r="B309" s="122" t="str">
        <f>IFERROR(__xludf.DUMMYFUNCTION("""COMPUTED_VALUE"""),"Hỷ Minh Quân")</f>
        <v>Hỷ Minh Quân</v>
      </c>
      <c r="C309" s="124" t="str">
        <f>IFERROR(__xludf.DUMMYFUNCTION("""COMPUTED_VALUE"""),"https://www.facebook.com/MinhQuan.Offcial")</f>
        <v>https://www.facebook.com/MinhQuan.Offcial</v>
      </c>
      <c r="D309" s="122"/>
      <c r="E309" s="133">
        <f>IFERROR(__xludf.DUMMYFUNCTION("""COMPUTED_VALUE"""),52000.0)</f>
        <v>52000</v>
      </c>
      <c r="F309" s="122" t="str">
        <f>IFERROR(__xludf.DUMMYFUNCTION("""COMPUTED_VALUE"""),"Hỷ Minh Quân")</f>
        <v>Hỷ Minh Quân</v>
      </c>
      <c r="G309" s="129">
        <f>IFERROR(__xludf.DUMMYFUNCTION("""COMPUTED_VALUE"""),37858.0)</f>
        <v>37858</v>
      </c>
      <c r="H309" s="122" t="str">
        <f>IFERROR(__xludf.DUMMYFUNCTION("""COMPUTED_VALUE"""),"022203003187")</f>
        <v>022203003187</v>
      </c>
      <c r="I309" s="122" t="str">
        <f>IFERROR(__xludf.DUMMYFUNCTION("""COMPUTED_VALUE"""),"0904334352")</f>
        <v>0904334352</v>
      </c>
      <c r="J309" s="122" t="str">
        <f>IFERROR(__xludf.DUMMYFUNCTION("""COMPUTED_VALUE"""),"hyminhquan258@gmail.com")</f>
        <v>hyminhquan258@gmail.com</v>
      </c>
      <c r="K309" s="122"/>
      <c r="L309" s="122"/>
      <c r="M309" s="122"/>
      <c r="N309" s="122"/>
      <c r="O309" s="122"/>
      <c r="P309" s="123" t="str">
        <f>IFERROR(__xludf.DUMMYFUNCTION("""COMPUTED_VALUE"""),"Mến")</f>
        <v>Mến</v>
      </c>
      <c r="Q309" s="122"/>
      <c r="R309" s="122" t="str">
        <f>IFERROR(__xludf.DUMMYFUNCTION("""COMPUTED_VALUE"""),"INFQUAN352")</f>
        <v>INFQUAN352</v>
      </c>
      <c r="S309" s="124" t="str">
        <f>IFERROR(__xludf.DUMMYFUNCTION("""COMPUTED_VALUE"""),"https://yody.vn/?affcode=INFQUAN352")</f>
        <v>https://yody.vn/?affcode=INFQUAN352</v>
      </c>
    </row>
    <row r="310">
      <c r="A310" s="122" t="str">
        <f>IFERROR(__xludf.DUMMYFUNCTION("""COMPUTED_VALUE"""),"INFMIEN969")</f>
        <v>INFMIEN969</v>
      </c>
      <c r="B310" s="122" t="str">
        <f>IFERROR(__xludf.DUMMYFUNCTION("""COMPUTED_VALUE"""),"Mien Phung")</f>
        <v>Mien Phung</v>
      </c>
      <c r="C310" s="124" t="str">
        <f>IFERROR(__xludf.DUMMYFUNCTION("""COMPUTED_VALUE"""),"https://www.facebook.com/mienmyn.mm")</f>
        <v>https://www.facebook.com/mienmyn.mm</v>
      </c>
      <c r="D310" s="122"/>
      <c r="E310" s="133">
        <f>IFERROR(__xludf.DUMMYFUNCTION("""COMPUTED_VALUE"""),32000.0)</f>
        <v>32000</v>
      </c>
      <c r="F310" s="122" t="str">
        <f>IFERROR(__xludf.DUMMYFUNCTION("""COMPUTED_VALUE"""),"Phùng Thị Miền")</f>
        <v>Phùng Thị Miền</v>
      </c>
      <c r="G310" s="129">
        <f>IFERROR(__xludf.DUMMYFUNCTION("""COMPUTED_VALUE"""),37070.0)</f>
        <v>37070</v>
      </c>
      <c r="H310" s="122" t="str">
        <f>IFERROR(__xludf.DUMMYFUNCTION("""COMPUTED_VALUE"""),"/026301005854")</f>
        <v>/026301005854</v>
      </c>
      <c r="I310" s="122" t="str">
        <f>IFERROR(__xludf.DUMMYFUNCTION("""COMPUTED_VALUE"""),"0334548969")</f>
        <v>0334548969</v>
      </c>
      <c r="J310" s="122" t="str">
        <f>IFERROR(__xludf.DUMMYFUNCTION("""COMPUTED_VALUE"""),"Mienmyn2k1@gmail.com")</f>
        <v>Mienmyn2k1@gmail.com</v>
      </c>
      <c r="K310" s="122"/>
      <c r="L310" s="122"/>
      <c r="M310" s="122"/>
      <c r="N310" s="122"/>
      <c r="O310" s="122"/>
      <c r="P310" s="123" t="str">
        <f>IFERROR(__xludf.DUMMYFUNCTION("""COMPUTED_VALUE"""),"Mến")</f>
        <v>Mến</v>
      </c>
      <c r="Q310" s="122"/>
      <c r="R310" s="122" t="str">
        <f>IFERROR(__xludf.DUMMYFUNCTION("""COMPUTED_VALUE"""),"INFMIEN969")</f>
        <v>INFMIEN969</v>
      </c>
      <c r="S310" s="124" t="str">
        <f>IFERROR(__xludf.DUMMYFUNCTION("""COMPUTED_VALUE"""),"https://yody.vn/?affcode=INFMIEN969")</f>
        <v>https://yody.vn/?affcode=INFMIEN969</v>
      </c>
    </row>
    <row r="311">
      <c r="A311" s="122" t="str">
        <f>IFERROR(__xludf.DUMMYFUNCTION("""COMPUTED_VALUE"""),"INFANH502")</f>
        <v>INFANH502</v>
      </c>
      <c r="B311" s="122" t="str">
        <f>IFERROR(__xludf.DUMMYFUNCTION("""COMPUTED_VALUE"""),"Bùi Mỹ Anh")</f>
        <v>Bùi Mỹ Anh</v>
      </c>
      <c r="C311" s="124" t="str">
        <f>IFERROR(__xludf.DUMMYFUNCTION("""COMPUTED_VALUE"""),"https://www.facebook.com/bma0212")</f>
        <v>https://www.facebook.com/bma0212</v>
      </c>
      <c r="D311" s="122"/>
      <c r="E311" s="133">
        <f>IFERROR(__xludf.DUMMYFUNCTION("""COMPUTED_VALUE"""),32000.0)</f>
        <v>32000</v>
      </c>
      <c r="F311" s="122" t="str">
        <f>IFERROR(__xludf.DUMMYFUNCTION("""COMPUTED_VALUE"""),"Bùi Mỹ Anh")</f>
        <v>Bùi Mỹ Anh</v>
      </c>
      <c r="G311" s="129">
        <f>IFERROR(__xludf.DUMMYFUNCTION("""COMPUTED_VALUE"""),35401.0)</f>
        <v>35401</v>
      </c>
      <c r="H311" s="122" t="str">
        <f>IFERROR(__xludf.DUMMYFUNCTION("""COMPUTED_VALUE"""),"034196000667")</f>
        <v>034196000667</v>
      </c>
      <c r="I311" s="122" t="str">
        <f>IFERROR(__xludf.DUMMYFUNCTION("""COMPUTED_VALUE"""),"0395402502")</f>
        <v>0395402502</v>
      </c>
      <c r="J311" s="122" t="str">
        <f>IFERROR(__xludf.DUMMYFUNCTION("""COMPUTED_VALUE"""),"buimyanh12@gmail.com")</f>
        <v>buimyanh12@gmail.com</v>
      </c>
      <c r="K311" s="122"/>
      <c r="L311" s="122"/>
      <c r="M311" s="122"/>
      <c r="N311" s="122"/>
      <c r="O311" s="122"/>
      <c r="P311" s="123" t="str">
        <f>IFERROR(__xludf.DUMMYFUNCTION("""COMPUTED_VALUE"""),"Mến")</f>
        <v>Mến</v>
      </c>
      <c r="Q311" s="122"/>
      <c r="R311" s="122" t="str">
        <f>IFERROR(__xludf.DUMMYFUNCTION("""COMPUTED_VALUE"""),"INFANH502")</f>
        <v>INFANH502</v>
      </c>
      <c r="S311" s="124" t="str">
        <f>IFERROR(__xludf.DUMMYFUNCTION("""COMPUTED_VALUE"""),"https://yody.vn/?affcode=INFANH502")</f>
        <v>https://yody.vn/?affcode=INFANH502</v>
      </c>
    </row>
    <row r="312">
      <c r="A312" s="122" t="str">
        <f>IFERROR(__xludf.DUMMYFUNCTION("""COMPUTED_VALUE"""),"INFPHONG727")</f>
        <v>INFPHONG727</v>
      </c>
      <c r="B312" s="122" t="str">
        <f>IFERROR(__xludf.DUMMYFUNCTION("""COMPUTED_VALUE"""),"Vũ Phong")</f>
        <v>Vũ Phong</v>
      </c>
      <c r="C312" s="124" t="str">
        <f>IFERROR(__xludf.DUMMYFUNCTION("""COMPUTED_VALUE"""),"https://www.facebook.com/vhp18121999")</f>
        <v>https://www.facebook.com/vhp18121999</v>
      </c>
      <c r="D312" s="122"/>
      <c r="E312" s="133">
        <f>IFERROR(__xludf.DUMMYFUNCTION("""COMPUTED_VALUE"""),63000.0)</f>
        <v>63000</v>
      </c>
      <c r="F312" s="122" t="str">
        <f>IFERROR(__xludf.DUMMYFUNCTION("""COMPUTED_VALUE"""),"Vũ Hoàng Phong")</f>
        <v>Vũ Hoàng Phong</v>
      </c>
      <c r="G312" s="130">
        <f>IFERROR(__xludf.DUMMYFUNCTION("""COMPUTED_VALUE"""),36512.0)</f>
        <v>36512</v>
      </c>
      <c r="H312" s="122" t="str">
        <f>IFERROR(__xludf.DUMMYFUNCTION("""COMPUTED_VALUE"""),"""071054738")</f>
        <v>"071054738</v>
      </c>
      <c r="I312" s="122" t="str">
        <f>IFERROR(__xludf.DUMMYFUNCTION("""COMPUTED_VALUE"""),"0818213727")</f>
        <v>0818213727</v>
      </c>
      <c r="J312" s="122" t="str">
        <f>IFERROR(__xludf.DUMMYFUNCTION("""COMPUTED_VALUE"""),"vuhoangphongcdythn@gmail.com")</f>
        <v>vuhoangphongcdythn@gmail.com</v>
      </c>
      <c r="K312" s="122"/>
      <c r="L312" s="122"/>
      <c r="M312" s="122"/>
      <c r="N312" s="122"/>
      <c r="O312" s="122"/>
      <c r="P312" s="123" t="str">
        <f>IFERROR(__xludf.DUMMYFUNCTION("""COMPUTED_VALUE"""),"Mến")</f>
        <v>Mến</v>
      </c>
      <c r="Q312" s="122"/>
      <c r="R312" s="122" t="str">
        <f>IFERROR(__xludf.DUMMYFUNCTION("""COMPUTED_VALUE"""),"INFPHONG727")</f>
        <v>INFPHONG727</v>
      </c>
      <c r="S312" s="124" t="str">
        <f>IFERROR(__xludf.DUMMYFUNCTION("""COMPUTED_VALUE"""),"https://yody.vn/?affcode=INFPHONG727")</f>
        <v>https://yody.vn/?affcode=INFPHONG727</v>
      </c>
    </row>
    <row r="313">
      <c r="A313" s="122" t="str">
        <f>IFERROR(__xludf.DUMMYFUNCTION("""COMPUTED_VALUE"""),"INFMY920")</f>
        <v>INFMY920</v>
      </c>
      <c r="B313" s="122" t="str">
        <f>IFERROR(__xludf.DUMMYFUNCTION("""COMPUTED_VALUE"""),"Nguyễn Khánh My")</f>
        <v>Nguyễn Khánh My</v>
      </c>
      <c r="C313" s="124" t="str">
        <f>IFERROR(__xludf.DUMMYFUNCTION("""COMPUTED_VALUE"""),"https://www.facebook.com/nkm279")</f>
        <v>https://www.facebook.com/nkm279</v>
      </c>
      <c r="D313" s="122"/>
      <c r="E313" s="133">
        <f>IFERROR(__xludf.DUMMYFUNCTION("""COMPUTED_VALUE"""),93800.0)</f>
        <v>93800</v>
      </c>
      <c r="F313" s="122" t="str">
        <f>IFERROR(__xludf.DUMMYFUNCTION("""COMPUTED_VALUE"""),"Nguyễn Khánh My")</f>
        <v>Nguyễn Khánh My</v>
      </c>
      <c r="G313" s="129">
        <f>IFERROR(__xludf.DUMMYFUNCTION("""COMPUTED_VALUE"""),36796.0)</f>
        <v>36796</v>
      </c>
      <c r="H313" s="122" t="str">
        <f>IFERROR(__xludf.DUMMYFUNCTION("""COMPUTED_VALUE"""),"031300004127")</f>
        <v>031300004127</v>
      </c>
      <c r="I313" s="122" t="str">
        <f>IFERROR(__xludf.DUMMYFUNCTION("""COMPUTED_VALUE"""),"0834270920")</f>
        <v>0834270920</v>
      </c>
      <c r="J313" s="122" t="str">
        <f>IFERROR(__xludf.DUMMYFUNCTION("""COMPUTED_VALUE"""),"khanhmyofficial@gmail.com")</f>
        <v>khanhmyofficial@gmail.com</v>
      </c>
      <c r="K313" s="122"/>
      <c r="L313" s="122"/>
      <c r="M313" s="122"/>
      <c r="N313" s="122"/>
      <c r="O313" s="122"/>
      <c r="P313" s="123" t="str">
        <f>IFERROR(__xludf.DUMMYFUNCTION("""COMPUTED_VALUE"""),"Mến")</f>
        <v>Mến</v>
      </c>
      <c r="Q313" s="122"/>
      <c r="R313" s="122" t="str">
        <f>IFERROR(__xludf.DUMMYFUNCTION("""COMPUTED_VALUE"""),"INFMY920")</f>
        <v>INFMY920</v>
      </c>
      <c r="S313" s="124" t="str">
        <f>IFERROR(__xludf.DUMMYFUNCTION("""COMPUTED_VALUE"""),"https://yody.vn/?affcode=INFMY920")</f>
        <v>https://yody.vn/?affcode=INFMY920</v>
      </c>
    </row>
    <row r="314">
      <c r="A314" s="122" t="str">
        <f>IFERROR(__xludf.DUMMYFUNCTION("""COMPUTED_VALUE"""),"INFTHAO329")</f>
        <v>INFTHAO329</v>
      </c>
      <c r="B314" s="122" t="str">
        <f>IFERROR(__xludf.DUMMYFUNCTION("""COMPUTED_VALUE"""),"Phạm Hà Phương Thảo")</f>
        <v>Phạm Hà Phương Thảo</v>
      </c>
      <c r="C314" s="124" t="str">
        <f>IFERROR(__xludf.DUMMYFUNCTION("""COMPUTED_VALUE"""),"https://www.facebook.com/pham.haphuongthao/")</f>
        <v>https://www.facebook.com/pham.haphuongthao/</v>
      </c>
      <c r="D314" s="122"/>
      <c r="E314" s="133">
        <f>IFERROR(__xludf.DUMMYFUNCTION("""COMPUTED_VALUE"""),64000.0)</f>
        <v>64000</v>
      </c>
      <c r="F314" s="122" t="str">
        <f>IFERROR(__xludf.DUMMYFUNCTION("""COMPUTED_VALUE"""),"Phạm Hà Phương Thảo")</f>
        <v>Phạm Hà Phương Thảo</v>
      </c>
      <c r="G314" s="129">
        <f>IFERROR(__xludf.DUMMYFUNCTION("""COMPUTED_VALUE"""),36690.0)</f>
        <v>36690</v>
      </c>
      <c r="H314" s="122" t="str">
        <f>IFERROR(__xludf.DUMMYFUNCTION("""COMPUTED_VALUE"""),"001300035030")</f>
        <v>001300035030</v>
      </c>
      <c r="I314" s="122" t="str">
        <f>IFERROR(__xludf.DUMMYFUNCTION("""COMPUTED_VALUE"""),"0379958329")</f>
        <v>0379958329</v>
      </c>
      <c r="J314" s="122" t="str">
        <f>IFERROR(__xludf.DUMMYFUNCTION("""COMPUTED_VALUE"""),"phphuongthaooo@gmail.com")</f>
        <v>phphuongthaooo@gmail.com</v>
      </c>
      <c r="K314" s="122"/>
      <c r="L314" s="122"/>
      <c r="M314" s="122"/>
      <c r="N314" s="122"/>
      <c r="O314" s="122"/>
      <c r="P314" s="123" t="str">
        <f>IFERROR(__xludf.DUMMYFUNCTION("""COMPUTED_VALUE"""),"Mến")</f>
        <v>Mến</v>
      </c>
      <c r="Q314" s="122"/>
      <c r="R314" s="122" t="str">
        <f>IFERROR(__xludf.DUMMYFUNCTION("""COMPUTED_VALUE"""),"INFTHAO329")</f>
        <v>INFTHAO329</v>
      </c>
      <c r="S314" s="124" t="str">
        <f>IFERROR(__xludf.DUMMYFUNCTION("""COMPUTED_VALUE"""),"https://yody.vn/?affcode=INFTHAO329")</f>
        <v>https://yody.vn/?affcode=INFTHAO329</v>
      </c>
    </row>
    <row r="315">
      <c r="A315" s="122" t="str">
        <f>IFERROR(__xludf.DUMMYFUNCTION("""COMPUTED_VALUE"""),"INFTHANH435")</f>
        <v>INFTHANH435</v>
      </c>
      <c r="B315" s="122" t="str">
        <f>IFERROR(__xludf.DUMMYFUNCTION("""COMPUTED_VALUE"""),"Vũ Phạm Thiên Thanh")</f>
        <v>Vũ Phạm Thiên Thanh</v>
      </c>
      <c r="C315" s="124" t="str">
        <f>IFERROR(__xludf.DUMMYFUNCTION("""COMPUTED_VALUE"""),"https://www.facebook.com/thienthanh0611")</f>
        <v>https://www.facebook.com/thienthanh0611</v>
      </c>
      <c r="D315" s="122"/>
      <c r="E315" s="133">
        <f>IFERROR(__xludf.DUMMYFUNCTION("""COMPUTED_VALUE"""),68000.0)</f>
        <v>68000</v>
      </c>
      <c r="F315" s="122" t="str">
        <f>IFERROR(__xludf.DUMMYFUNCTION("""COMPUTED_VALUE"""),"Vũ Phạm Thiên Thanh")</f>
        <v>Vũ Phạm Thiên Thanh</v>
      </c>
      <c r="G315" s="129">
        <f>IFERROR(__xludf.DUMMYFUNCTION("""COMPUTED_VALUE"""),37201.0)</f>
        <v>37201</v>
      </c>
      <c r="H315" s="122">
        <f>IFERROR(__xludf.DUMMYFUNCTION("""COMPUTED_VALUE"""),2.41949306E8)</f>
        <v>241949306</v>
      </c>
      <c r="I315" s="122" t="str">
        <f>IFERROR(__xludf.DUMMYFUNCTION("""COMPUTED_VALUE"""),"0903585435")</f>
        <v>0903585435</v>
      </c>
      <c r="J315" s="122" t="str">
        <f>IFERROR(__xludf.DUMMYFUNCTION("""COMPUTED_VALUE"""),"thienthanhvupham@gmail.com")</f>
        <v>thienthanhvupham@gmail.com</v>
      </c>
      <c r="K315" s="122"/>
      <c r="L315" s="122"/>
      <c r="M315" s="122"/>
      <c r="N315" s="122"/>
      <c r="O315" s="122"/>
      <c r="P315" s="123" t="str">
        <f>IFERROR(__xludf.DUMMYFUNCTION("""COMPUTED_VALUE"""),"Mến")</f>
        <v>Mến</v>
      </c>
      <c r="Q315" s="122"/>
      <c r="R315" s="122" t="str">
        <f>IFERROR(__xludf.DUMMYFUNCTION("""COMPUTED_VALUE"""),"INFTHANH435")</f>
        <v>INFTHANH435</v>
      </c>
      <c r="S315" s="124" t="str">
        <f>IFERROR(__xludf.DUMMYFUNCTION("""COMPUTED_VALUE"""),"https://yody.vn/?affcode=INFTHANH435")</f>
        <v>https://yody.vn/?affcode=INFTHANH435</v>
      </c>
    </row>
    <row r="316">
      <c r="A316" s="122" t="str">
        <f>IFERROR(__xludf.DUMMYFUNCTION("""COMPUTED_VALUE"""),"INFPHUONG847")</f>
        <v>INFPHUONG847</v>
      </c>
      <c r="B316" s="122" t="str">
        <f>IFERROR(__xludf.DUMMYFUNCTION("""COMPUTED_VALUE"""),"Đỗ Lâm Phương")</f>
        <v>Đỗ Lâm Phương</v>
      </c>
      <c r="C316" s="124" t="str">
        <f>IFERROR(__xludf.DUMMYFUNCTION("""COMPUTED_VALUE"""),"https://www.facebook.com/doalmp")</f>
        <v>https://www.facebook.com/doalmp</v>
      </c>
      <c r="D316" s="122"/>
      <c r="E316" s="133">
        <f>IFERROR(__xludf.DUMMYFUNCTION("""COMPUTED_VALUE"""),19000.0)</f>
        <v>19000</v>
      </c>
      <c r="F316" s="122" t="str">
        <f>IFERROR(__xludf.DUMMYFUNCTION("""COMPUTED_VALUE"""),"Đỗ Lâm Phương")</f>
        <v>Đỗ Lâm Phương</v>
      </c>
      <c r="G316" s="129">
        <f>IFERROR(__xludf.DUMMYFUNCTION("""COMPUTED_VALUE"""),37093.0)</f>
        <v>37093</v>
      </c>
      <c r="H316" s="122" t="str">
        <f>IFERROR(__xludf.DUMMYFUNCTION("""COMPUTED_VALUE"""),"071101773")</f>
        <v>071101773</v>
      </c>
      <c r="I316" s="122" t="str">
        <f>IFERROR(__xludf.DUMMYFUNCTION("""COMPUTED_VALUE"""),"0397897847")</f>
        <v>0397897847</v>
      </c>
      <c r="J316" s="122" t="str">
        <f>IFERROR(__xludf.DUMMYFUNCTION("""COMPUTED_VALUE"""),"dolamphuong12c701@gmail.com")</f>
        <v>dolamphuong12c701@gmail.com</v>
      </c>
      <c r="K316" s="122"/>
      <c r="L316" s="122"/>
      <c r="M316" s="122"/>
      <c r="N316" s="122"/>
      <c r="O316" s="122"/>
      <c r="P316" s="123" t="str">
        <f>IFERROR(__xludf.DUMMYFUNCTION("""COMPUTED_VALUE"""),"Mến")</f>
        <v>Mến</v>
      </c>
      <c r="Q316" s="122"/>
      <c r="R316" s="122" t="str">
        <f>IFERROR(__xludf.DUMMYFUNCTION("""COMPUTED_VALUE"""),"INFPHUONG847")</f>
        <v>INFPHUONG847</v>
      </c>
      <c r="S316" s="124" t="str">
        <f>IFERROR(__xludf.DUMMYFUNCTION("""COMPUTED_VALUE"""),"https://yody.vn/?affcode=INFPHUONG847")</f>
        <v>https://yody.vn/?affcode=INFPHUONG847</v>
      </c>
    </row>
    <row r="317">
      <c r="A317" s="122" t="str">
        <f>IFERROR(__xludf.DUMMYFUNCTION("""COMPUTED_VALUE"""),"INFKHUONG326")</f>
        <v>INFKHUONG326</v>
      </c>
      <c r="B317" s="122" t="str">
        <f>IFERROR(__xludf.DUMMYFUNCTION("""COMPUTED_VALUE"""),"Trần Duy Khương")</f>
        <v>Trần Duy Khương</v>
      </c>
      <c r="C317" s="124" t="str">
        <f>IFERROR(__xludf.DUMMYFUNCTION("""COMPUTED_VALUE"""),"https://www.facebook.com/INFO.TDK")</f>
        <v>https://www.facebook.com/INFO.TDK</v>
      </c>
      <c r="D317" s="122"/>
      <c r="E317" s="133">
        <f>IFERROR(__xludf.DUMMYFUNCTION("""COMPUTED_VALUE"""),62033.3333333333)</f>
        <v>62033.33333</v>
      </c>
      <c r="F317" s="122" t="str">
        <f>IFERROR(__xludf.DUMMYFUNCTION("""COMPUTED_VALUE"""),"Trần Duy Khương")</f>
        <v>Trần Duy Khương</v>
      </c>
      <c r="G317" s="129">
        <f>IFERROR(__xludf.DUMMYFUNCTION("""COMPUTED_VALUE"""),37341.0)</f>
        <v>37341</v>
      </c>
      <c r="H317" s="122" t="str">
        <f>IFERROR(__xludf.DUMMYFUNCTION("""COMPUTED_VALUE"""),"033202000179")</f>
        <v>033202000179</v>
      </c>
      <c r="I317" s="122" t="str">
        <f>IFERROR(__xludf.DUMMYFUNCTION("""COMPUTED_VALUE"""),"0369626326")</f>
        <v>0369626326</v>
      </c>
      <c r="J317" s="122" t="str">
        <f>IFERROR(__xludf.DUMMYFUNCTION("""COMPUTED_VALUE"""),"tranduykhuong2638@gmail.com")</f>
        <v>tranduykhuong2638@gmail.com</v>
      </c>
      <c r="K317" s="122"/>
      <c r="L317" s="122"/>
      <c r="M317" s="122"/>
      <c r="N317" s="122"/>
      <c r="O317" s="122"/>
      <c r="P317" s="123" t="str">
        <f>IFERROR(__xludf.DUMMYFUNCTION("""COMPUTED_VALUE"""),"Mến")</f>
        <v>Mến</v>
      </c>
      <c r="Q317" s="122"/>
      <c r="R317" s="122" t="str">
        <f>IFERROR(__xludf.DUMMYFUNCTION("""COMPUTED_VALUE"""),"INFKHUONG326")</f>
        <v>INFKHUONG326</v>
      </c>
      <c r="S317" s="124" t="str">
        <f>IFERROR(__xludf.DUMMYFUNCTION("""COMPUTED_VALUE"""),"https://yody.vn/?affcode=INFKHUONG326")</f>
        <v>https://yody.vn/?affcode=INFKHUONG326</v>
      </c>
    </row>
    <row r="318">
      <c r="A318" s="122" t="str">
        <f>IFERROR(__xludf.DUMMYFUNCTION("""COMPUTED_VALUE"""),"INFBICH563")</f>
        <v>INFBICH563</v>
      </c>
      <c r="B318" s="122" t="str">
        <f>IFERROR(__xludf.DUMMYFUNCTION("""COMPUTED_VALUE"""),"Phùng Thị Ngọc Bích")</f>
        <v>Phùng Thị Ngọc Bích</v>
      </c>
      <c r="C318" s="124" t="str">
        <f>IFERROR(__xludf.DUMMYFUNCTION("""COMPUTED_VALUE"""),"https://www.facebook.com/chou.kha.35")</f>
        <v>https://www.facebook.com/chou.kha.35</v>
      </c>
      <c r="D318" s="122"/>
      <c r="E318" s="133">
        <f>IFERROR(__xludf.DUMMYFUNCTION("""COMPUTED_VALUE"""),61933.3333333333)</f>
        <v>61933.33333</v>
      </c>
      <c r="F318" s="122" t="str">
        <f>IFERROR(__xludf.DUMMYFUNCTION("""COMPUTED_VALUE"""),"Phùng Thị Ngọc Bích")</f>
        <v>Phùng Thị Ngọc Bích</v>
      </c>
      <c r="G318" s="129">
        <f>IFERROR(__xludf.DUMMYFUNCTION("""COMPUTED_VALUE"""),35308.0)</f>
        <v>35308</v>
      </c>
      <c r="H318" s="122" t="str">
        <f>IFERROR(__xludf.DUMMYFUNCTION("""COMPUTED_VALUE"""),"079196004461")</f>
        <v>079196004461</v>
      </c>
      <c r="I318" s="122" t="str">
        <f>IFERROR(__xludf.DUMMYFUNCTION("""COMPUTED_VALUE"""),"0388094563")</f>
        <v>0388094563</v>
      </c>
      <c r="J318" s="122" t="str">
        <f>IFERROR(__xludf.DUMMYFUNCTION("""COMPUTED_VALUE"""),"sapphire.nb318@gmail.com")</f>
        <v>sapphire.nb318@gmail.com</v>
      </c>
      <c r="K318" s="122"/>
      <c r="L318" s="122"/>
      <c r="M318" s="122"/>
      <c r="N318" s="122"/>
      <c r="O318" s="122"/>
      <c r="P318" s="123" t="str">
        <f>IFERROR(__xludf.DUMMYFUNCTION("""COMPUTED_VALUE"""),"Mến")</f>
        <v>Mến</v>
      </c>
      <c r="Q318" s="122"/>
      <c r="R318" s="122" t="str">
        <f>IFERROR(__xludf.DUMMYFUNCTION("""COMPUTED_VALUE"""),"INFBICH563")</f>
        <v>INFBICH563</v>
      </c>
      <c r="S318" s="124" t="str">
        <f>IFERROR(__xludf.DUMMYFUNCTION("""COMPUTED_VALUE"""),"https://yody.vn/?affcode=INFBICH563")</f>
        <v>https://yody.vn/?affcode=INFBICH563</v>
      </c>
    </row>
    <row r="319">
      <c r="A319" s="122" t="str">
        <f>IFERROR(__xludf.DUMMYFUNCTION("""COMPUTED_VALUE"""),"INFDIEM577")</f>
        <v>INFDIEM577</v>
      </c>
      <c r="B319" s="122" t="str">
        <f>IFERROR(__xludf.DUMMYFUNCTION("""COMPUTED_VALUE"""),"Salina Trần")</f>
        <v>Salina Trần</v>
      </c>
      <c r="C319" s="124" t="str">
        <f>IFERROR(__xludf.DUMMYFUNCTION("""COMPUTED_VALUE"""),"https://www.facebook.com/thanhdiem.tran.3")</f>
        <v>https://www.facebook.com/thanhdiem.tran.3</v>
      </c>
      <c r="D319" s="122"/>
      <c r="E319" s="133">
        <f>IFERROR(__xludf.DUMMYFUNCTION("""COMPUTED_VALUE"""),55000.0)</f>
        <v>55000</v>
      </c>
      <c r="F319" s="122" t="str">
        <f>IFERROR(__xludf.DUMMYFUNCTION("""COMPUTED_VALUE"""),"Trần Thị Thanh Diễm")</f>
        <v>Trần Thị Thanh Diễm</v>
      </c>
      <c r="G319" s="129">
        <f>IFERROR(__xludf.DUMMYFUNCTION("""COMPUTED_VALUE"""),35150.0)</f>
        <v>35150</v>
      </c>
      <c r="H319" s="122" t="str">
        <f>IFERROR(__xludf.DUMMYFUNCTION("""COMPUTED_VALUE"""),"079196014087")</f>
        <v>079196014087</v>
      </c>
      <c r="I319" s="122" t="str">
        <f>IFERROR(__xludf.DUMMYFUNCTION("""COMPUTED_VALUE"""),"0395502577")</f>
        <v>0395502577</v>
      </c>
      <c r="J319" s="122" t="str">
        <f>IFERROR(__xludf.DUMMYFUNCTION("""COMPUTED_VALUE"""),"thanhdiem2603@gmail.com")</f>
        <v>thanhdiem2603@gmail.com</v>
      </c>
      <c r="K319" s="122"/>
      <c r="L319" s="122"/>
      <c r="M319" s="122"/>
      <c r="N319" s="122"/>
      <c r="O319" s="122"/>
      <c r="P319" s="123" t="str">
        <f>IFERROR(__xludf.DUMMYFUNCTION("""COMPUTED_VALUE"""),"Mến")</f>
        <v>Mến</v>
      </c>
      <c r="Q319" s="122"/>
      <c r="R319" s="122" t="str">
        <f>IFERROR(__xludf.DUMMYFUNCTION("""COMPUTED_VALUE"""),"INFDIEM577")</f>
        <v>INFDIEM577</v>
      </c>
      <c r="S319" s="124" t="str">
        <f>IFERROR(__xludf.DUMMYFUNCTION("""COMPUTED_VALUE"""),"https://yody.vn/?affcode=INFDIEM577")</f>
        <v>https://yody.vn/?affcode=INFDIEM577</v>
      </c>
    </row>
    <row r="320">
      <c r="A320" s="122" t="str">
        <f>IFERROR(__xludf.DUMMYFUNCTION("""COMPUTED_VALUE"""),"INFNHI046")</f>
        <v>INFNHI046</v>
      </c>
      <c r="B320" s="122" t="str">
        <f>IFERROR(__xludf.DUMMYFUNCTION("""COMPUTED_VALUE"""),"Nhi Hến ")</f>
        <v>Nhi Hến </v>
      </c>
      <c r="C320" s="124" t="str">
        <f>IFERROR(__xludf.DUMMYFUNCTION("""COMPUTED_VALUE"""),"fb / ")</f>
        <v>fb / </v>
      </c>
      <c r="D320" s="122"/>
      <c r="E320" s="133">
        <f>IFERROR(__xludf.DUMMYFUNCTION("""COMPUTED_VALUE"""),51796.0)</f>
        <v>51796</v>
      </c>
      <c r="F320" s="122" t="str">
        <f>IFERROR(__xludf.DUMMYFUNCTION("""COMPUTED_VALUE"""),"Nguyễn Thị Lệ Nhi")</f>
        <v>Nguyễn Thị Lệ Nhi</v>
      </c>
      <c r="G320" s="129">
        <f>IFERROR(__xludf.DUMMYFUNCTION("""COMPUTED_VALUE"""),36832.0)</f>
        <v>36832</v>
      </c>
      <c r="H320" s="122">
        <f>IFERROR(__xludf.DUMMYFUNCTION("""COMPUTED_VALUE"""),2.01792947E8)</f>
        <v>201792947</v>
      </c>
      <c r="I320" s="122" t="str">
        <f>IFERROR(__xludf.DUMMYFUNCTION("""COMPUTED_VALUE"""),"0935357064")</f>
        <v>0935357064</v>
      </c>
      <c r="J320" s="122" t="str">
        <f>IFERROR(__xludf.DUMMYFUNCTION("""COMPUTED_VALUE"""),"nguyenlenhi02@gmail.com")</f>
        <v>nguyenlenhi02@gmail.com</v>
      </c>
      <c r="K320" s="122" t="str">
        <f>IFERROR(__xludf.DUMMYFUNCTION("""COMPUTED_VALUE"""),"0041000352378")</f>
        <v>0041000352378</v>
      </c>
      <c r="L320" s="122" t="str">
        <f>IFERROR(__xludf.DUMMYFUNCTION("""COMPUTED_VALUE"""),"Nguyễn Thị Lệ Nhi")</f>
        <v>Nguyễn Thị Lệ Nhi</v>
      </c>
      <c r="M320" s="122" t="str">
        <f>IFERROR(__xludf.DUMMYFUNCTION("""COMPUTED_VALUE"""),"Vietcombank")</f>
        <v>Vietcombank</v>
      </c>
      <c r="N320" s="122" t="str">
        <f>IFERROR(__xludf.DUMMYFUNCTION("""COMPUTED_VALUE"""),"Hoà Liên 5, Hoà Vang, Đà Nẵng")</f>
        <v>Hoà Liên 5, Hoà Vang, Đà Nẵng</v>
      </c>
      <c r="O320" s="122"/>
      <c r="P320" s="123" t="str">
        <f>IFERROR(__xludf.DUMMYFUNCTION("""COMPUTED_VALUE"""),"Mến")</f>
        <v>Mến</v>
      </c>
      <c r="Q320" s="122"/>
      <c r="R320" s="122" t="str">
        <f>IFERROR(__xludf.DUMMYFUNCTION("""COMPUTED_VALUE"""),"INFNHI046")</f>
        <v>INFNHI046</v>
      </c>
      <c r="S320" s="124" t="str">
        <f>IFERROR(__xludf.DUMMYFUNCTION("""COMPUTED_VALUE"""),"https://yody.vn/?affcode=INFNHI046")</f>
        <v>https://yody.vn/?affcode=INFNHI046</v>
      </c>
    </row>
    <row r="321">
      <c r="A321" s="122" t="str">
        <f>IFERROR(__xludf.DUMMYFUNCTION("""COMPUTED_VALUE"""),"INFVINH921")</f>
        <v>INFVINH921</v>
      </c>
      <c r="B321" s="122" t="str">
        <f>IFERROR(__xludf.DUMMYFUNCTION("""COMPUTED_VALUE"""),"Vinh Tran ")</f>
        <v>Vinh Tran </v>
      </c>
      <c r="C321" s="124" t="str">
        <f>IFERROR(__xludf.DUMMYFUNCTION("""COMPUTED_VALUE"""),"TIKTOK")</f>
        <v>TIKTOK</v>
      </c>
      <c r="D321" s="122"/>
      <c r="E321" s="122" t="str">
        <f>IFERROR(__xludf.DUMMYFUNCTION("""COMPUTED_VALUE"""),"3.4 M")</f>
        <v>3.4 M</v>
      </c>
      <c r="F321" s="122" t="str">
        <f>IFERROR(__xludf.DUMMYFUNCTION("""COMPUTED_VALUE"""),"Trần Thế Vinh")</f>
        <v>Trần Thế Vinh</v>
      </c>
      <c r="G321" s="126">
        <f>IFERROR(__xludf.DUMMYFUNCTION("""COMPUTED_VALUE"""),36679.0)</f>
        <v>36679</v>
      </c>
      <c r="H321" s="122" t="str">
        <f>IFERROR(__xludf.DUMMYFUNCTION("""COMPUTED_VALUE"""),"072200002466")</f>
        <v>072200002466</v>
      </c>
      <c r="I321" s="122" t="str">
        <f>IFERROR(__xludf.DUMMYFUNCTION("""COMPUTED_VALUE"""),"0984835921")</f>
        <v>0984835921</v>
      </c>
      <c r="J321" s="122" t="str">
        <f>IFERROR(__xludf.DUMMYFUNCTION("""COMPUTED_VALUE"""),"vinhrau200@gmail.com")</f>
        <v>vinhrau200@gmail.com</v>
      </c>
      <c r="K321" s="122">
        <f>IFERROR(__xludf.DUMMYFUNCTION("""COMPUTED_VALUE"""),2.00937821E8)</f>
        <v>200937821</v>
      </c>
      <c r="L321" s="122" t="str">
        <f>IFERROR(__xludf.DUMMYFUNCTION("""COMPUTED_VALUE""")," TRAN THE VINH")</f>
        <v> TRAN THE VINH</v>
      </c>
      <c r="M321" s="122" t="str">
        <f>IFERROR(__xludf.DUMMYFUNCTION("""COMPUTED_VALUE"""),"VPBank")</f>
        <v>VPBank</v>
      </c>
      <c r="N321" s="122" t="str">
        <f>IFERROR(__xludf.DUMMYFUNCTION("""COMPUTED_VALUE"""),"66 ấp 6 Lê Thị Bay Tân Thạnh Đông Củ Chi tpHCM")</f>
        <v>66 ấp 6 Lê Thị Bay Tân Thạnh Đông Củ Chi tpHCM</v>
      </c>
      <c r="O321" s="122"/>
      <c r="P321" s="123" t="str">
        <f>IFERROR(__xludf.DUMMYFUNCTION("""COMPUTED_VALUE"""),"Mến")</f>
        <v>Mến</v>
      </c>
      <c r="Q321" s="122"/>
      <c r="R321" s="122" t="str">
        <f>IFERROR(__xludf.DUMMYFUNCTION("""COMPUTED_VALUE"""),"INFVINH921")</f>
        <v>INFVINH921</v>
      </c>
      <c r="S321" s="124" t="str">
        <f>IFERROR(__xludf.DUMMYFUNCTION("""COMPUTED_VALUE"""),"https://yody.vn/?affcode=INFVINH921")</f>
        <v>https://yody.vn/?affcode=INFVINH921</v>
      </c>
    </row>
    <row r="322">
      <c r="A322" s="122" t="str">
        <f>IFERROR(__xludf.DUMMYFUNCTION("""COMPUTED_VALUE"""),"INFHOA021")</f>
        <v>INFHOA021</v>
      </c>
      <c r="B322" s="122" t="str">
        <f>IFERROR(__xludf.DUMMYFUNCTION("""COMPUTED_VALUE"""),"hoaa.hanassii")</f>
        <v>hoaa.hanassii</v>
      </c>
      <c r="C322" s="124" t="str">
        <f>IFERROR(__xludf.DUMMYFUNCTION("""COMPUTED_VALUE"""),"tiktok")</f>
        <v>tiktok</v>
      </c>
      <c r="D322" s="122"/>
      <c r="E322" s="122" t="str">
        <f>IFERROR(__xludf.DUMMYFUNCTION("""COMPUTED_VALUE"""),"5,5M")</f>
        <v>5,5M</v>
      </c>
      <c r="F322" s="122" t="str">
        <f>IFERROR(__xludf.DUMMYFUNCTION("""COMPUTED_VALUE"""),"Đào Lê Phương Hoa")</f>
        <v>Đào Lê Phương Hoa</v>
      </c>
      <c r="G322" s="126">
        <f>IFERROR(__xludf.DUMMYFUNCTION("""COMPUTED_VALUE"""),35980.0)</f>
        <v>35980</v>
      </c>
      <c r="H322" s="122" t="str">
        <f>IFERROR(__xludf.DUMMYFUNCTION("""COMPUTED_VALUE"""),"030198005485")</f>
        <v>030198005485</v>
      </c>
      <c r="I322" s="122" t="str">
        <f>IFERROR(__xludf.DUMMYFUNCTION("""COMPUTED_VALUE"""),"0949681021")</f>
        <v>0949681021</v>
      </c>
      <c r="J322" s="122" t="str">
        <f>IFERROR(__xludf.DUMMYFUNCTION("""COMPUTED_VALUE"""),"daolephuonghoabooking@gmail.com")</f>
        <v>daolephuonghoabooking@gmail.com</v>
      </c>
      <c r="K322" s="122">
        <f>IFERROR(__xludf.DUMMYFUNCTION("""COMPUTED_VALUE"""),1.903651675801E13)</f>
        <v>19036516758010</v>
      </c>
      <c r="L322" s="122" t="str">
        <f>IFERROR(__xludf.DUMMYFUNCTION("""COMPUTED_VALUE"""),"DAO LE PHUONG HOA")</f>
        <v>DAO LE PHUONG HOA</v>
      </c>
      <c r="M322" s="122" t="str">
        <f>IFERROR(__xludf.DUMMYFUNCTION("""COMPUTED_VALUE"""),"Techcombank")</f>
        <v>Techcombank</v>
      </c>
      <c r="N322" s="122" t="str">
        <f>IFERROR(__xludf.DUMMYFUNCTION("""COMPUTED_VALUE"""),"Số 10 Tân Phú, Khương Trung, Thanh Xuân, Hà Nội")</f>
        <v>Số 10 Tân Phú, Khương Trung, Thanh Xuân, Hà Nội</v>
      </c>
      <c r="O322" s="122" t="str">
        <f>IFERROR(__xludf.DUMMYFUNCTION("""COMPUTED_VALUE"""),"Mến")</f>
        <v>Mến</v>
      </c>
      <c r="P322" s="123" t="str">
        <f>IFERROR(__xludf.DUMMYFUNCTION("""COMPUTED_VALUE"""),"Mến")</f>
        <v>Mến</v>
      </c>
      <c r="Q322" s="122"/>
      <c r="R322" s="122" t="str">
        <f>IFERROR(__xludf.DUMMYFUNCTION("""COMPUTED_VALUE"""),"INFHOA021")</f>
        <v>INFHOA021</v>
      </c>
      <c r="S322" s="124" t="str">
        <f>IFERROR(__xludf.DUMMYFUNCTION("""COMPUTED_VALUE"""),"https://yody.vn/?affcode=INFHOA021")</f>
        <v>https://yody.vn/?affcode=INFHOA021</v>
      </c>
    </row>
    <row r="323">
      <c r="A323" s="122" t="str">
        <f>IFERROR(__xludf.DUMMYFUNCTION("""COMPUTED_VALUE"""),"INFNHI141")</f>
        <v>INFNHI141</v>
      </c>
      <c r="B323" s="122" t="str">
        <f>IFERROR(__xludf.DUMMYFUNCTION("""COMPUTED_VALUE"""),"Huỳnh Nhy")</f>
        <v>Huỳnh Nhy</v>
      </c>
      <c r="C323" s="122" t="str">
        <f>IFERROR(__xludf.DUMMYFUNCTION("""COMPUTED_VALUE"""),"tiktok / ins")</f>
        <v>tiktok / ins</v>
      </c>
      <c r="D323" s="122"/>
      <c r="E323" s="122" t="str">
        <f>IFERROR(__xludf.DUMMYFUNCTION("""COMPUTED_VALUE"""),"385k / 27,9k")</f>
        <v>385k / 27,9k</v>
      </c>
      <c r="F323" s="122" t="str">
        <f>IFERROR(__xludf.DUMMYFUNCTION("""COMPUTED_VALUE"""),"Huỳnh Tuyết Nhi")</f>
        <v>Huỳnh Tuyết Nhi</v>
      </c>
      <c r="G323" s="122" t="str">
        <f>IFERROR(__xludf.DUMMYFUNCTION("""COMPUTED_VALUE"""),"19/06/2000")</f>
        <v>19/06/2000</v>
      </c>
      <c r="H323" s="122">
        <f>IFERROR(__xludf.DUMMYFUNCTION("""COMPUTED_VALUE"""),3.5352032E8)</f>
        <v>353520320</v>
      </c>
      <c r="I323" s="122" t="str">
        <f>IFERROR(__xludf.DUMMYFUNCTION("""COMPUTED_VALUE"""),"0375901141")</f>
        <v>0375901141</v>
      </c>
      <c r="J323" s="122" t="str">
        <f>IFERROR(__xludf.DUMMYFUNCTION("""COMPUTED_VALUE"""),"Nhyhuyh02@gmail.com")</f>
        <v>Nhyhuyh02@gmail.com</v>
      </c>
      <c r="K323" s="122">
        <f>IFERROR(__xludf.DUMMYFUNCTION("""COMPUTED_VALUE"""),1.06820001906E11)</f>
        <v>106820001906</v>
      </c>
      <c r="L323" s="122" t="str">
        <f>IFERROR(__xludf.DUMMYFUNCTION("""COMPUTED_VALUE"""),"HUYNH TUYET NHI")</f>
        <v>HUYNH TUYET NHI</v>
      </c>
      <c r="M323" s="122" t="str">
        <f>IFERROR(__xludf.DUMMYFUNCTION("""COMPUTED_VALUE"""),"VIETINBANK")</f>
        <v>VIETINBANK</v>
      </c>
      <c r="N323" s="122" t="str">
        <f>IFERROR(__xludf.DUMMYFUNCTION("""COMPUTED_VALUE"""),"331/3bis nam kỳ khởi nghĩa, p7 q3, tp.HCM")</f>
        <v>331/3bis nam kỳ khởi nghĩa, p7 q3, tp.HCM</v>
      </c>
      <c r="O323" s="122"/>
      <c r="P323" s="123" t="str">
        <f>IFERROR(__xludf.DUMMYFUNCTION("""COMPUTED_VALUE"""),"Hoa")</f>
        <v>Hoa</v>
      </c>
      <c r="Q323" s="122"/>
      <c r="R323" s="122" t="str">
        <f>IFERROR(__xludf.DUMMYFUNCTION("""COMPUTED_VALUE"""),"INFNHI141")</f>
        <v>INFNHI141</v>
      </c>
      <c r="S323" s="124" t="str">
        <f>IFERROR(__xludf.DUMMYFUNCTION("""COMPUTED_VALUE"""),"http://yody.vn?affcode=INFNHI141")</f>
        <v>http://yody.vn?affcode=INFNHI141</v>
      </c>
    </row>
    <row r="324">
      <c r="A324" s="122" t="str">
        <f>IFERROR(__xludf.DUMMYFUNCTION("""COMPUTED_VALUE"""),"INFNGA389")</f>
        <v>INFNGA389</v>
      </c>
      <c r="B324" s="122" t="str">
        <f>IFERROR(__xludf.DUMMYFUNCTION("""COMPUTED_VALUE"""),"Nguyễn Thanh Nga")</f>
        <v>Nguyễn Thanh Nga</v>
      </c>
      <c r="C324" s="124" t="str">
        <f>IFERROR(__xludf.DUMMYFUNCTION("""COMPUTED_VALUE"""),"fb")</f>
        <v>fb</v>
      </c>
      <c r="D324" s="122"/>
      <c r="E324" s="122" t="str">
        <f>IFERROR(__xludf.DUMMYFUNCTION("""COMPUTED_VALUE"""),"161k")</f>
        <v>161k</v>
      </c>
      <c r="F324" s="122" t="str">
        <f>IFERROR(__xludf.DUMMYFUNCTION("""COMPUTED_VALUE"""),"Nguyễn Thị Thanh Nga")</f>
        <v>Nguyễn Thị Thanh Nga</v>
      </c>
      <c r="G324" s="122" t="str">
        <f>IFERROR(__xludf.DUMMYFUNCTION("""COMPUTED_VALUE"""),"17/02/1982")</f>
        <v>17/02/1982</v>
      </c>
      <c r="H324" s="122">
        <f>IFERROR(__xludf.DUMMYFUNCTION("""COMPUTED_VALUE"""),1.25023762E8)</f>
        <v>125023762</v>
      </c>
      <c r="I324" s="122" t="str">
        <f>IFERROR(__xludf.DUMMYFUNCTION("""COMPUTED_VALUE"""),"0914787389")</f>
        <v>0914787389</v>
      </c>
      <c r="J324" s="122" t="str">
        <f>IFERROR(__xludf.DUMMYFUNCTION("""COMPUTED_VALUE"""),"nguyenthanhnga3t@gmail.com")</f>
        <v>nguyenthanhnga3t@gmail.com</v>
      </c>
      <c r="K324" s="122" t="str">
        <f>IFERROR(__xludf.DUMMYFUNCTION("""COMPUTED_VALUE""")," 0351000926084")</f>
        <v> 0351000926084</v>
      </c>
      <c r="L324" s="122" t="str">
        <f>IFERROR(__xludf.DUMMYFUNCTION("""COMPUTED_VALUE"""),"Nguyễn Thị Thanh Nga")</f>
        <v>Nguyễn Thị Thanh Nga</v>
      </c>
      <c r="M324" s="122" t="str">
        <f>IFERROR(__xludf.DUMMYFUNCTION("""COMPUTED_VALUE"""),"VCB Bắc Ninh")</f>
        <v>VCB Bắc Ninh</v>
      </c>
      <c r="N324" s="122"/>
      <c r="O324" s="122"/>
      <c r="P324" s="123" t="str">
        <f>IFERROR(__xludf.DUMMYFUNCTION("""COMPUTED_VALUE"""),"Hoa")</f>
        <v>Hoa</v>
      </c>
      <c r="Q324" s="122"/>
      <c r="R324" s="122" t="str">
        <f>IFERROR(__xludf.DUMMYFUNCTION("""COMPUTED_VALUE"""),"INFNGA389")</f>
        <v>INFNGA389</v>
      </c>
      <c r="S324" s="124" t="str">
        <f>IFERROR(__xludf.DUMMYFUNCTION("""COMPUTED_VALUE"""),"http://yody.vn?affcode=INFNGA389")</f>
        <v>http://yody.vn?affcode=INFNGA389</v>
      </c>
    </row>
    <row r="325">
      <c r="A325" s="122" t="str">
        <f>IFERROR(__xludf.DUMMYFUNCTION("""COMPUTED_VALUE"""),"INFHOC979")</f>
        <v>INFHOC979</v>
      </c>
      <c r="B325" s="122" t="str">
        <f>IFERROR(__xludf.DUMMYFUNCTION("""COMPUTED_VALUE"""),"Cao Văn Học")</f>
        <v>Cao Văn Học</v>
      </c>
      <c r="C325" s="122" t="str">
        <f>IFERROR(__xludf.DUMMYFUNCTION("""COMPUTED_VALUE"""),"fb / tiktok")</f>
        <v>fb / tiktok</v>
      </c>
      <c r="D325" s="122"/>
      <c r="E325" s="122" t="str">
        <f>IFERROR(__xludf.DUMMYFUNCTION("""COMPUTED_VALUE"""),"102,1k / 48,3k")</f>
        <v>102,1k / 48,3k</v>
      </c>
      <c r="F325" s="122" t="str">
        <f>IFERROR(__xludf.DUMMYFUNCTION("""COMPUTED_VALUE"""),"Cao Văn Học")</f>
        <v>Cao Văn Học</v>
      </c>
      <c r="G325" s="125">
        <f>IFERROR(__xludf.DUMMYFUNCTION("""COMPUTED_VALUE"""),33300.0)</f>
        <v>33300</v>
      </c>
      <c r="H325" s="122">
        <f>IFERROR(__xludf.DUMMYFUNCTION("""COMPUTED_VALUE"""),1.870171E8)</f>
        <v>187017100</v>
      </c>
      <c r="I325" s="122" t="str">
        <f>IFERROR(__xludf.DUMMYFUNCTION("""COMPUTED_VALUE"""),"0984598979")</f>
        <v>0984598979</v>
      </c>
      <c r="J325" s="122" t="str">
        <f>IFERROR(__xludf.DUMMYFUNCTION("""COMPUTED_VALUE"""),"caohoc33@gmail.com")</f>
        <v>caohoc33@gmail.com</v>
      </c>
      <c r="K325" s="122">
        <f>IFERROR(__xludf.DUMMYFUNCTION("""COMPUTED_VALUE"""),1.9253888888E10)</f>
        <v>19253888888</v>
      </c>
      <c r="L325" s="122" t="str">
        <f>IFERROR(__xludf.DUMMYFUNCTION("""COMPUTED_VALUE"""),"Cao Văn Học")</f>
        <v>Cao Văn Học</v>
      </c>
      <c r="M325" s="122" t="str">
        <f>IFERROR(__xludf.DUMMYFUNCTION("""COMPUTED_VALUE"""),"SCB Chi Nhánh Nghệ An")</f>
        <v>SCB Chi Nhánh Nghệ An</v>
      </c>
      <c r="N325" s="122" t="str">
        <f>IFERROR(__xludf.DUMMYFUNCTION("""COMPUTED_VALUE"""),"Xóm 3 - Khai Sơn - Anh Sơn - Nghệ An")</f>
        <v>Xóm 3 - Khai Sơn - Anh Sơn - Nghệ An</v>
      </c>
      <c r="O325" s="122"/>
      <c r="P325" s="123" t="str">
        <f>IFERROR(__xludf.DUMMYFUNCTION("""COMPUTED_VALUE"""),"Hoa")</f>
        <v>Hoa</v>
      </c>
      <c r="Q325" s="122"/>
      <c r="R325" s="122" t="str">
        <f>IFERROR(__xludf.DUMMYFUNCTION("""COMPUTED_VALUE"""),"INFHOC979")</f>
        <v>INFHOC979</v>
      </c>
      <c r="S325" s="124" t="str">
        <f>IFERROR(__xludf.DUMMYFUNCTION("""COMPUTED_VALUE"""),"http://yody.vn?affcode=INFHOC979")</f>
        <v>http://yody.vn?affcode=INFHOC979</v>
      </c>
    </row>
    <row r="326">
      <c r="A326" s="122" t="str">
        <f>IFERROR(__xludf.DUMMYFUNCTION("""COMPUTED_VALUE"""),"INFQUANG889")</f>
        <v>INFQUANG889</v>
      </c>
      <c r="B326" s="122" t="str">
        <f>IFERROR(__xludf.DUMMYFUNCTION("""COMPUTED_VALUE"""),"Lại Hồng Quang")</f>
        <v>Lại Hồng Quang</v>
      </c>
      <c r="C326" s="124" t="str">
        <f>IFERROR(__xludf.DUMMYFUNCTION("""COMPUTED_VALUE"""),"fb")</f>
        <v>fb</v>
      </c>
      <c r="D326" s="122"/>
      <c r="E326" s="122" t="str">
        <f>IFERROR(__xludf.DUMMYFUNCTION("""COMPUTED_VALUE"""),"106,9k")</f>
        <v>106,9k</v>
      </c>
      <c r="F326" s="122" t="str">
        <f>IFERROR(__xludf.DUMMYFUNCTION("""COMPUTED_VALUE"""),"Lại Hồng Quang")</f>
        <v>Lại Hồng Quang</v>
      </c>
      <c r="G326" s="122" t="str">
        <f>IFERROR(__xludf.DUMMYFUNCTION("""COMPUTED_VALUE"""),"27/06/1977")</f>
        <v>27/06/1977</v>
      </c>
      <c r="H326" s="122" t="str">
        <f>IFERROR(__xludf.DUMMYFUNCTION("""COMPUTED_VALUE"""),"011755043")</f>
        <v>011755043</v>
      </c>
      <c r="I326" s="122" t="str">
        <f>IFERROR(__xludf.DUMMYFUNCTION("""COMPUTED_VALUE"""),"0971959889")</f>
        <v>0971959889</v>
      </c>
      <c r="J326" s="122" t="str">
        <f>IFERROR(__xludf.DUMMYFUNCTION("""COMPUTED_VALUE"""),"Tuhuyen19831@gmail.com")</f>
        <v>Tuhuyen19831@gmail.com</v>
      </c>
      <c r="K326" s="122" t="str">
        <f>IFERROR(__xludf.DUMMYFUNCTION("""COMPUTED_VALUE"""),"0491000196251")</f>
        <v>0491000196251</v>
      </c>
      <c r="L326" s="122" t="str">
        <f>IFERROR(__xludf.DUMMYFUNCTION("""COMPUTED_VALUE"""),"Lại Hồng Quang")</f>
        <v>Lại Hồng Quang</v>
      </c>
      <c r="M326" s="122" t="str">
        <f>IFERROR(__xludf.DUMMYFUNCTION("""COMPUTED_VALUE"""),"VCB ")</f>
        <v>VCB </v>
      </c>
      <c r="N326" s="122" t="str">
        <f>IFERROR(__xludf.DUMMYFUNCTION("""COMPUTED_VALUE"""),"25 trương Hán siêu, Hoàn Kiếm, HN")</f>
        <v>25 trương Hán siêu, Hoàn Kiếm, HN</v>
      </c>
      <c r="O326" s="122"/>
      <c r="P326" s="123" t="str">
        <f>IFERROR(__xludf.DUMMYFUNCTION("""COMPUTED_VALUE"""),"Hoa")</f>
        <v>Hoa</v>
      </c>
      <c r="Q326" s="122"/>
      <c r="R326" s="122" t="str">
        <f>IFERROR(__xludf.DUMMYFUNCTION("""COMPUTED_VALUE"""),"INFQUANG889")</f>
        <v>INFQUANG889</v>
      </c>
      <c r="S326" s="124" t="str">
        <f>IFERROR(__xludf.DUMMYFUNCTION("""COMPUTED_VALUE"""),"http://yody.vn?affcode=INFQUANG889")</f>
        <v>http://yody.vn?affcode=INFQUANG889</v>
      </c>
    </row>
    <row r="327">
      <c r="A327" s="122" t="str">
        <f>IFERROR(__xludf.DUMMYFUNCTION("""COMPUTED_VALUE"""),"INFNHUNG712")</f>
        <v>INFNHUNG712</v>
      </c>
      <c r="B327" s="122" t="str">
        <f>IFERROR(__xludf.DUMMYFUNCTION("""COMPUTED_VALUE"""),"Nguyễn Thị Nhung")</f>
        <v>Nguyễn Thị Nhung</v>
      </c>
      <c r="C327" s="124" t="str">
        <f>IFERROR(__xludf.DUMMYFUNCTION("""COMPUTED_VALUE"""),"fb")</f>
        <v>fb</v>
      </c>
      <c r="D327" s="122"/>
      <c r="E327" s="122" t="str">
        <f>IFERROR(__xludf.DUMMYFUNCTION("""COMPUTED_VALUE"""),"111,7k")</f>
        <v>111,7k</v>
      </c>
      <c r="F327" s="122" t="str">
        <f>IFERROR(__xludf.DUMMYFUNCTION("""COMPUTED_VALUE"""),"Nguyễn Thị Nhung")</f>
        <v>Nguyễn Thị Nhung</v>
      </c>
      <c r="G327" s="122" t="str">
        <f>IFERROR(__xludf.DUMMYFUNCTION("""COMPUTED_VALUE"""),"24/2/1992")</f>
        <v>24/2/1992</v>
      </c>
      <c r="H327" s="122">
        <f>IFERROR(__xludf.DUMMYFUNCTION("""COMPUTED_VALUE"""),1.25453946E8)</f>
        <v>125453946</v>
      </c>
      <c r="I327" s="122" t="str">
        <f>IFERROR(__xludf.DUMMYFUNCTION("""COMPUTED_VALUE"""),"0392299712")</f>
        <v>0392299712</v>
      </c>
      <c r="J327" s="122" t="str">
        <f>IFERROR(__xludf.DUMMYFUNCTION("""COMPUTED_VALUE"""),"Nhungnt123.gncom@gmail.com")</f>
        <v>Nhungnt123.gncom@gmail.com</v>
      </c>
      <c r="K327" s="122">
        <f>IFERROR(__xludf.DUMMYFUNCTION("""COMPUTED_VALUE"""),1.902814310366E13)</f>
        <v>19028143103660</v>
      </c>
      <c r="L327" s="122" t="str">
        <f>IFERROR(__xludf.DUMMYFUNCTION("""COMPUTED_VALUE"""),"Nguyễn Thị Nhung")</f>
        <v>Nguyễn Thị Nhung</v>
      </c>
      <c r="M327" s="122" t="str">
        <f>IFERROR(__xludf.DUMMYFUNCTION("""COMPUTED_VALUE"""),"Techcombank CN Hoàn Kiếm")</f>
        <v>Techcombank CN Hoàn Kiếm</v>
      </c>
      <c r="N327" s="122" t="str">
        <f>IFERROR(__xludf.DUMMYFUNCTION("""COMPUTED_VALUE"""),"Tầng 2, tháp B, toà Packexim 1, ngõ 15 An Dương Vương, Phú Thượng, Tây Hồ, Hà Nội")</f>
        <v>Tầng 2, tháp B, toà Packexim 1, ngõ 15 An Dương Vương, Phú Thượng, Tây Hồ, Hà Nội</v>
      </c>
      <c r="O327" s="122"/>
      <c r="P327" s="123" t="str">
        <f>IFERROR(__xludf.DUMMYFUNCTION("""COMPUTED_VALUE"""),"Hoa")</f>
        <v>Hoa</v>
      </c>
      <c r="Q327" s="122"/>
      <c r="R327" s="122" t="str">
        <f>IFERROR(__xludf.DUMMYFUNCTION("""COMPUTED_VALUE"""),"INFNHUNG712")</f>
        <v>INFNHUNG712</v>
      </c>
      <c r="S327" s="124" t="str">
        <f>IFERROR(__xludf.DUMMYFUNCTION("""COMPUTED_VALUE"""),"http://yody.vn?affcode=INFNHUNG712")</f>
        <v>http://yody.vn?affcode=INFNHUNG712</v>
      </c>
    </row>
    <row r="328">
      <c r="A328" s="122" t="str">
        <f>IFERROR(__xludf.DUMMYFUNCTION("""COMPUTED_VALUE"""),"INFHUE272")</f>
        <v>INFHUE272</v>
      </c>
      <c r="B328" s="122" t="str">
        <f>IFERROR(__xludf.DUMMYFUNCTION("""COMPUTED_VALUE"""),"Bích Huệ")</f>
        <v>Bích Huệ</v>
      </c>
      <c r="C328" s="124" t="str">
        <f>IFERROR(__xludf.DUMMYFUNCTION("""COMPUTED_VALUE"""),"fb")</f>
        <v>fb</v>
      </c>
      <c r="D328" s="122"/>
      <c r="E328" s="122" t="str">
        <f>IFERROR(__xludf.DUMMYFUNCTION("""COMPUTED_VALUE"""),"54k")</f>
        <v>54k</v>
      </c>
      <c r="F328" s="122" t="str">
        <f>IFERROR(__xludf.DUMMYFUNCTION("""COMPUTED_VALUE"""),"Bùi Thị Bích Huệ")</f>
        <v>Bùi Thị Bích Huệ</v>
      </c>
      <c r="G328" s="122" t="str">
        <f>IFERROR(__xludf.DUMMYFUNCTION("""COMPUTED_VALUE"""),"22-04-1999")</f>
        <v>22-04-1999</v>
      </c>
      <c r="H328" s="122">
        <f>IFERROR(__xludf.DUMMYFUNCTION("""COMPUTED_VALUE"""),2.31250039E8)</f>
        <v>231250039</v>
      </c>
      <c r="I328" s="122" t="str">
        <f>IFERROR(__xludf.DUMMYFUNCTION("""COMPUTED_VALUE"""),"0961367272")</f>
        <v>0961367272</v>
      </c>
      <c r="J328" s="122" t="str">
        <f>IFERROR(__xludf.DUMMYFUNCTION("""COMPUTED_VALUE"""),"huebui.gialai.99@gmai.com")</f>
        <v>huebui.gialai.99@gmai.com</v>
      </c>
      <c r="K328" s="122">
        <f>IFERROR(__xludf.DUMMYFUNCTION("""COMPUTED_VALUE"""),6.2410000177327E13)</f>
        <v>62410000177327</v>
      </c>
      <c r="L328" s="122" t="str">
        <f>IFERROR(__xludf.DUMMYFUNCTION("""COMPUTED_VALUE"""),"BUI THI BICH HUE")</f>
        <v>BUI THI BICH HUE</v>
      </c>
      <c r="M328" s="122" t="str">
        <f>IFERROR(__xludf.DUMMYFUNCTION("""COMPUTED_VALUE"""),"BIDV Gia Lai")</f>
        <v>BIDV Gia Lai</v>
      </c>
      <c r="N328" s="122" t="str">
        <f>IFERROR(__xludf.DUMMYFUNCTION("""COMPUTED_VALUE"""),"Chư Sê ( Gia Lai)")</f>
        <v>Chư Sê ( Gia Lai)</v>
      </c>
      <c r="O328" s="122"/>
      <c r="P328" s="123" t="str">
        <f>IFERROR(__xludf.DUMMYFUNCTION("""COMPUTED_VALUE"""),"Trâm")</f>
        <v>Trâm</v>
      </c>
      <c r="Q328" s="122"/>
      <c r="R328" s="122" t="str">
        <f>IFERROR(__xludf.DUMMYFUNCTION("""COMPUTED_VALUE"""),"INFHUE272")</f>
        <v>INFHUE272</v>
      </c>
      <c r="S328" s="124" t="str">
        <f>IFERROR(__xludf.DUMMYFUNCTION("""COMPUTED_VALUE"""),"http://yody.vn?affcode=INFHUE272")</f>
        <v>http://yody.vn?affcode=INFHUE272</v>
      </c>
    </row>
    <row r="329">
      <c r="A329" s="122" t="str">
        <f>IFERROR(__xludf.DUMMYFUNCTION("""COMPUTED_VALUE"""),"INFANH434")</f>
        <v>INFANH434</v>
      </c>
      <c r="B329" s="122" t="str">
        <f>IFERROR(__xludf.DUMMYFUNCTION("""COMPUTED_VALUE"""),"tuan anh")</f>
        <v>tuan anh</v>
      </c>
      <c r="C329" s="124" t="str">
        <f>IFERROR(__xludf.DUMMYFUNCTION("""COMPUTED_VALUE"""),"fb")</f>
        <v>fb</v>
      </c>
      <c r="D329" s="122"/>
      <c r="E329" s="122" t="str">
        <f>IFERROR(__xludf.DUMMYFUNCTION("""COMPUTED_VALUE"""),"63k")</f>
        <v>63k</v>
      </c>
      <c r="F329" s="122" t="str">
        <f>IFERROR(__xludf.DUMMYFUNCTION("""COMPUTED_VALUE"""),"Bùi Tuấn Anh")</f>
        <v>Bùi Tuấn Anh</v>
      </c>
      <c r="G329" s="122" t="str">
        <f>IFERROR(__xludf.DUMMYFUNCTION("""COMPUTED_VALUE"""),"13/2/2000")</f>
        <v>13/2/2000</v>
      </c>
      <c r="H329" s="122">
        <f>IFERROR(__xludf.DUMMYFUNCTION("""COMPUTED_VALUE"""),2.31249007E8)</f>
        <v>231249007</v>
      </c>
      <c r="I329" s="122" t="str">
        <f>IFERROR(__xludf.DUMMYFUNCTION("""COMPUTED_VALUE"""),"0942515434")</f>
        <v>0942515434</v>
      </c>
      <c r="J329" s="122" t="str">
        <f>IFERROR(__xludf.DUMMYFUNCTION("""COMPUTED_VALUE"""),"Tuananhbuistore@gmail.com")</f>
        <v>Tuananhbuistore@gmail.com</v>
      </c>
      <c r="K329" s="122" t="str">
        <f>IFERROR(__xludf.DUMMYFUNCTION("""COMPUTED_VALUE"""),"0291000325759")</f>
        <v>0291000325759</v>
      </c>
      <c r="L329" s="122" t="str">
        <f>IFERROR(__xludf.DUMMYFUNCTION("""COMPUTED_VALUE"""),"BUI TUAN ANH")</f>
        <v>BUI TUAN ANH</v>
      </c>
      <c r="M329" s="122" t="str">
        <f>IFERROR(__xludf.DUMMYFUNCTION("""COMPUTED_VALUE"""),"Vietcombank Gia Lai")</f>
        <v>Vietcombank Gia Lai</v>
      </c>
      <c r="N329" s="122" t="str">
        <f>IFERROR(__xludf.DUMMYFUNCTION("""COMPUTED_VALUE"""),"Chư Sê (Gia Lai) ")</f>
        <v>Chư Sê (Gia Lai) </v>
      </c>
      <c r="O329" s="122"/>
      <c r="P329" s="123" t="str">
        <f>IFERROR(__xludf.DUMMYFUNCTION("""COMPUTED_VALUE"""),"Trâm")</f>
        <v>Trâm</v>
      </c>
      <c r="Q329" s="122"/>
      <c r="R329" s="122" t="str">
        <f>IFERROR(__xludf.DUMMYFUNCTION("""COMPUTED_VALUE"""),"INFANH434")</f>
        <v>INFANH434</v>
      </c>
      <c r="S329" s="124" t="str">
        <f>IFERROR(__xludf.DUMMYFUNCTION("""COMPUTED_VALUE"""),"http://yody.vn?affcode=INFANH434")</f>
        <v>http://yody.vn?affcode=INFANH434</v>
      </c>
    </row>
    <row r="330">
      <c r="A330" s="122" t="str">
        <f>IFERROR(__xludf.DUMMYFUNCTION("""COMPUTED_VALUE"""),"INFNGUYET899")</f>
        <v>INFNGUYET899</v>
      </c>
      <c r="B330" s="122" t="str">
        <f>IFERROR(__xludf.DUMMYFUNCTION("""COMPUTED_VALUE"""),"Phạm Thị Hồng Nguyệt")</f>
        <v>Phạm Thị Hồng Nguyệt</v>
      </c>
      <c r="C330" s="124" t="str">
        <f>IFERROR(__xludf.DUMMYFUNCTION("""COMPUTED_VALUE"""),"fb")</f>
        <v>fb</v>
      </c>
      <c r="D330" s="122"/>
      <c r="E330" s="122" t="str">
        <f>IFERROR(__xludf.DUMMYFUNCTION("""COMPUTED_VALUE"""),"161,5k")</f>
        <v>161,5k</v>
      </c>
      <c r="F330" s="122" t="str">
        <f>IFERROR(__xludf.DUMMYFUNCTION("""COMPUTED_VALUE"""),"Phạm Thị Hồng Nguyệt")</f>
        <v>Phạm Thị Hồng Nguyệt</v>
      </c>
      <c r="G330" s="126">
        <f>IFERROR(__xludf.DUMMYFUNCTION("""COMPUTED_VALUE"""),29711.0)</f>
        <v>29711</v>
      </c>
      <c r="H330" s="122" t="str">
        <f>IFERROR(__xludf.DUMMYFUNCTION("""COMPUTED_VALUE"""),"017264235")</f>
        <v>017264235</v>
      </c>
      <c r="I330" s="122" t="str">
        <f>IFERROR(__xludf.DUMMYFUNCTION("""COMPUTED_VALUE"""),"0969.332.899")</f>
        <v>0969.332.899</v>
      </c>
      <c r="J330" s="122" t="str">
        <f>IFERROR(__xludf.DUMMYFUNCTION("""COMPUTED_VALUE"""),"hoanhao201@gmail.com")</f>
        <v>hoanhao201@gmail.com</v>
      </c>
      <c r="K330" s="122"/>
      <c r="L330" s="122"/>
      <c r="M330" s="122"/>
      <c r="N330" s="122" t="str">
        <f>IFERROR(__xludf.DUMMYFUNCTION("""COMPUTED_VALUE"""),"Số 14, ngõ 179/37 Triều Khúc, Tân Triều, Thanh Trì, Hà Nội")</f>
        <v>Số 14, ngõ 179/37 Triều Khúc, Tân Triều, Thanh Trì, Hà Nội</v>
      </c>
      <c r="O330" s="122"/>
      <c r="P330" s="123" t="str">
        <f>IFERROR(__xludf.DUMMYFUNCTION("""COMPUTED_VALUE"""),"Hoa")</f>
        <v>Hoa</v>
      </c>
      <c r="Q330" s="122"/>
      <c r="R330" s="122" t="str">
        <f>IFERROR(__xludf.DUMMYFUNCTION("""COMPUTED_VALUE"""),"INFNGUYET899")</f>
        <v>INFNGUYET899</v>
      </c>
      <c r="S330" s="124" t="str">
        <f>IFERROR(__xludf.DUMMYFUNCTION("""COMPUTED_VALUE"""),"http://yody.vn?affcode=INFNGUYET899")</f>
        <v>http://yody.vn?affcode=INFNGUYET899</v>
      </c>
    </row>
    <row r="331">
      <c r="A331" s="122" t="str">
        <f>IFERROR(__xludf.DUMMYFUNCTION("""COMPUTED_VALUE"""),"")</f>
        <v/>
      </c>
      <c r="B331" s="122" t="str">
        <f>IFERROR(__xludf.DUMMYFUNCTION("""COMPUTED_VALUE"""),"vya229")</f>
        <v>vya229</v>
      </c>
      <c r="C331" s="124" t="str">
        <f>IFERROR(__xludf.DUMMYFUNCTION("""COMPUTED_VALUE"""),"tiktok")</f>
        <v>tiktok</v>
      </c>
      <c r="D331" s="122"/>
      <c r="E331" s="122" t="str">
        <f>IFERROR(__xludf.DUMMYFUNCTION("""COMPUTED_VALUE"""),"916k")</f>
        <v>916k</v>
      </c>
      <c r="F331" s="122" t="str">
        <f>IFERROR(__xludf.DUMMYFUNCTION("""COMPUTED_VALUE"""),"A Tường Vy")</f>
        <v>A Tường Vy</v>
      </c>
      <c r="G331" s="122"/>
      <c r="H331" s="122"/>
      <c r="I331" s="122"/>
      <c r="J331" s="122"/>
      <c r="K331" s="122"/>
      <c r="L331" s="122"/>
      <c r="M331" s="122"/>
      <c r="N331" s="122"/>
      <c r="O331" s="122"/>
      <c r="P331" s="123"/>
      <c r="Q331" s="122"/>
      <c r="R331" s="122" t="str">
        <f>IFERROR(__xludf.DUMMYFUNCTION("""COMPUTED_VALUE"""),"")</f>
        <v/>
      </c>
      <c r="S331" s="122"/>
    </row>
    <row r="332">
      <c r="A332" s="122" t="str">
        <f>IFERROR(__xludf.DUMMYFUNCTION("""COMPUTED_VALUE"""),"")</f>
        <v/>
      </c>
      <c r="B332" s="122" t="str">
        <f>IFERROR(__xludf.DUMMYFUNCTION("""COMPUTED_VALUE"""),"Xuân Phát Phạm")</f>
        <v>Xuân Phát Phạm</v>
      </c>
      <c r="C332" s="124" t="str">
        <f>IFERROR(__xludf.DUMMYFUNCTION("""COMPUTED_VALUE"""),"fb")</f>
        <v>fb</v>
      </c>
      <c r="D332" s="122"/>
      <c r="E332" s="122" t="str">
        <f>IFERROR(__xludf.DUMMYFUNCTION("""COMPUTED_VALUE"""),"168k")</f>
        <v>168k</v>
      </c>
      <c r="F332" s="122" t="str">
        <f>IFERROR(__xludf.DUMMYFUNCTION("""COMPUTED_VALUE"""),"Phạm Xuân Phát")</f>
        <v>Phạm Xuân Phát</v>
      </c>
      <c r="G332" s="122"/>
      <c r="H332" s="122"/>
      <c r="I332" s="122"/>
      <c r="J332" s="122"/>
      <c r="K332" s="122"/>
      <c r="L332" s="122"/>
      <c r="M332" s="122"/>
      <c r="N332" s="122"/>
      <c r="O332" s="122"/>
      <c r="P332" s="123"/>
      <c r="Q332" s="122"/>
      <c r="R332" s="122" t="str">
        <f>IFERROR(__xludf.DUMMYFUNCTION("""COMPUTED_VALUE"""),"")</f>
        <v/>
      </c>
      <c r="S332" s="122"/>
    </row>
    <row r="333">
      <c r="A333" s="122"/>
      <c r="B333" s="122" t="str">
        <f>IFERROR(__xludf.DUMMYFUNCTION("""COMPUTED_VALUE"""),"banhhee")</f>
        <v>banhhee</v>
      </c>
      <c r="C333" s="124" t="str">
        <f>IFERROR(__xludf.DUMMYFUNCTION("""COMPUTED_VALUE"""),"tiktok1")</f>
        <v>tiktok1</v>
      </c>
      <c r="D333" s="122"/>
      <c r="E333" s="122" t="str">
        <f>IFERROR(__xludf.DUMMYFUNCTION("""COMPUTED_VALUE"""),"132k")</f>
        <v>132k</v>
      </c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3"/>
      <c r="Q333" s="122"/>
      <c r="R333" s="122"/>
      <c r="S333" s="122"/>
    </row>
    <row r="334">
      <c r="A334" s="122" t="str">
        <f>IFERROR(__xludf.DUMMYFUNCTION("""COMPUTED_VALUE"""),"INFTU867")</f>
        <v>INFTU867</v>
      </c>
      <c r="B334" s="122" t="str">
        <f>IFERROR(__xludf.DUMMYFUNCTION("""COMPUTED_VALUE"""),"Nguyễn Ngọc Tứ")</f>
        <v>Nguyễn Ngọc Tứ</v>
      </c>
      <c r="C334" s="124" t="str">
        <f>IFERROR(__xludf.DUMMYFUNCTION("""COMPUTED_VALUE"""),"fb")</f>
        <v>fb</v>
      </c>
      <c r="D334" s="122"/>
      <c r="E334" s="122" t="str">
        <f>IFERROR(__xludf.DUMMYFUNCTION("""COMPUTED_VALUE"""),"120k")</f>
        <v>120k</v>
      </c>
      <c r="F334" s="122" t="str">
        <f>IFERROR(__xludf.DUMMYFUNCTION("""COMPUTED_VALUE"""),"Nguyễn Thị Tứ")</f>
        <v>Nguyễn Thị Tứ</v>
      </c>
      <c r="G334" s="125">
        <f>IFERROR(__xludf.DUMMYFUNCTION("""COMPUTED_VALUE"""),31361.0)</f>
        <v>31361</v>
      </c>
      <c r="H334" s="122" t="str">
        <f>IFERROR(__xludf.DUMMYFUNCTION("""COMPUTED_VALUE"""),"001185022548")</f>
        <v>001185022548</v>
      </c>
      <c r="I334" s="122" t="str">
        <f>IFERROR(__xludf.DUMMYFUNCTION("""COMPUTED_VALUE"""),"098 4601867")</f>
        <v>098 4601867</v>
      </c>
      <c r="J334" s="122" t="str">
        <f>IFERROR(__xludf.DUMMYFUNCTION("""COMPUTED_VALUE"""),"dinhthuytrang151110@gmail.com")</f>
        <v>dinhthuytrang151110@gmail.com</v>
      </c>
      <c r="K334" s="122">
        <f>IFERROR(__xludf.DUMMYFUNCTION("""COMPUTED_VALUE"""),1.2210000269951E13)</f>
        <v>12210000269951</v>
      </c>
      <c r="L334" s="122" t="str">
        <f>IFERROR(__xludf.DUMMYFUNCTION("""COMPUTED_VALUE"""),"Nguyễn Thị Tứ")</f>
        <v>Nguyễn Thị Tứ</v>
      </c>
      <c r="M334" s="122" t="str">
        <f>IFERROR(__xludf.DUMMYFUNCTION("""COMPUTED_VALUE"""),"BIDV")</f>
        <v>BIDV</v>
      </c>
      <c r="N334" s="122" t="str">
        <f>IFERROR(__xludf.DUMMYFUNCTION("""COMPUTED_VALUE"""),"Phòng 19 tầng 18 Chung cư sansoda 105 chu văn an phường yết kiêu quận Hà đông Hà nội")</f>
        <v>Phòng 19 tầng 18 Chung cư sansoda 105 chu văn an phường yết kiêu quận Hà đông Hà nội</v>
      </c>
      <c r="O334" s="122"/>
      <c r="P334" s="123" t="str">
        <f>IFERROR(__xludf.DUMMYFUNCTION("""COMPUTED_VALUE"""),"Hoa")</f>
        <v>Hoa</v>
      </c>
      <c r="Q334" s="122"/>
      <c r="R334" s="122" t="str">
        <f>IFERROR(__xludf.DUMMYFUNCTION("""COMPUTED_VALUE"""),"INFTU867")</f>
        <v>INFTU867</v>
      </c>
      <c r="S334" s="124" t="str">
        <f>IFERROR(__xludf.DUMMYFUNCTION("""COMPUTED_VALUE"""),"http://yody.vn?affcode=INFTU867")</f>
        <v>http://yody.vn?affcode=INFTU867</v>
      </c>
    </row>
    <row r="335">
      <c r="A335" s="122" t="str">
        <f>IFERROR(__xludf.DUMMYFUNCTION("""COMPUTED_VALUE"""),"INFNGOC484")</f>
        <v>INFNGOC484</v>
      </c>
      <c r="B335" s="122" t="str">
        <f>IFERROR(__xludf.DUMMYFUNCTION("""COMPUTED_VALUE"""),"Đỗ Võ Hồng Ngọc")</f>
        <v>Đỗ Võ Hồng Ngọc</v>
      </c>
      <c r="C335" s="124" t="str">
        <f>IFERROR(__xludf.DUMMYFUNCTION("""COMPUTED_VALUE"""),"tiktok")</f>
        <v>tiktok</v>
      </c>
      <c r="D335" s="122"/>
      <c r="E335" s="122" t="str">
        <f>IFERROR(__xludf.DUMMYFUNCTION("""COMPUTED_VALUE"""),"225.8k")</f>
        <v>225.8k</v>
      </c>
      <c r="F335" s="122" t="str">
        <f>IFERROR(__xludf.DUMMYFUNCTION("""COMPUTED_VALUE"""),"Đỗ Võ Hồng Ngọc")</f>
        <v>Đỗ Võ Hồng Ngọc</v>
      </c>
      <c r="G335" s="122" t="str">
        <f>IFERROR(__xludf.DUMMYFUNCTION("""COMPUTED_VALUE"""),"27/08/2000")</f>
        <v>27/08/2000</v>
      </c>
      <c r="H335" s="122" t="str">
        <f>IFERROR(__xludf.DUMMYFUNCTION("""COMPUTED_VALUE"""),"201800089")</f>
        <v>201800089</v>
      </c>
      <c r="I335" s="122" t="str">
        <f>IFERROR(__xludf.DUMMYFUNCTION("""COMPUTED_VALUE"""),"0825727484")</f>
        <v>0825727484</v>
      </c>
      <c r="J335" s="122" t="str">
        <f>IFERROR(__xludf.DUMMYFUNCTION("""COMPUTED_VALUE"""),"dohongngoc27@gmail.com")</f>
        <v>dohongngoc27@gmail.com</v>
      </c>
      <c r="K335" s="122" t="str">
        <f>IFERROR(__xludf.DUMMYFUNCTION("""COMPUTED_VALUE"""),"2002206269115")</f>
        <v>2002206269115</v>
      </c>
      <c r="L335" s="122" t="str">
        <f>IFERROR(__xludf.DUMMYFUNCTION("""COMPUTED_VALUE"""),"DO VO HONG NGOC")</f>
        <v>DO VO HONG NGOC</v>
      </c>
      <c r="M335" s="122" t="str">
        <f>IFERROR(__xludf.DUMMYFUNCTION("""COMPUTED_VALUE"""),"Agribank Đà Nẵng")</f>
        <v>Agribank Đà Nẵng</v>
      </c>
      <c r="N335" s="122" t="str">
        <f>IFERROR(__xludf.DUMMYFUNCTION("""COMPUTED_VALUE"""),"39 Bạch Thái Bưởi - P. Hoà Khánh Bắc - Q.Liên Chiểu - Đà Nẵng")</f>
        <v>39 Bạch Thái Bưởi - P. Hoà Khánh Bắc - Q.Liên Chiểu - Đà Nẵng</v>
      </c>
      <c r="O335" s="122"/>
      <c r="P335" s="123" t="str">
        <f>IFERROR(__xludf.DUMMYFUNCTION("""COMPUTED_VALUE"""),"Hoa")</f>
        <v>Hoa</v>
      </c>
      <c r="Q335" s="122"/>
      <c r="R335" s="122" t="str">
        <f>IFERROR(__xludf.DUMMYFUNCTION("""COMPUTED_VALUE"""),"INFNGOC484")</f>
        <v>INFNGOC484</v>
      </c>
      <c r="S335" s="124" t="str">
        <f>IFERROR(__xludf.DUMMYFUNCTION("""COMPUTED_VALUE"""),"http://yody.vn?affcode=INFNGOC484")</f>
        <v>http://yody.vn?affcode=INFNGOC484</v>
      </c>
    </row>
    <row r="336">
      <c r="A336" s="122" t="str">
        <f>IFERROR(__xludf.DUMMYFUNCTION("""COMPUTED_VALUE"""),"INFANH776")</f>
        <v>INFANH776</v>
      </c>
      <c r="B336" s="122" t="str">
        <f>IFERROR(__xludf.DUMMYFUNCTION("""COMPUTED_VALUE"""),"Ngo Duc Anh")</f>
        <v>Ngo Duc Anh</v>
      </c>
      <c r="C336" s="124" t="str">
        <f>IFERROR(__xludf.DUMMYFUNCTION("""COMPUTED_VALUE"""),"fb")</f>
        <v>fb</v>
      </c>
      <c r="D336" s="122"/>
      <c r="E336" s="122" t="str">
        <f>IFERROR(__xludf.DUMMYFUNCTION("""COMPUTED_VALUE"""),"65,6k")</f>
        <v>65,6k</v>
      </c>
      <c r="F336" s="122" t="str">
        <f>IFERROR(__xludf.DUMMYFUNCTION("""COMPUTED_VALUE"""),"Ngô Đức Anh")</f>
        <v>Ngô Đức Anh</v>
      </c>
      <c r="G336" s="122" t="str">
        <f>IFERROR(__xludf.DUMMYFUNCTION("""COMPUTED_VALUE"""),"10.12.2005")</f>
        <v>10.12.2005</v>
      </c>
      <c r="H336" s="122"/>
      <c r="I336" s="122" t="str">
        <f>IFERROR(__xludf.DUMMYFUNCTION("""COMPUTED_VALUE"""),"0793202776")</f>
        <v>0793202776</v>
      </c>
      <c r="J336" s="124" t="str">
        <f>IFERROR(__xludf.DUMMYFUNCTION("""COMPUTED_VALUE"""),"ducanh101205@gmail.com")</f>
        <v>ducanh101205@gmail.com</v>
      </c>
      <c r="K336" s="122"/>
      <c r="L336" s="122"/>
      <c r="M336" s="122"/>
      <c r="N336" s="122" t="str">
        <f>IFERROR(__xludf.DUMMYFUNCTION("""COMPUTED_VALUE"""),"Chung cư Bách Việt.Phường Dĩnh Kế.TP.Bắc Giang")</f>
        <v>Chung cư Bách Việt.Phường Dĩnh Kế.TP.Bắc Giang</v>
      </c>
      <c r="O336" s="122"/>
      <c r="P336" s="123" t="str">
        <f>IFERROR(__xludf.DUMMYFUNCTION("""COMPUTED_VALUE"""),"Hoa")</f>
        <v>Hoa</v>
      </c>
      <c r="Q336" s="122"/>
      <c r="R336" s="122" t="str">
        <f>IFERROR(__xludf.DUMMYFUNCTION("""COMPUTED_VALUE"""),"INFANH776")</f>
        <v>INFANH776</v>
      </c>
      <c r="S336" s="124" t="str">
        <f>IFERROR(__xludf.DUMMYFUNCTION("""COMPUTED_VALUE"""),"http://yody.vn?affcode=INFANH776")</f>
        <v>http://yody.vn?affcode=INFANH776</v>
      </c>
    </row>
    <row r="337">
      <c r="A337" s="122" t="str">
        <f>IFERROR(__xludf.DUMMYFUNCTION("""COMPUTED_VALUE"""),"INFHAI456")</f>
        <v>INFHAI456</v>
      </c>
      <c r="B337" s="122" t="str">
        <f>IFERROR(__xludf.DUMMYFUNCTION("""COMPUTED_VALUE"""),"Trần Văn Hải")</f>
        <v>Trần Văn Hải</v>
      </c>
      <c r="C337" s="124" t="str">
        <f>IFERROR(__xludf.DUMMYFUNCTION("""COMPUTED_VALUE"""),"fb")</f>
        <v>fb</v>
      </c>
      <c r="D337" s="122"/>
      <c r="E337" s="122" t="str">
        <f>IFERROR(__xludf.DUMMYFUNCTION("""COMPUTED_VALUE"""),"105,1k")</f>
        <v>105,1k</v>
      </c>
      <c r="F337" s="122" t="str">
        <f>IFERROR(__xludf.DUMMYFUNCTION("""COMPUTED_VALUE"""),"Trần Văn Hải")</f>
        <v>Trần Văn Hải</v>
      </c>
      <c r="G337" s="122" t="str">
        <f>IFERROR(__xludf.DUMMYFUNCTION("""COMPUTED_VALUE"""),"13/6/1987")</f>
        <v>13/6/1987</v>
      </c>
      <c r="H337" s="122">
        <f>IFERROR(__xludf.DUMMYFUNCTION("""COMPUTED_VALUE"""),1.51563689E8)</f>
        <v>151563689</v>
      </c>
      <c r="I337" s="122" t="str">
        <f>IFERROR(__xludf.DUMMYFUNCTION("""COMPUTED_VALUE"""),"0981269456")</f>
        <v>0981269456</v>
      </c>
      <c r="J337" s="122" t="str">
        <f>IFERROR(__xludf.DUMMYFUNCTION("""COMPUTED_VALUE"""),"junebaby136@gmail.com")</f>
        <v>junebaby136@gmail.com</v>
      </c>
      <c r="K337" s="122">
        <f>IFERROR(__xludf.DUMMYFUNCTION("""COMPUTED_VALUE"""),1.9033718846011E13)</f>
        <v>19033718846011</v>
      </c>
      <c r="L337" s="122" t="str">
        <f>IFERROR(__xludf.DUMMYFUNCTION("""COMPUTED_VALUE"""),"Pham Thi Thanh Nga")</f>
        <v>Pham Thi Thanh Nga</v>
      </c>
      <c r="M337" s="122" t="str">
        <f>IFERROR(__xludf.DUMMYFUNCTION("""COMPUTED_VALUE"""),"Techcombank CN ĐÔng ĐÔ")</f>
        <v>Techcombank CN ĐÔng ĐÔ</v>
      </c>
      <c r="N337" s="122" t="str">
        <f>IFERROR(__xludf.DUMMYFUNCTION("""COMPUTED_VALUE"""),"Số 13, ngõ 246/38 Phương Canh, Nam Từ Liêm, Hà Nội")</f>
        <v>Số 13, ngõ 246/38 Phương Canh, Nam Từ Liêm, Hà Nội</v>
      </c>
      <c r="O337" s="122"/>
      <c r="P337" s="123" t="str">
        <f>IFERROR(__xludf.DUMMYFUNCTION("""COMPUTED_VALUE"""),"Hoa ")</f>
        <v>Hoa </v>
      </c>
      <c r="Q337" s="122"/>
      <c r="R337" s="122" t="str">
        <f>IFERROR(__xludf.DUMMYFUNCTION("""COMPUTED_VALUE"""),"INFHAI456")</f>
        <v>INFHAI456</v>
      </c>
      <c r="S337" s="124" t="str">
        <f>IFERROR(__xludf.DUMMYFUNCTION("""COMPUTED_VALUE"""),"http://yody.vn?affcode=INFHAI456")</f>
        <v>http://yody.vn?affcode=INFHAI456</v>
      </c>
    </row>
    <row r="338">
      <c r="A338" s="122" t="str">
        <f>IFERROR(__xludf.DUMMYFUNCTION("""COMPUTED_VALUE"""),"INFPHUC334")</f>
        <v>INFPHUC334</v>
      </c>
      <c r="B338" s="122" t="str">
        <f>IFERROR(__xludf.DUMMYFUNCTION("""COMPUTED_VALUE"""),"Tâm Phúc")</f>
        <v>Tâm Phúc</v>
      </c>
      <c r="C338" s="124" t="str">
        <f>IFERROR(__xludf.DUMMYFUNCTION("""COMPUTED_VALUE"""),"fb")</f>
        <v>fb</v>
      </c>
      <c r="D338" s="122"/>
      <c r="E338" s="122"/>
      <c r="F338" s="122" t="str">
        <f>IFERROR(__xludf.DUMMYFUNCTION("""COMPUTED_VALUE"""),"Phạm Tâm Phúc")</f>
        <v>Phạm Tâm Phúc</v>
      </c>
      <c r="G338" s="122" t="str">
        <f>IFERROR(__xludf.DUMMYFUNCTION("""COMPUTED_VALUE"""),"20/9/1999")</f>
        <v>20/9/1999</v>
      </c>
      <c r="H338" s="122" t="str">
        <f>IFERROR(__xludf.DUMMYFUNCTION("""COMPUTED_VALUE"""),"092099005052")</f>
        <v>092099005052</v>
      </c>
      <c r="I338" s="122" t="str">
        <f>IFERROR(__xludf.DUMMYFUNCTION("""COMPUTED_VALUE"""),"0939684604")</f>
        <v>0939684604</v>
      </c>
      <c r="J338" s="122" t="str">
        <f>IFERROR(__xludf.DUMMYFUNCTION("""COMPUTED_VALUE"""),"phamtamphuc0@gmail.com")</f>
        <v>phamtamphuc0@gmail.com</v>
      </c>
      <c r="K338" s="122">
        <f>IFERROR(__xludf.DUMMYFUNCTION("""COMPUTED_VALUE"""),2.13594753E8)</f>
        <v>213594753</v>
      </c>
      <c r="L338" s="122" t="str">
        <f>IFERROR(__xludf.DUMMYFUNCTION("""COMPUTED_VALUE"""),"Pham Tam Phuc")</f>
        <v>Pham Tam Phuc</v>
      </c>
      <c r="M338" s="122" t="str">
        <f>IFERROR(__xludf.DUMMYFUNCTION("""COMPUTED_VALUE"""),"VP Bank Cần Thơ")</f>
        <v>VP Bank Cần Thơ</v>
      </c>
      <c r="N338" s="122" t="str">
        <f>IFERROR(__xludf.DUMMYFUNCTION("""COMPUTED_VALUE"""),"71 Nguyễn Bình Cái- Khế Ninh Kiểu, Cần Thơ")</f>
        <v>71 Nguyễn Bình Cái- Khế Ninh Kiểu, Cần Thơ</v>
      </c>
      <c r="O338" s="122"/>
      <c r="P338" s="123" t="str">
        <f>IFERROR(__xludf.DUMMYFUNCTION("""COMPUTED_VALUE"""),"Hoa")</f>
        <v>Hoa</v>
      </c>
      <c r="Q338" s="122"/>
      <c r="R338" s="122" t="str">
        <f>IFERROR(__xludf.DUMMYFUNCTION("""COMPUTED_VALUE"""),"INFPHUC334")</f>
        <v>INFPHUC334</v>
      </c>
      <c r="S338" s="124" t="str">
        <f>IFERROR(__xludf.DUMMYFUNCTION("""COMPUTED_VALUE"""),"http://yody.vn?affcode=INFPHUC334")</f>
        <v>http://yody.vn?affcode=INFPHUC334</v>
      </c>
    </row>
    <row r="339">
      <c r="A339" s="122" t="str">
        <f>IFERROR(__xludf.DUMMYFUNCTION("""COMPUTED_VALUE"""),"INFTHUY992")</f>
        <v>INFTHUY992</v>
      </c>
      <c r="B339" s="122" t="str">
        <f>IFERROR(__xludf.DUMMYFUNCTION("""COMPUTED_VALUE"""),"Vũ Thị Thuỳ")</f>
        <v>Vũ Thị Thuỳ</v>
      </c>
      <c r="C339" s="124" t="str">
        <f>IFERROR(__xludf.DUMMYFUNCTION("""COMPUTED_VALUE"""),"fb")</f>
        <v>fb</v>
      </c>
      <c r="D339" s="122"/>
      <c r="E339" s="122">
        <f>IFERROR(__xludf.DUMMYFUNCTION("""COMPUTED_VALUE"""),159000.0)</f>
        <v>159000</v>
      </c>
      <c r="F339" s="122" t="str">
        <f>IFERROR(__xludf.DUMMYFUNCTION("""COMPUTED_VALUE"""),"Vũ Thị Thuỳ")</f>
        <v>Vũ Thị Thuỳ</v>
      </c>
      <c r="G339" s="122" t="str">
        <f>IFERROR(__xludf.DUMMYFUNCTION("""COMPUTED_VALUE"""),"13/11/1993")</f>
        <v>13/11/1993</v>
      </c>
      <c r="H339" s="122">
        <f>IFERROR(__xludf.DUMMYFUNCTION("""COMPUTED_VALUE"""),1.7165505E7)</f>
        <v>17165505</v>
      </c>
      <c r="I339" s="122" t="str">
        <f>IFERROR(__xludf.DUMMYFUNCTION("""COMPUTED_VALUE"""),"0366779992")</f>
        <v>0366779992</v>
      </c>
      <c r="J339" s="122" t="str">
        <f>IFERROR(__xludf.DUMMYFUNCTION("""COMPUTED_VALUE"""),"vuthithuy131193@gmail.com")</f>
        <v>vuthithuy131193@gmail.com</v>
      </c>
      <c r="K339" s="122" t="str">
        <f>IFERROR(__xludf.DUMMYFUNCTION("""COMPUTED_VALUE"""),"0691000318542 ")</f>
        <v>0691000318542 </v>
      </c>
      <c r="L339" s="122" t="str">
        <f>IFERROR(__xludf.DUMMYFUNCTION("""COMPUTED_VALUE"""),"Vũ Thị Thuỳ - ")</f>
        <v>Vũ Thị Thuỳ - </v>
      </c>
      <c r="M339" s="122" t="str">
        <f>IFERROR(__xludf.DUMMYFUNCTION("""COMPUTED_VALUE"""),"vietcombank")</f>
        <v>vietcombank</v>
      </c>
      <c r="N339" s="122" t="str">
        <f>IFERROR(__xludf.DUMMYFUNCTION("""COMPUTED_VALUE"""),"Khu dân cư 6 Vĩnh Xương trung - Mỹ Thành - Mỹ Đức - Hà Nội")</f>
        <v>Khu dân cư 6 Vĩnh Xương trung - Mỹ Thành - Mỹ Đức - Hà Nội</v>
      </c>
      <c r="O339" s="122"/>
      <c r="P339" s="123" t="str">
        <f>IFERROR(__xludf.DUMMYFUNCTION("""COMPUTED_VALUE"""),"Mến")</f>
        <v>Mến</v>
      </c>
      <c r="Q339" s="122"/>
      <c r="R339" s="122" t="str">
        <f>IFERROR(__xludf.DUMMYFUNCTION("""COMPUTED_VALUE"""),"INFTHUY992")</f>
        <v>INFTHUY992</v>
      </c>
      <c r="S339" s="124" t="str">
        <f>IFERROR(__xludf.DUMMYFUNCTION("""COMPUTED_VALUE"""),"https://yody.vn/?affcode=INFTHUY992")</f>
        <v>https://yody.vn/?affcode=INFTHUY992</v>
      </c>
    </row>
    <row r="340">
      <c r="A340" s="122" t="str">
        <f>IFERROR(__xludf.DUMMYFUNCTION("""COMPUTED_VALUE"""),"INFQUYNH363")</f>
        <v>INFQUYNH363</v>
      </c>
      <c r="B340" s="122" t="str">
        <f>IFERROR(__xludf.DUMMYFUNCTION("""COMPUTED_VALUE"""),"Nguyễn Bảo Ngọc Xuân Quỳnh")</f>
        <v>Nguyễn Bảo Ngọc Xuân Quỳnh</v>
      </c>
      <c r="C340" s="124" t="str">
        <f>IFERROR(__xludf.DUMMYFUNCTION("""COMPUTED_VALUE"""),"fb")</f>
        <v>fb</v>
      </c>
      <c r="D340" s="122"/>
      <c r="E340" s="122">
        <f>IFERROR(__xludf.DUMMYFUNCTION("""COMPUTED_VALUE"""),120000.0)</f>
        <v>120000</v>
      </c>
      <c r="F340" s="122" t="str">
        <f>IFERROR(__xludf.DUMMYFUNCTION("""COMPUTED_VALUE"""),"Nguyễn Bảo Ngọc Xuân Quỳnh")</f>
        <v>Nguyễn Bảo Ngọc Xuân Quỳnh</v>
      </c>
      <c r="G340" s="126">
        <f>IFERROR(__xludf.DUMMYFUNCTION("""COMPUTED_VALUE"""),36039.0)</f>
        <v>36039</v>
      </c>
      <c r="H340" s="122">
        <f>IFERROR(__xludf.DUMMYFUNCTION("""COMPUTED_VALUE"""),2.81218086E8)</f>
        <v>281218086</v>
      </c>
      <c r="I340" s="122" t="str">
        <f>IFERROR(__xludf.DUMMYFUNCTION("""COMPUTED_VALUE"""),"0356316363")</f>
        <v>0356316363</v>
      </c>
      <c r="J340" s="122" t="str">
        <f>IFERROR(__xludf.DUMMYFUNCTION("""COMPUTED_VALUE"""),"ngquynh.998@gmail.com")</f>
        <v>ngquynh.998@gmail.com</v>
      </c>
      <c r="K340" s="122">
        <f>IFERROR(__xludf.DUMMYFUNCTION("""COMPUTED_VALUE"""),3.939234569999E12)</f>
        <v>3939234569999</v>
      </c>
      <c r="L340" s="122" t="str">
        <f>IFERROR(__xludf.DUMMYFUNCTION("""COMPUTED_VALUE"""),"Nguyễn Bảo Ngọc Xuân Quỳnh")</f>
        <v>Nguyễn Bảo Ngọc Xuân Quỳnh</v>
      </c>
      <c r="M340" s="122" t="str">
        <f>IFERROR(__xludf.DUMMYFUNCTION("""COMPUTED_VALUE""")," MBBANK ")</f>
        <v> MBBANK </v>
      </c>
      <c r="N340" s="122"/>
      <c r="O340" s="122"/>
      <c r="P340" s="123" t="str">
        <f>IFERROR(__xludf.DUMMYFUNCTION("""COMPUTED_VALUE"""),"Mến")</f>
        <v>Mến</v>
      </c>
      <c r="Q340" s="122"/>
      <c r="R340" s="122" t="str">
        <f>IFERROR(__xludf.DUMMYFUNCTION("""COMPUTED_VALUE"""),"INFQUYNH363")</f>
        <v>INFQUYNH363</v>
      </c>
      <c r="S340" s="124" t="str">
        <f>IFERROR(__xludf.DUMMYFUNCTION("""COMPUTED_VALUE"""),"https://yody.vn/?affcode=INFQUYNH363")</f>
        <v>https://yody.vn/?affcode=INFQUYNH363</v>
      </c>
    </row>
    <row r="341">
      <c r="A341" s="122" t="str">
        <f>IFERROR(__xludf.DUMMYFUNCTION("""COMPUTED_VALUE"""),"INFPHUONG957")</f>
        <v>INFPHUONG957</v>
      </c>
      <c r="B341" s="122" t="str">
        <f>IFERROR(__xludf.DUMMYFUNCTION("""COMPUTED_VALUE"""),"Hà Lê Bích Phượng")</f>
        <v>Hà Lê Bích Phượng</v>
      </c>
      <c r="C341" s="124" t="str">
        <f>IFERROR(__xludf.DUMMYFUNCTION("""COMPUTED_VALUE"""),"fb")</f>
        <v>fb</v>
      </c>
      <c r="D341" s="122"/>
      <c r="E341" s="122">
        <f>IFERROR(__xludf.DUMMYFUNCTION("""COMPUTED_VALUE"""),52300.0)</f>
        <v>52300</v>
      </c>
      <c r="F341" s="122" t="str">
        <f>IFERROR(__xludf.DUMMYFUNCTION("""COMPUTED_VALUE"""),"Hà Lê Bích Phượng")</f>
        <v>Hà Lê Bích Phượng</v>
      </c>
      <c r="G341" s="122" t="str">
        <f>IFERROR(__xludf.DUMMYFUNCTION("""COMPUTED_VALUE"""),"30-04-2000")</f>
        <v>30-04-2000</v>
      </c>
      <c r="H341" s="122">
        <f>IFERROR(__xludf.DUMMYFUNCTION("""COMPUTED_VALUE"""),2.01832821E8)</f>
        <v>201832821</v>
      </c>
      <c r="I341" s="122" t="str">
        <f>IFERROR(__xludf.DUMMYFUNCTION("""COMPUTED_VALUE"""),"0915002957")</f>
        <v>0915002957</v>
      </c>
      <c r="J341" s="122" t="str">
        <f>IFERROR(__xludf.DUMMYFUNCTION("""COMPUTED_VALUE"""),"halebichphuong3000@gmail.com")</f>
        <v>halebichphuong3000@gmail.com</v>
      </c>
      <c r="K341" s="122" t="str">
        <f>IFERROR(__xludf.DUMMYFUNCTION("""COMPUTED_VALUE"""),"040101567951")</f>
        <v>040101567951</v>
      </c>
      <c r="L341" s="122" t="str">
        <f>IFERROR(__xludf.DUMMYFUNCTION("""COMPUTED_VALUE"""),"Ha Le Bich Phuong")</f>
        <v>Ha Le Bich Phuong</v>
      </c>
      <c r="M341" s="122" t="str">
        <f>IFERROR(__xludf.DUMMYFUNCTION("""COMPUTED_VALUE"""),"Sacombank")</f>
        <v>Sacombank</v>
      </c>
      <c r="N341" s="122" t="str">
        <f>IFERROR(__xludf.DUMMYFUNCTION("""COMPUTED_VALUE"""),"Hoà Liên 5, xã Hoà Liên, huyện Hoà Vang, thành phố Đà Nẵng")</f>
        <v>Hoà Liên 5, xã Hoà Liên, huyện Hoà Vang, thành phố Đà Nẵng</v>
      </c>
      <c r="O341" s="122"/>
      <c r="P341" s="123" t="str">
        <f>IFERROR(__xludf.DUMMYFUNCTION("""COMPUTED_VALUE"""),"Mến")</f>
        <v>Mến</v>
      </c>
      <c r="Q341" s="122"/>
      <c r="R341" s="122" t="str">
        <f>IFERROR(__xludf.DUMMYFUNCTION("""COMPUTED_VALUE"""),"INFPHUONG957")</f>
        <v>INFPHUONG957</v>
      </c>
      <c r="S341" s="124" t="str">
        <f>IFERROR(__xludf.DUMMYFUNCTION("""COMPUTED_VALUE"""),"https://yody.vn/?affcode=INFPHUONG957")</f>
        <v>https://yody.vn/?affcode=INFPHUONG957</v>
      </c>
    </row>
    <row r="342">
      <c r="A342" s="122" t="str">
        <f>IFERROR(__xludf.DUMMYFUNCTION("""COMPUTED_VALUE"""),"INFKIEU032")</f>
        <v>INFKIEU032</v>
      </c>
      <c r="B342" s="122" t="str">
        <f>IFERROR(__xludf.DUMMYFUNCTION("""COMPUTED_VALUE"""),"Lương Mỹ Kiều")</f>
        <v>Lương Mỹ Kiều</v>
      </c>
      <c r="C342" s="124" t="str">
        <f>IFERROR(__xludf.DUMMYFUNCTION("""COMPUTED_VALUE"""),"fb")</f>
        <v>fb</v>
      </c>
      <c r="D342" s="122"/>
      <c r="E342" s="122">
        <f>IFERROR(__xludf.DUMMYFUNCTION("""COMPUTED_VALUE"""),103000.0)</f>
        <v>103000</v>
      </c>
      <c r="F342" s="122" t="str">
        <f>IFERROR(__xludf.DUMMYFUNCTION("""COMPUTED_VALUE"""),"Lương Mỹ Kiều")</f>
        <v>Lương Mỹ Kiều</v>
      </c>
      <c r="G342" s="126">
        <f>IFERROR(__xludf.DUMMYFUNCTION("""COMPUTED_VALUE"""),36810.0)</f>
        <v>36810</v>
      </c>
      <c r="H342" s="122">
        <f>IFERROR(__xludf.DUMMYFUNCTION("""COMPUTED_VALUE"""),3.52516452E8)</f>
        <v>352516452</v>
      </c>
      <c r="I342" s="122" t="str">
        <f>IFERROR(__xludf.DUMMYFUNCTION("""COMPUTED_VALUE"""),"0372240032")</f>
        <v>0372240032</v>
      </c>
      <c r="J342" s="122" t="str">
        <f>IFERROR(__xludf.DUMMYFUNCTION("""COMPUTED_VALUE"""),"mykieu2000ag@gmail.com")</f>
        <v>mykieu2000ag@gmail.com</v>
      </c>
      <c r="K342" s="122">
        <f>IFERROR(__xludf.DUMMYFUNCTION("""COMPUTED_VALUE"""),4.71000341992E11)</f>
        <v>471000341992</v>
      </c>
      <c r="L342" s="122"/>
      <c r="M342" s="122" t="str">
        <f>IFERROR(__xludf.DUMMYFUNCTION("""COMPUTED_VALUE"""),"Vietcombank ")</f>
        <v>Vietcombank </v>
      </c>
      <c r="N342" s="122" t="str">
        <f>IFERROR(__xludf.DUMMYFUNCTION("""COMPUTED_VALUE"""),"Tổ 20 ấp Mỹ Phú xã Vĩnh Châu Tp Châu Đốc T An Giang ")</f>
        <v>Tổ 20 ấp Mỹ Phú xã Vĩnh Châu Tp Châu Đốc T An Giang </v>
      </c>
      <c r="O342" s="122"/>
      <c r="P342" s="123" t="str">
        <f>IFERROR(__xludf.DUMMYFUNCTION("""COMPUTED_VALUE"""),"Mến")</f>
        <v>Mến</v>
      </c>
      <c r="Q342" s="122"/>
      <c r="R342" s="122" t="str">
        <f>IFERROR(__xludf.DUMMYFUNCTION("""COMPUTED_VALUE"""),"INFKIEU032")</f>
        <v>INFKIEU032</v>
      </c>
      <c r="S342" s="124" t="str">
        <f>IFERROR(__xludf.DUMMYFUNCTION("""COMPUTED_VALUE"""),"https://yody.vn/?affcode=INFKIEU032")</f>
        <v>https://yody.vn/?affcode=INFKIEU032</v>
      </c>
    </row>
    <row r="343">
      <c r="A343" s="122" t="str">
        <f>IFERROR(__xludf.DUMMYFUNCTION("""COMPUTED_VALUE"""),"INFPHAT412")</f>
        <v>INFPHAT412</v>
      </c>
      <c r="B343" s="122" t="str">
        <f>IFERROR(__xludf.DUMMYFUNCTION("""COMPUTED_VALUE"""),"Phạm Thị Đa Phát")</f>
        <v>Phạm Thị Đa Phát</v>
      </c>
      <c r="C343" s="124" t="str">
        <f>IFERROR(__xludf.DUMMYFUNCTION("""COMPUTED_VALUE"""),"fb")</f>
        <v>fb</v>
      </c>
      <c r="D343" s="122"/>
      <c r="E343" s="122">
        <f>IFERROR(__xludf.DUMMYFUNCTION("""COMPUTED_VALUE"""),218500.0)</f>
        <v>218500</v>
      </c>
      <c r="F343" s="122" t="str">
        <f>IFERROR(__xludf.DUMMYFUNCTION("""COMPUTED_VALUE"""),"Phạm Thị Đa Phát")</f>
        <v>Phạm Thị Đa Phát</v>
      </c>
      <c r="G343" s="122" t="str">
        <f>IFERROR(__xludf.DUMMYFUNCTION("""COMPUTED_VALUE"""),"14/10/1991")</f>
        <v>14/10/1991</v>
      </c>
      <c r="H343" s="122" t="str">
        <f>IFERROR(__xludf.DUMMYFUNCTION("""COMPUTED_VALUE"""),"025234344")</f>
        <v>025234344</v>
      </c>
      <c r="I343" s="122" t="str">
        <f>IFERROR(__xludf.DUMMYFUNCTION("""COMPUTED_VALUE"""),"0702545412")</f>
        <v>0702545412</v>
      </c>
      <c r="J343" s="122" t="str">
        <f>IFERROR(__xludf.DUMMYFUNCTION("""COMPUTED_VALUE"""),"thanhvan04072014@gmail.com")</f>
        <v>thanhvan04072014@gmail.com</v>
      </c>
      <c r="K343" s="122">
        <f>IFERROR(__xludf.DUMMYFUNCTION("""COMPUTED_VALUE"""),1.9035920051013E13)</f>
        <v>19035920051013</v>
      </c>
      <c r="L343" s="122"/>
      <c r="M343" s="122" t="str">
        <f>IFERROR(__xludf.DUMMYFUNCTION("""COMPUTED_VALUE"""),"Techcombank)")</f>
        <v>Techcombank)</v>
      </c>
      <c r="N343" s="122"/>
      <c r="O343" s="122"/>
      <c r="P343" s="123" t="str">
        <f>IFERROR(__xludf.DUMMYFUNCTION("""COMPUTED_VALUE"""),"Mến")</f>
        <v>Mến</v>
      </c>
      <c r="Q343" s="122"/>
      <c r="R343" s="122" t="str">
        <f>IFERROR(__xludf.DUMMYFUNCTION("""COMPUTED_VALUE"""),"INFPHAT412")</f>
        <v>INFPHAT412</v>
      </c>
      <c r="S343" s="124" t="str">
        <f>IFERROR(__xludf.DUMMYFUNCTION("""COMPUTED_VALUE"""),"https://yody.vn/?affcode=INFPHAT412")</f>
        <v>https://yody.vn/?affcode=INFPHAT412</v>
      </c>
    </row>
    <row r="344">
      <c r="A344" s="122" t="str">
        <f>IFERROR(__xludf.DUMMYFUNCTION("""COMPUTED_VALUE"""),"INFTHAO121")</f>
        <v>INFTHAO121</v>
      </c>
      <c r="B344" s="122" t="str">
        <f>IFERROR(__xludf.DUMMYFUNCTION("""COMPUTED_VALUE"""),"Thảo Phương Trần")</f>
        <v>Thảo Phương Trần</v>
      </c>
      <c r="C344" s="124" t="str">
        <f>IFERROR(__xludf.DUMMYFUNCTION("""COMPUTED_VALUE"""),"fb")</f>
        <v>fb</v>
      </c>
      <c r="D344" s="122"/>
      <c r="E344" s="122">
        <f>IFERROR(__xludf.DUMMYFUNCTION("""COMPUTED_VALUE"""),108000.0)</f>
        <v>108000</v>
      </c>
      <c r="F344" s="122" t="str">
        <f>IFERROR(__xludf.DUMMYFUNCTION("""COMPUTED_VALUE"""),"Thảo Phương Trần")</f>
        <v>Thảo Phương Trần</v>
      </c>
      <c r="G344" s="122" t="str">
        <f>IFERROR(__xludf.DUMMYFUNCTION("""COMPUTED_VALUE"""),"21/2/1995")</f>
        <v>21/2/1995</v>
      </c>
      <c r="H344" s="122" t="str">
        <f>IFERROR(__xludf.DUMMYFUNCTION("""COMPUTED_VALUE"""),"013150121")</f>
        <v>013150121</v>
      </c>
      <c r="I344" s="122" t="str">
        <f>IFERROR(__xludf.DUMMYFUNCTION("""COMPUTED_VALUE"""),"0965319095
")</f>
        <v>0965319095
</v>
      </c>
      <c r="J344" s="122" t="str">
        <f>IFERROR(__xludf.DUMMYFUNCTION("""COMPUTED_VALUE"""),"nguyenthisuong2211988@gmail.com")</f>
        <v>nguyenthisuong2211988@gmail.com</v>
      </c>
      <c r="K344" s="122">
        <f>IFERROR(__xludf.DUMMYFUNCTION("""COMPUTED_VALUE"""),3.550125558888E12)</f>
        <v>3550125558888</v>
      </c>
      <c r="L344" s="122" t="str">
        <f>IFERROR(__xludf.DUMMYFUNCTION("""COMPUTED_VALUE"""),"Ngô Huy Tùng")</f>
        <v>Ngô Huy Tùng</v>
      </c>
      <c r="M344" s="122" t="str">
        <f>IFERROR(__xludf.DUMMYFUNCTION("""COMPUTED_VALUE"""),"MB bank")</f>
        <v>MB bank</v>
      </c>
      <c r="N344" s="122" t="str">
        <f>IFERROR(__xludf.DUMMYFUNCTION("""COMPUTED_VALUE"""),"Thảo - 105a4 mai động- hoàng mai - hà nội ")</f>
        <v>Thảo - 105a4 mai động- hoàng mai - hà nội </v>
      </c>
      <c r="O344" s="122"/>
      <c r="P344" s="123" t="str">
        <f>IFERROR(__xludf.DUMMYFUNCTION("""COMPUTED_VALUE"""),"Mến")</f>
        <v>Mến</v>
      </c>
      <c r="Q344" s="122"/>
      <c r="R344" s="122" t="str">
        <f>IFERROR(__xludf.DUMMYFUNCTION("""COMPUTED_VALUE"""),"INFTHAO121")</f>
        <v>INFTHAO121</v>
      </c>
      <c r="S344" s="124" t="str">
        <f>IFERROR(__xludf.DUMMYFUNCTION("""COMPUTED_VALUE"""),"https://yody.vn/?affcode=INFTHAO121")</f>
        <v>https://yody.vn/?affcode=INFTHAO121</v>
      </c>
    </row>
    <row r="345">
      <c r="A345" s="122" t="str">
        <f>IFERROR(__xludf.DUMMYFUNCTION("""COMPUTED_VALUE"""),"INFNGA668")</f>
        <v>INFNGA668</v>
      </c>
      <c r="B345" s="122" t="str">
        <f>IFERROR(__xludf.DUMMYFUNCTION("""COMPUTED_VALUE"""),"Nguyễn Quỳnh Nga")</f>
        <v>Nguyễn Quỳnh Nga</v>
      </c>
      <c r="C345" s="124" t="str">
        <f>IFERROR(__xludf.DUMMYFUNCTION("""COMPUTED_VALUE"""),"fb")</f>
        <v>fb</v>
      </c>
      <c r="D345" s="122"/>
      <c r="E345" s="122">
        <f>IFERROR(__xludf.DUMMYFUNCTION("""COMPUTED_VALUE"""),215171.0)</f>
        <v>215171</v>
      </c>
      <c r="F345" s="122" t="str">
        <f>IFERROR(__xludf.DUMMYFUNCTION("""COMPUTED_VALUE"""),"Nguyễn Quỳnh Nga")</f>
        <v>Nguyễn Quỳnh Nga</v>
      </c>
      <c r="G345" s="122" t="str">
        <f>IFERROR(__xludf.DUMMYFUNCTION("""COMPUTED_VALUE"""),"30/05/1995")</f>
        <v>30/05/1995</v>
      </c>
      <c r="H345" s="122" t="str">
        <f>IFERROR(__xludf.DUMMYFUNCTION("""COMPUTED_VALUE"""),"001195007304")</f>
        <v>001195007304</v>
      </c>
      <c r="I345" s="122" t="str">
        <f>IFERROR(__xludf.DUMMYFUNCTION("""COMPUTED_VALUE"""),"0398850668")</f>
        <v>0398850668</v>
      </c>
      <c r="J345" s="122" t="str">
        <f>IFERROR(__xludf.DUMMYFUNCTION("""COMPUTED_VALUE"""),"quynhnga9590@gmail.com")</f>
        <v>quynhnga9590@gmail.com</v>
      </c>
      <c r="K345" s="122">
        <f>IFERROR(__xludf.DUMMYFUNCTION("""COMPUTED_VALUE"""),1.9032362618886E13)</f>
        <v>19032362618886</v>
      </c>
      <c r="L345" s="122"/>
      <c r="M345" s="122" t="str">
        <f>IFERROR(__xludf.DUMMYFUNCTION("""COMPUTED_VALUE"""),"Techcombank ")</f>
        <v>Techcombank </v>
      </c>
      <c r="N345" s="122" t="str">
        <f>IFERROR(__xludf.DUMMYFUNCTION("""COMPUTED_VALUE"""),"Số 45. Ngõ 29. Phố Trạm. Long Biên. Hà Nội")</f>
        <v>Số 45. Ngõ 29. Phố Trạm. Long Biên. Hà Nội</v>
      </c>
      <c r="O345" s="122"/>
      <c r="P345" s="123" t="str">
        <f>IFERROR(__xludf.DUMMYFUNCTION("""COMPUTED_VALUE"""),"Mến")</f>
        <v>Mến</v>
      </c>
      <c r="Q345" s="122"/>
      <c r="R345" s="122" t="str">
        <f>IFERROR(__xludf.DUMMYFUNCTION("""COMPUTED_VALUE"""),"INFNGA668")</f>
        <v>INFNGA668</v>
      </c>
      <c r="S345" s="124" t="str">
        <f>IFERROR(__xludf.DUMMYFUNCTION("""COMPUTED_VALUE"""),"https://yody.vn/?affcode=INFNGA668")</f>
        <v>https://yody.vn/?affcode=INFNGA668</v>
      </c>
    </row>
    <row r="346">
      <c r="A346" s="122" t="str">
        <f>IFERROR(__xludf.DUMMYFUNCTION("""COMPUTED_VALUE"""),"INFVAN426")</f>
        <v>INFVAN426</v>
      </c>
      <c r="B346" s="122" t="str">
        <f>IFERROR(__xludf.DUMMYFUNCTION("""COMPUTED_VALUE"""),"Ngô Hạ Văn")</f>
        <v>Ngô Hạ Văn</v>
      </c>
      <c r="C346" s="124" t="str">
        <f>IFERROR(__xludf.DUMMYFUNCTION("""COMPUTED_VALUE"""),"tiktok")</f>
        <v>tiktok</v>
      </c>
      <c r="D346" s="122"/>
      <c r="E346" s="122" t="str">
        <f>IFERROR(__xludf.DUMMYFUNCTION("""COMPUTED_VALUE"""),"411,2k")</f>
        <v>411,2k</v>
      </c>
      <c r="F346" s="122" t="str">
        <f>IFERROR(__xludf.DUMMYFUNCTION("""COMPUTED_VALUE"""),"Ngô Hạ Văn")</f>
        <v>Ngô Hạ Văn</v>
      </c>
      <c r="G346" s="125">
        <f>IFERROR(__xludf.DUMMYFUNCTION("""COMPUTED_VALUE"""),36198.0)</f>
        <v>36198</v>
      </c>
      <c r="H346" s="122" t="str">
        <f>IFERROR(__xludf.DUMMYFUNCTION("""COMPUTED_VALUE"""),"031099006962")</f>
        <v>031099006962</v>
      </c>
      <c r="I346" s="122" t="str">
        <f>IFERROR(__xludf.DUMMYFUNCTION("""COMPUTED_VALUE"""),"0389679426")</f>
        <v>0389679426</v>
      </c>
      <c r="J346" s="122" t="str">
        <f>IFERROR(__xludf.DUMMYFUNCTION("""COMPUTED_VALUE"""),"Ngohavan279@gmail.com")</f>
        <v>Ngohavan279@gmail.com</v>
      </c>
      <c r="K346" s="122" t="str">
        <f>IFERROR(__xludf.DUMMYFUNCTION("""COMPUTED_VALUE"""),"9910102071999")</f>
        <v>9910102071999</v>
      </c>
      <c r="L346" s="122" t="str">
        <f>IFERROR(__xludf.DUMMYFUNCTION("""COMPUTED_VALUE"""),"ngo ha van")</f>
        <v>ngo ha van</v>
      </c>
      <c r="M346" s="122" t="str">
        <f>IFERROR(__xludf.DUMMYFUNCTION("""COMPUTED_VALUE"""),"MB Bank")</f>
        <v>MB Bank</v>
      </c>
      <c r="N346" s="122" t="str">
        <f>IFERROR(__xludf.DUMMYFUNCTION("""COMPUTED_VALUE"""),"10 ngõ 122 vĩnh tuy - hai bà trưng - HN")</f>
        <v>10 ngõ 122 vĩnh tuy - hai bà trưng - HN</v>
      </c>
      <c r="O346" s="122"/>
      <c r="P346" s="123" t="str">
        <f>IFERROR(__xludf.DUMMYFUNCTION("""COMPUTED_VALUE"""),"Hoa")</f>
        <v>Hoa</v>
      </c>
      <c r="Q346" s="122"/>
      <c r="R346" s="122" t="str">
        <f>IFERROR(__xludf.DUMMYFUNCTION("""COMPUTED_VALUE"""),"INFVAN426")</f>
        <v>INFVAN426</v>
      </c>
      <c r="S346" s="124" t="str">
        <f>IFERROR(__xludf.DUMMYFUNCTION("""COMPUTED_VALUE"""),"http://yody.vn?affcode=INFVAN426")</f>
        <v>http://yody.vn?affcode=INFVAN426</v>
      </c>
    </row>
    <row r="347">
      <c r="A347" s="122" t="str">
        <f>IFERROR(__xludf.DUMMYFUNCTION("""COMPUTED_VALUE"""),"INFTHU402")</f>
        <v>INFTHU402</v>
      </c>
      <c r="B347" s="122" t="str">
        <f>IFERROR(__xludf.DUMMYFUNCTION("""COMPUTED_VALUE"""),"Nguyễn Trung Thu")</f>
        <v>Nguyễn Trung Thu</v>
      </c>
      <c r="C347" s="124" t="str">
        <f>IFERROR(__xludf.DUMMYFUNCTION("""COMPUTED_VALUE"""),"fb")</f>
        <v>fb</v>
      </c>
      <c r="D347" s="122"/>
      <c r="E347" s="122" t="str">
        <f>IFERROR(__xludf.DUMMYFUNCTION("""COMPUTED_VALUE"""),"117,8k")</f>
        <v>117,8k</v>
      </c>
      <c r="F347" s="122" t="str">
        <f>IFERROR(__xludf.DUMMYFUNCTION("""COMPUTED_VALUE"""),"Nguyễn Trung Thu")</f>
        <v>Nguyễn Trung Thu</v>
      </c>
      <c r="G347" s="134">
        <f>IFERROR(__xludf.DUMMYFUNCTION("""COMPUTED_VALUE"""),33219.0)</f>
        <v>33219</v>
      </c>
      <c r="H347" s="122" t="str">
        <f>IFERROR(__xludf.DUMMYFUNCTION("""COMPUTED_VALUE"""),"001090015172")</f>
        <v>001090015172</v>
      </c>
      <c r="I347" s="122" t="str">
        <f>IFERROR(__xludf.DUMMYFUNCTION("""COMPUTED_VALUE"""),"0853843402")</f>
        <v>0853843402</v>
      </c>
      <c r="J347" s="122" t="str">
        <f>IFERROR(__xludf.DUMMYFUNCTION("""COMPUTED_VALUE"""),"trungthu.hoabinhland@gmail.com")</f>
        <v>trungthu.hoabinhland@gmail.com</v>
      </c>
      <c r="K347" s="122">
        <f>IFERROR(__xludf.DUMMYFUNCTION("""COMPUTED_VALUE"""),1.9029348200029E13)</f>
        <v>19029348200029</v>
      </c>
      <c r="L347" s="122" t="str">
        <f>IFERROR(__xludf.DUMMYFUNCTION("""COMPUTED_VALUE"""),"Nguyễn Trung Thu")</f>
        <v>Nguyễn Trung Thu</v>
      </c>
      <c r="M347" s="122" t="str">
        <f>IFERROR(__xludf.DUMMYFUNCTION("""COMPUTED_VALUE"""),"Techcombank Hà Nội")</f>
        <v>Techcombank Hà Nội</v>
      </c>
      <c r="N347" s="122" t="str">
        <f>IFERROR(__xludf.DUMMYFUNCTION("""COMPUTED_VALUE"""),"Số 45. Ngõ 29. Phố Trạm. Long Biên. Hà Nội")</f>
        <v>Số 45. Ngõ 29. Phố Trạm. Long Biên. Hà Nội</v>
      </c>
      <c r="O347" s="122"/>
      <c r="P347" s="123" t="str">
        <f>IFERROR(__xludf.DUMMYFUNCTION("""COMPUTED_VALUE"""),"Hoa")</f>
        <v>Hoa</v>
      </c>
      <c r="Q347" s="122"/>
      <c r="R347" s="122" t="str">
        <f>IFERROR(__xludf.DUMMYFUNCTION("""COMPUTED_VALUE"""),"INFTHU402")</f>
        <v>INFTHU402</v>
      </c>
      <c r="S347" s="124" t="str">
        <f>IFERROR(__xludf.DUMMYFUNCTION("""COMPUTED_VALUE"""),"http://yody.vn?affcode=INFTHU402")</f>
        <v>http://yody.vn?affcode=INFTHU402</v>
      </c>
    </row>
    <row r="348">
      <c r="A348" s="122" t="str">
        <f>IFERROR(__xludf.DUMMYFUNCTION("""COMPUTED_VALUE"""),"INFTAM389")</f>
        <v>INFTAM389</v>
      </c>
      <c r="B348" s="122" t="str">
        <f>IFERROR(__xludf.DUMMYFUNCTION("""COMPUTED_VALUE"""),"Đỗ Thị Tâm")</f>
        <v>Đỗ Thị Tâm</v>
      </c>
      <c r="C348" s="124" t="str">
        <f>IFERROR(__xludf.DUMMYFUNCTION("""COMPUTED_VALUE"""),"fb")</f>
        <v>fb</v>
      </c>
      <c r="D348" s="122"/>
      <c r="E348" s="122" t="str">
        <f>IFERROR(__xludf.DUMMYFUNCTION("""COMPUTED_VALUE"""),"103,8k")</f>
        <v>103,8k</v>
      </c>
      <c r="F348" s="122" t="str">
        <f>IFERROR(__xludf.DUMMYFUNCTION("""COMPUTED_VALUE"""),"Đỗ Thị Tâm")</f>
        <v>Đỗ Thị Tâm</v>
      </c>
      <c r="G348" s="134">
        <f>IFERROR(__xludf.DUMMYFUNCTION("""COMPUTED_VALUE"""),33977.0)</f>
        <v>33977</v>
      </c>
      <c r="H348" s="122">
        <f>IFERROR(__xludf.DUMMYFUNCTION("""COMPUTED_VALUE"""),1.25567769E8)</f>
        <v>125567769</v>
      </c>
      <c r="I348" s="122" t="str">
        <f>IFERROR(__xludf.DUMMYFUNCTION("""COMPUTED_VALUE"""),"0984454389")</f>
        <v>0984454389</v>
      </c>
      <c r="J348" s="122" t="str">
        <f>IFERROR(__xludf.DUMMYFUNCTION("""COMPUTED_VALUE"""),"thanhnganha296@gmail.com")</f>
        <v>thanhnganha296@gmail.com</v>
      </c>
      <c r="K348" s="122" t="str">
        <f>IFERROR(__xludf.DUMMYFUNCTION("""COMPUTED_VALUE"""),"2608205150305")</f>
        <v>2608205150305</v>
      </c>
      <c r="L348" s="122" t="str">
        <f>IFERROR(__xludf.DUMMYFUNCTION("""COMPUTED_VALUE"""),"Đỗ Thị Tâm")</f>
        <v>Đỗ Thị Tâm</v>
      </c>
      <c r="M348" s="122" t="str">
        <f>IFERROR(__xludf.DUMMYFUNCTION("""COMPUTED_VALUE"""),"Agribank")</f>
        <v>Agribank</v>
      </c>
      <c r="N348" s="122" t="str">
        <f>IFERROR(__xludf.DUMMYFUNCTION("""COMPUTED_VALUE"""),"Thuận Thành - Bắc Ninh")</f>
        <v>Thuận Thành - Bắc Ninh</v>
      </c>
      <c r="O348" s="122"/>
      <c r="P348" s="123" t="str">
        <f>IFERROR(__xludf.DUMMYFUNCTION("""COMPUTED_VALUE"""),"Hoa")</f>
        <v>Hoa</v>
      </c>
      <c r="Q348" s="122"/>
      <c r="R348" s="122" t="str">
        <f>IFERROR(__xludf.DUMMYFUNCTION("""COMPUTED_VALUE"""),"INFTAM389")</f>
        <v>INFTAM389</v>
      </c>
      <c r="S348" s="124" t="str">
        <f>IFERROR(__xludf.DUMMYFUNCTION("""COMPUTED_VALUE"""),"http://yody.vn?affcode=INFTAM389")</f>
        <v>http://yody.vn?affcode=INFTAM389</v>
      </c>
    </row>
    <row r="349">
      <c r="A349" s="122" t="str">
        <f>IFERROR(__xludf.DUMMYFUNCTION("""COMPUTED_VALUE"""),"INFLAN384")</f>
        <v>INFLAN384</v>
      </c>
      <c r="B349" s="122" t="str">
        <f>IFERROR(__xludf.DUMMYFUNCTION("""COMPUTED_VALUE"""),"
tieulannnn")</f>
        <v>
tieulannnn</v>
      </c>
      <c r="C349" s="124" t="str">
        <f>IFERROR(__xludf.DUMMYFUNCTION("""COMPUTED_VALUE"""),"tiktok")</f>
        <v>tiktok</v>
      </c>
      <c r="D349" s="122"/>
      <c r="E349" s="122" t="str">
        <f>IFERROR(__xludf.DUMMYFUNCTION("""COMPUTED_VALUE"""),"97k")</f>
        <v>97k</v>
      </c>
      <c r="F349" s="122" t="str">
        <f>IFERROR(__xludf.DUMMYFUNCTION("""COMPUTED_VALUE"""),"Nguyễn Thị Khánh Lan")</f>
        <v>Nguyễn Thị Khánh Lan</v>
      </c>
      <c r="G349" s="126">
        <f>IFERROR(__xludf.DUMMYFUNCTION("""COMPUTED_VALUE"""),36283.0)</f>
        <v>36283</v>
      </c>
      <c r="H349" s="122">
        <f>IFERROR(__xludf.DUMMYFUNCTION("""COMPUTED_VALUE"""),1.22351689E8)</f>
        <v>122351689</v>
      </c>
      <c r="I349" s="122" t="str">
        <f>IFERROR(__xludf.DUMMYFUNCTION("""COMPUTED_VALUE""")," 0392196384")</f>
        <v> 0392196384</v>
      </c>
      <c r="J349" s="122" t="str">
        <f>IFERROR(__xludf.DUMMYFUNCTION("""COMPUTED_VALUE"""),"lan.meo5399@gmail.com")</f>
        <v>lan.meo5399@gmail.com</v>
      </c>
      <c r="K349" s="122">
        <f>IFERROR(__xludf.DUMMYFUNCTION("""COMPUTED_VALUE"""),1.015943454E9)</f>
        <v>1015943454</v>
      </c>
      <c r="L349" s="122" t="str">
        <f>IFERROR(__xludf.DUMMYFUNCTION("""COMPUTED_VALUE"""),"NGUYEN THI KHANH LAN")</f>
        <v>NGUYEN THI KHANH LAN</v>
      </c>
      <c r="M349" s="122" t="str">
        <f>IFERROR(__xludf.DUMMYFUNCTION("""COMPUTED_VALUE"""),"vietcombank ")</f>
        <v>vietcombank </v>
      </c>
      <c r="N349" s="122" t="str">
        <f>IFERROR(__xludf.DUMMYFUNCTION("""COMPUTED_VALUE"""),"24 ngõ 12B Lý Nam Đế, phường Hàng Mã, quận Hoàn Kiếm , Hà Nội ")</f>
        <v>24 ngõ 12B Lý Nam Đế, phường Hàng Mã, quận Hoàn Kiếm , Hà Nội </v>
      </c>
      <c r="O349" s="122"/>
      <c r="P349" s="123" t="str">
        <f>IFERROR(__xludf.DUMMYFUNCTION("""COMPUTED_VALUE"""),"Trâm")</f>
        <v>Trâm</v>
      </c>
      <c r="Q349" s="122"/>
      <c r="R349" s="122" t="str">
        <f>IFERROR(__xludf.DUMMYFUNCTION("""COMPUTED_VALUE"""),"INFLAN384")</f>
        <v>INFLAN384</v>
      </c>
      <c r="S349" s="124" t="str">
        <f>IFERROR(__xludf.DUMMYFUNCTION("""COMPUTED_VALUE"""),"http://yody.vn?affcode=INFLAN384")</f>
        <v>http://yody.vn?affcode=INFLAN384</v>
      </c>
    </row>
    <row r="350">
      <c r="A350" s="122" t="str">
        <f>IFERROR(__xludf.DUMMYFUNCTION("""COMPUTED_VALUE"""),"INFNGA587")</f>
        <v>INFNGA587</v>
      </c>
      <c r="B350" s="122" t="str">
        <f>IFERROR(__xludf.DUMMYFUNCTION("""COMPUTED_VALUE"""),"Nguyễn Hoàng Nga")</f>
        <v>Nguyễn Hoàng Nga</v>
      </c>
      <c r="C350" s="124" t="str">
        <f>IFERROR(__xludf.DUMMYFUNCTION("""COMPUTED_VALUE"""),"fb")</f>
        <v>fb</v>
      </c>
      <c r="D350" s="122"/>
      <c r="E350" s="122" t="str">
        <f>IFERROR(__xludf.DUMMYFUNCTION("""COMPUTED_VALUE"""),"63k")</f>
        <v>63k</v>
      </c>
      <c r="F350" s="122" t="str">
        <f>IFERROR(__xludf.DUMMYFUNCTION("""COMPUTED_VALUE"""),"Nguyễn Hoàng Nga")</f>
        <v>Nguyễn Hoàng Nga</v>
      </c>
      <c r="G350" s="126">
        <f>IFERROR(__xludf.DUMMYFUNCTION("""COMPUTED_VALUE"""),35926.0)</f>
        <v>35926</v>
      </c>
      <c r="H350" s="122" t="str">
        <f>IFERROR(__xludf.DUMMYFUNCTION("""COMPUTED_VALUE"""),"095198000003")</f>
        <v>095198000003</v>
      </c>
      <c r="I350" s="122" t="str">
        <f>IFERROR(__xludf.DUMMYFUNCTION("""COMPUTED_VALUE"""),"0388836587")</f>
        <v>0388836587</v>
      </c>
      <c r="J350" s="122" t="str">
        <f>IFERROR(__xludf.DUMMYFUNCTION("""COMPUTED_VALUE"""),"nguyen.hoangnga.511@gmail.com")</f>
        <v>nguyen.hoangnga.511@gmail.com</v>
      </c>
      <c r="K350" s="122">
        <f>IFERROR(__xludf.DUMMYFUNCTION("""COMPUTED_VALUE"""),3.209205252165E12)</f>
        <v>3209205252165</v>
      </c>
      <c r="L350" s="122" t="str">
        <f>IFERROR(__xludf.DUMMYFUNCTION("""COMPUTED_VALUE"""),"Nguyễn Hoàng Nga")</f>
        <v>Nguyễn Hoàng Nga</v>
      </c>
      <c r="M350" s="122" t="str">
        <f>IFERROR(__xludf.DUMMYFUNCTION("""COMPUTED_VALUE"""),"agribank chi nhánh Cồn- Nam Định")</f>
        <v>agribank chi nhánh Cồn- Nam Định</v>
      </c>
      <c r="N350" s="122" t="str">
        <f>IFERROR(__xludf.DUMMYFUNCTION("""COMPUTED_VALUE"""),"số 11 ngách 1 ngõ 575 kim mã- ba đình- hà nội")</f>
        <v>số 11 ngách 1 ngõ 575 kim mã- ba đình- hà nội</v>
      </c>
      <c r="O350" s="122"/>
      <c r="P350" s="123" t="str">
        <f>IFERROR(__xludf.DUMMYFUNCTION("""COMPUTED_VALUE"""),"Trâm")</f>
        <v>Trâm</v>
      </c>
      <c r="Q350" s="122"/>
      <c r="R350" s="122" t="str">
        <f>IFERROR(__xludf.DUMMYFUNCTION("""COMPUTED_VALUE"""),"INFNGA587")</f>
        <v>INFNGA587</v>
      </c>
      <c r="S350" s="124" t="str">
        <f>IFERROR(__xludf.DUMMYFUNCTION("""COMPUTED_VALUE"""),"http://yody.vn?affcode=INFNGA587")</f>
        <v>http://yody.vn?affcode=INFNGA587</v>
      </c>
    </row>
    <row r="351">
      <c r="A351" s="122" t="str">
        <f>IFERROR(__xludf.DUMMYFUNCTION("""COMPUTED_VALUE"""),"INFTRANG555")</f>
        <v>INFTRANG555</v>
      </c>
      <c r="B351" s="122" t="str">
        <f>IFERROR(__xludf.DUMMYFUNCTION("""COMPUTED_VALUE"""),"tranganh_cosplay")</f>
        <v>tranganh_cosplay</v>
      </c>
      <c r="C351" s="124" t="str">
        <f>IFERROR(__xludf.DUMMYFUNCTION("""COMPUTED_VALUE"""),"tiktok")</f>
        <v>tiktok</v>
      </c>
      <c r="D351" s="122"/>
      <c r="E351" s="122" t="str">
        <f>IFERROR(__xludf.DUMMYFUNCTION("""COMPUTED_VALUE"""),"394k")</f>
        <v>394k</v>
      </c>
      <c r="F351" s="122" t="str">
        <f>IFERROR(__xludf.DUMMYFUNCTION("""COMPUTED_VALUE"""),"Phạm Thị Thu Trang")</f>
        <v>Phạm Thị Thu Trang</v>
      </c>
      <c r="G351" s="122" t="str">
        <f>IFERROR(__xludf.DUMMYFUNCTION("""COMPUTED_VALUE"""),"24/04/1991")</f>
        <v>24/04/1991</v>
      </c>
      <c r="H351" s="122" t="str">
        <f>IFERROR(__xludf.DUMMYFUNCTION("""COMPUTED_VALUE"""),"031738235")</f>
        <v>031738235</v>
      </c>
      <c r="I351" s="122" t="str">
        <f>IFERROR(__xludf.DUMMYFUNCTION("""COMPUTED_VALUE"""),"0968871555 ")</f>
        <v>0968871555 </v>
      </c>
      <c r="J351" s="122" t="str">
        <f>IFERROR(__xludf.DUMMYFUNCTION("""COMPUTED_VALUE"""),"conangtuoiteen1991@gmail.com")</f>
        <v>conangtuoiteen1991@gmail.com</v>
      </c>
      <c r="K351" s="122">
        <f>IFERROR(__xludf.DUMMYFUNCTION("""COMPUTED_VALUE"""),8.860166368888E12)</f>
        <v>8860166368888</v>
      </c>
      <c r="L351" s="122"/>
      <c r="M351" s="122" t="str">
        <f>IFERROR(__xludf.DUMMYFUNCTION("""COMPUTED_VALUE"""),"Ngân hàng Quân đội , MB bank")</f>
        <v>Ngân hàng Quân đội , MB bank</v>
      </c>
      <c r="N351" s="122" t="str">
        <f>IFERROR(__xludf.DUMMYFUNCTION("""COMPUTED_VALUE"""),"Thôn Trần Phú, xã An Thắng, Huyện An Lão, TP Hải Phòng")</f>
        <v>Thôn Trần Phú, xã An Thắng, Huyện An Lão, TP Hải Phòng</v>
      </c>
      <c r="O351" s="122"/>
      <c r="P351" s="123" t="str">
        <f>IFERROR(__xludf.DUMMYFUNCTION("""COMPUTED_VALUE"""),"trâm")</f>
        <v>trâm</v>
      </c>
      <c r="Q351" s="122"/>
      <c r="R351" s="122" t="str">
        <f>IFERROR(__xludf.DUMMYFUNCTION("""COMPUTED_VALUE"""),"INFTRANG555")</f>
        <v>INFTRANG555</v>
      </c>
      <c r="S351" s="124" t="str">
        <f>IFERROR(__xludf.DUMMYFUNCTION("""COMPUTED_VALUE"""),"http://yody.vn?affcode=INFTRANG555")</f>
        <v>http://yody.vn?affcode=INFTRANG555</v>
      </c>
    </row>
    <row r="352">
      <c r="A352" s="122" t="str">
        <f>IFERROR(__xludf.DUMMYFUNCTION("""COMPUTED_VALUE"""),"INFVAN260")</f>
        <v>INFVAN260</v>
      </c>
      <c r="B352" s="122" t="str">
        <f>IFERROR(__xludf.DUMMYFUNCTION("""COMPUTED_VALUE"""),"khvan16")</f>
        <v>khvan16</v>
      </c>
      <c r="C352" s="124" t="str">
        <f>IFERROR(__xludf.DUMMYFUNCTION("""COMPUTED_VALUE"""),"tiktok")</f>
        <v>tiktok</v>
      </c>
      <c r="D352" s="122"/>
      <c r="E352" s="122" t="str">
        <f>IFERROR(__xludf.DUMMYFUNCTION("""COMPUTED_VALUE"""),"1,6M")</f>
        <v>1,6M</v>
      </c>
      <c r="F352" s="122" t="str">
        <f>IFERROR(__xludf.DUMMYFUNCTION("""COMPUTED_VALUE"""),"Nguyễn Thị Thanh Vân")</f>
        <v>Nguyễn Thị Thanh Vân</v>
      </c>
      <c r="G352" s="122" t="str">
        <f>IFERROR(__xludf.DUMMYFUNCTION("""COMPUTED_VALUE"""),"19/1 /2001")</f>
        <v>19/1 /2001</v>
      </c>
      <c r="H352" s="122">
        <f>IFERROR(__xludf.DUMMYFUNCTION("""COMPUTED_VALUE"""),1.2235422E8)</f>
        <v>122354220</v>
      </c>
      <c r="I352" s="122" t="str">
        <f>IFERROR(__xludf.DUMMYFUNCTION("""COMPUTED_VALUE"""),"0378920260")</f>
        <v>0378920260</v>
      </c>
      <c r="J352" s="122" t="str">
        <f>IFERROR(__xludf.DUMMYFUNCTION("""COMPUTED_VALUE"""),"vannuuu121@gmail.com")</f>
        <v>vannuuu121@gmail.com</v>
      </c>
      <c r="K352" s="122">
        <f>IFERROR(__xludf.DUMMYFUNCTION("""COMPUTED_VALUE"""),1.9035375749016E13)</f>
        <v>19035375749016</v>
      </c>
      <c r="L352" s="122" t="str">
        <f>IFERROR(__xludf.DUMMYFUNCTION("""COMPUTED_VALUE"""),"Nguyễn Thị Thanh Vân")</f>
        <v>Nguyễn Thị Thanh Vân</v>
      </c>
      <c r="M352" s="122" t="str">
        <f>IFERROR(__xludf.DUMMYFUNCTION("""COMPUTED_VALUE"""),"Techcombank")</f>
        <v>Techcombank</v>
      </c>
      <c r="N352" s="122" t="str">
        <f>IFERROR(__xludf.DUMMYFUNCTION("""COMPUTED_VALUE""")," p1 Chung cư Mỹ Đình Pearl, Châu Văn Liêm, Phường Phú Đô, Nam Từ Liêm, Hà Nội")</f>
        <v> p1 Chung cư Mỹ Đình Pearl, Châu Văn Liêm, Phường Phú Đô, Nam Từ Liêm, Hà Nội</v>
      </c>
      <c r="O352" s="122"/>
      <c r="P352" s="123" t="str">
        <f>IFERROR(__xludf.DUMMYFUNCTION("""COMPUTED_VALUE"""),"trâm")</f>
        <v>trâm</v>
      </c>
      <c r="Q352" s="122"/>
      <c r="R352" s="122" t="str">
        <f>IFERROR(__xludf.DUMMYFUNCTION("""COMPUTED_VALUE"""),"INFVAN260")</f>
        <v>INFVAN260</v>
      </c>
      <c r="S352" s="124" t="str">
        <f>IFERROR(__xludf.DUMMYFUNCTION("""COMPUTED_VALUE"""),"http://yody.vn?affcode=INFVAN260")</f>
        <v>http://yody.vn?affcode=INFVAN260</v>
      </c>
    </row>
    <row r="353">
      <c r="A353" s="122" t="str">
        <f>IFERROR(__xludf.DUMMYFUNCTION("""COMPUTED_VALUE"""),"INFHAO297")</f>
        <v>INFHAO297</v>
      </c>
      <c r="B353" s="122" t="str">
        <f>IFERROR(__xludf.DUMMYFUNCTION("""COMPUTED_VALUE"""),"123maumummimkiuu.tt.0910")</f>
        <v>123maumummimkiuu.tt.0910</v>
      </c>
      <c r="C353" s="124" t="str">
        <f>IFERROR(__xludf.DUMMYFUNCTION("""COMPUTED_VALUE"""),"tiktok")</f>
        <v>tiktok</v>
      </c>
      <c r="D353" s="122"/>
      <c r="E353" s="122" t="str">
        <f>IFERROR(__xludf.DUMMYFUNCTION("""COMPUTED_VALUE"""),"73k")</f>
        <v>73k</v>
      </c>
      <c r="F353" s="122" t="str">
        <f>IFERROR(__xludf.DUMMYFUNCTION("""COMPUTED_VALUE"""),"Đặng Thị Hảo")</f>
        <v>Đặng Thị Hảo</v>
      </c>
      <c r="G353" s="122" t="str">
        <f>IFERROR(__xludf.DUMMYFUNCTION("""COMPUTED_VALUE"""),"27/8/1996")</f>
        <v>27/8/1996</v>
      </c>
      <c r="H353" s="122">
        <f>IFERROR(__xludf.DUMMYFUNCTION("""COMPUTED_VALUE"""),1.22162921E8)</f>
        <v>122162921</v>
      </c>
      <c r="I353" s="122" t="str">
        <f>IFERROR(__xludf.DUMMYFUNCTION("""COMPUTED_VALUE"""),"0378760297")</f>
        <v>0378760297</v>
      </c>
      <c r="J353" s="122" t="str">
        <f>IFERROR(__xludf.DUMMYFUNCTION("""COMPUTED_VALUE"""),"dangthihao091096@gmail.com")</f>
        <v>dangthihao091096@gmail.com</v>
      </c>
      <c r="K353" s="122" t="str">
        <f>IFERROR(__xludf.DUMMYFUNCTION("""COMPUTED_VALUE"""),"0821000034650")</f>
        <v>0821000034650</v>
      </c>
      <c r="L353" s="122"/>
      <c r="M353" s="122"/>
      <c r="N353" s="122" t="str">
        <f>IFERROR(__xludf.DUMMYFUNCTION("""COMPUTED_VALUE"""),"Đồng Tiến. Phổ Yên. Thái Nguyên ")</f>
        <v>Đồng Tiến. Phổ Yên. Thái Nguyên </v>
      </c>
      <c r="O353" s="122"/>
      <c r="P353" s="123" t="str">
        <f>IFERROR(__xludf.DUMMYFUNCTION("""COMPUTED_VALUE"""),"Trâm")</f>
        <v>Trâm</v>
      </c>
      <c r="Q353" s="122"/>
      <c r="R353" s="122" t="str">
        <f>IFERROR(__xludf.DUMMYFUNCTION("""COMPUTED_VALUE"""),"INFHAO297")</f>
        <v>INFHAO297</v>
      </c>
      <c r="S353" s="124" t="str">
        <f>IFERROR(__xludf.DUMMYFUNCTION("""COMPUTED_VALUE"""),"http://yody.vn?affcode=INFHAO297")</f>
        <v>http://yody.vn?affcode=INFHAO297</v>
      </c>
    </row>
    <row r="354">
      <c r="A354" s="122" t="str">
        <f>IFERROR(__xludf.DUMMYFUNCTION("""COMPUTED_VALUE"""),"INFTRINH643")</f>
        <v>INFTRINH643</v>
      </c>
      <c r="B354" s="122" t="str">
        <f>IFERROR(__xludf.DUMMYFUNCTION("""COMPUTED_VALUE"""),"Đào Phan Tú Trinh ")</f>
        <v>Đào Phan Tú Trinh </v>
      </c>
      <c r="C354" s="124" t="str">
        <f>IFERROR(__xludf.DUMMYFUNCTION("""COMPUTED_VALUE"""),"fb")</f>
        <v>fb</v>
      </c>
      <c r="D354" s="122"/>
      <c r="E354" s="122" t="str">
        <f>IFERROR(__xludf.DUMMYFUNCTION("""COMPUTED_VALUE"""),"16k")</f>
        <v>16k</v>
      </c>
      <c r="F354" s="122" t="str">
        <f>IFERROR(__xludf.DUMMYFUNCTION("""COMPUTED_VALUE"""),"Đào Phan Tú Trinh ")</f>
        <v>Đào Phan Tú Trinh </v>
      </c>
      <c r="G354" s="125">
        <f>IFERROR(__xludf.DUMMYFUNCTION("""COMPUTED_VALUE"""),35380.0)</f>
        <v>35380</v>
      </c>
      <c r="H354" s="122"/>
      <c r="I354" s="122" t="str">
        <f>IFERROR(__xludf.DUMMYFUNCTION("""COMPUTED_VALUE"""),"0706666643")</f>
        <v>0706666643</v>
      </c>
      <c r="J354" s="122" t="str">
        <f>IFERROR(__xludf.DUMMYFUNCTION("""COMPUTED_VALUE"""),"daophantutrinh@gmail.com")</f>
        <v>daophantutrinh@gmail.com</v>
      </c>
      <c r="K354" s="122">
        <f>IFERROR(__xludf.DUMMYFUNCTION("""COMPUTED_VALUE"""),1.9034419253017E13)</f>
        <v>19034419253017</v>
      </c>
      <c r="L354" s="122" t="str">
        <f>IFERROR(__xludf.DUMMYFUNCTION("""COMPUTED_VALUE"""),"ĐÀO PHAN TÚ TRINH")</f>
        <v>ĐÀO PHAN TÚ TRINH</v>
      </c>
      <c r="M354" s="122" t="str">
        <f>IFERROR(__xludf.DUMMYFUNCTION("""COMPUTED_VALUE"""),"Techcombank - Đà Nẵng")</f>
        <v>Techcombank - Đà Nẵng</v>
      </c>
      <c r="N354" s="122" t="str">
        <f>IFERROR(__xludf.DUMMYFUNCTION("""COMPUTED_VALUE"""),"70 Hồ Huân Nghiệp, P. Mỹ An, Q. Ngũ Hành Sơn, TP Đà Nẵng")</f>
        <v>70 Hồ Huân Nghiệp, P. Mỹ An, Q. Ngũ Hành Sơn, TP Đà Nẵng</v>
      </c>
      <c r="O354" s="122"/>
      <c r="P354" s="123" t="str">
        <f>IFERROR(__xludf.DUMMYFUNCTION("""COMPUTED_VALUE"""),"Trâm")</f>
        <v>Trâm</v>
      </c>
      <c r="Q354" s="122"/>
      <c r="R354" s="122" t="str">
        <f>IFERROR(__xludf.DUMMYFUNCTION("""COMPUTED_VALUE"""),"INFTRINH643")</f>
        <v>INFTRINH643</v>
      </c>
      <c r="S354" s="124" t="str">
        <f>IFERROR(__xludf.DUMMYFUNCTION("""COMPUTED_VALUE"""),"http://yody.vn?affcode=INFTRINH643")</f>
        <v>http://yody.vn?affcode=INFTRINH643</v>
      </c>
    </row>
    <row r="355">
      <c r="A355" s="122" t="str">
        <f>IFERROR(__xludf.DUMMYFUNCTION("""COMPUTED_VALUE"""),"INFPHUONG442")</f>
        <v>INFPHUONG442</v>
      </c>
      <c r="B355" s="122" t="str">
        <f>IFERROR(__xludf.DUMMYFUNCTION("""COMPUTED_VALUE"""),"phuongnguyen4866")</f>
        <v>phuongnguyen4866</v>
      </c>
      <c r="C355" s="124" t="str">
        <f>IFERROR(__xludf.DUMMYFUNCTION("""COMPUTED_VALUE"""),"tiktok")</f>
        <v>tiktok</v>
      </c>
      <c r="D355" s="122"/>
      <c r="E355" s="122" t="str">
        <f>IFERROR(__xludf.DUMMYFUNCTION("""COMPUTED_VALUE"""),"36k")</f>
        <v>36k</v>
      </c>
      <c r="F355" s="122" t="str">
        <f>IFERROR(__xludf.DUMMYFUNCTION("""COMPUTED_VALUE"""),"Nguyễn Thị Trúc Phương")</f>
        <v>Nguyễn Thị Trúc Phương</v>
      </c>
      <c r="G355" s="122" t="str">
        <f>IFERROR(__xludf.DUMMYFUNCTION("""COMPUTED_VALUE"""),"24-10-2005")</f>
        <v>24-10-2005</v>
      </c>
      <c r="H355" s="122" t="str">
        <f>IFERROR(__xludf.DUMMYFUNCTION("""COMPUTED_VALUE"""),"064305001594")</f>
        <v>064305001594</v>
      </c>
      <c r="I355" s="122" t="str">
        <f>IFERROR(__xludf.DUMMYFUNCTION("""COMPUTED_VALUE"""),"0382114442")</f>
        <v>0382114442</v>
      </c>
      <c r="J355" s="122" t="str">
        <f>IFERROR(__xludf.DUMMYFUNCTION("""COMPUTED_VALUE"""),"Nguyenthitrucphuongut@gmail.com")</f>
        <v>Nguyenthitrucphuongut@gmail.com</v>
      </c>
      <c r="K355" s="122" t="str">
        <f>IFERROR(__xludf.DUMMYFUNCTION("""COMPUTED_VALUE"""),"62010001290159")</f>
        <v>62010001290159</v>
      </c>
      <c r="L355" s="122" t="str">
        <f>IFERROR(__xludf.DUMMYFUNCTION("""COMPUTED_VALUE"""),"Nguyen Thi Truc Phuong")</f>
        <v>Nguyen Thi Truc Phuong</v>
      </c>
      <c r="M355" s="122" t="str">
        <f>IFERROR(__xludf.DUMMYFUNCTION("""COMPUTED_VALUE"""),"BIDV")</f>
        <v>BIDV</v>
      </c>
      <c r="N355" s="122" t="str">
        <f>IFERROR(__xludf.DUMMYFUNCTION("""COMPUTED_VALUE"""),"Thôn 4 đak đoa gia lai")</f>
        <v>Thôn 4 đak đoa gia lai</v>
      </c>
      <c r="O355" s="122"/>
      <c r="P355" s="123" t="str">
        <f>IFERROR(__xludf.DUMMYFUNCTION("""COMPUTED_VALUE"""),"Trâm")</f>
        <v>Trâm</v>
      </c>
      <c r="Q355" s="122"/>
      <c r="R355" s="122" t="str">
        <f>IFERROR(__xludf.DUMMYFUNCTION("""COMPUTED_VALUE"""),"INFPHUONG442")</f>
        <v>INFPHUONG442</v>
      </c>
      <c r="S355" s="124" t="str">
        <f>IFERROR(__xludf.DUMMYFUNCTION("""COMPUTED_VALUE"""),"http://yody.vn?affcode=INFPHUONG442")</f>
        <v>http://yody.vn?affcode=INFPHUONG442</v>
      </c>
    </row>
    <row r="356">
      <c r="A356" s="122" t="str">
        <f>IFERROR(__xludf.DUMMYFUNCTION("""COMPUTED_VALUE"""),"INFANH693")</f>
        <v>INFANH693</v>
      </c>
      <c r="B356" s="122" t="str">
        <f>IFERROR(__xludf.DUMMYFUNCTION("""COMPUTED_VALUE"""),"phucanhh_")</f>
        <v>phucanhh_</v>
      </c>
      <c r="C356" s="124" t="str">
        <f>IFERROR(__xludf.DUMMYFUNCTION("""COMPUTED_VALUE"""),"tiktok")</f>
        <v>tiktok</v>
      </c>
      <c r="D356" s="122"/>
      <c r="E356" s="122" t="str">
        <f>IFERROR(__xludf.DUMMYFUNCTION("""COMPUTED_VALUE"""),"30k")</f>
        <v>30k</v>
      </c>
      <c r="F356" s="122" t="str">
        <f>IFERROR(__xludf.DUMMYFUNCTION("""COMPUTED_VALUE"""),"Nguyễn Thị Phúc Anh")</f>
        <v>Nguyễn Thị Phúc Anh</v>
      </c>
      <c r="G356" s="126">
        <f>IFERROR(__xludf.DUMMYFUNCTION("""COMPUTED_VALUE"""),37047.0)</f>
        <v>37047</v>
      </c>
      <c r="H356" s="122"/>
      <c r="I356" s="122" t="str">
        <f>IFERROR(__xludf.DUMMYFUNCTION("""COMPUTED_VALUE"""),"0911052693 ")</f>
        <v>0911052693 </v>
      </c>
      <c r="J356" s="122" t="str">
        <f>IFERROR(__xludf.DUMMYFUNCTION("""COMPUTED_VALUE"""),"phucanhhhn@gmail.com")</f>
        <v>phucanhhhn@gmail.com</v>
      </c>
      <c r="K356" s="122" t="str">
        <f>IFERROR(__xludf.DUMMYFUNCTION("""COMPUTED_VALUE"""),"03072736501")</f>
        <v>03072736501</v>
      </c>
      <c r="L356" s="122"/>
      <c r="M356" s="122" t="str">
        <f>IFERROR(__xludf.DUMMYFUNCTION("""COMPUTED_VALUE"""),"TP Bank")</f>
        <v>TP Bank</v>
      </c>
      <c r="N356" s="122" t="str">
        <f>IFERROR(__xludf.DUMMYFUNCTION("""COMPUTED_VALUE"""),"Cao Cái - An Mỹ - Bình Lục - Hà Nam")</f>
        <v>Cao Cái - An Mỹ - Bình Lục - Hà Nam</v>
      </c>
      <c r="O356" s="122"/>
      <c r="P356" s="123" t="str">
        <f>IFERROR(__xludf.DUMMYFUNCTION("""COMPUTED_VALUE"""),"trâm")</f>
        <v>trâm</v>
      </c>
      <c r="Q356" s="122"/>
      <c r="R356" s="122" t="str">
        <f>IFERROR(__xludf.DUMMYFUNCTION("""COMPUTED_VALUE"""),"INFANH693")</f>
        <v>INFANH693</v>
      </c>
      <c r="S356" s="124" t="str">
        <f>IFERROR(__xludf.DUMMYFUNCTION("""COMPUTED_VALUE"""),"http://yody.vn?affcode=INFANH693")</f>
        <v>http://yody.vn?affcode=INFANH693</v>
      </c>
    </row>
    <row r="357">
      <c r="A357" s="122" t="str">
        <f>IFERROR(__xludf.DUMMYFUNCTION("""COMPUTED_VALUE"""),"INFLE327")</f>
        <v>INFLE327</v>
      </c>
      <c r="B357" s="122" t="str">
        <f>IFERROR(__xludf.DUMMYFUNCTION("""COMPUTED_VALUE"""),"nhatlej")</f>
        <v>nhatlej</v>
      </c>
      <c r="C357" s="124" t="str">
        <f>IFERROR(__xludf.DUMMYFUNCTION("""COMPUTED_VALUE"""),"tiktok")</f>
        <v>tiktok</v>
      </c>
      <c r="D357" s="122"/>
      <c r="E357" s="122" t="str">
        <f>IFERROR(__xludf.DUMMYFUNCTION("""COMPUTED_VALUE"""),"72k")</f>
        <v>72k</v>
      </c>
      <c r="F357" s="122" t="str">
        <f>IFERROR(__xludf.DUMMYFUNCTION("""COMPUTED_VALUE"""),"Nguyễn Nhật Lệ ")</f>
        <v>Nguyễn Nhật Lệ </v>
      </c>
      <c r="G357" s="122" t="str">
        <f>IFERROR(__xludf.DUMMYFUNCTION("""COMPUTED_VALUE"""),"27/02/2001 ")</f>
        <v>27/02/2001 </v>
      </c>
      <c r="H357" s="122"/>
      <c r="I357" s="122" t="str">
        <f>IFERROR(__xludf.DUMMYFUNCTION("""COMPUTED_VALUE"""),"0983414327")</f>
        <v>0983414327</v>
      </c>
      <c r="J357" s="122" t="str">
        <f>IFERROR(__xludf.DUMMYFUNCTION("""COMPUTED_VALUE"""),"Nhatlexinh2702@gmail.com ")</f>
        <v>Nhatlexinh2702@gmail.com </v>
      </c>
      <c r="K357" s="122" t="str">
        <f>IFERROR(__xludf.DUMMYFUNCTION("""COMPUTED_VALUE"""),"0971000030408")</f>
        <v>0971000030408</v>
      </c>
      <c r="L357" s="122"/>
      <c r="M357" s="122" t="str">
        <f>IFERROR(__xludf.DUMMYFUNCTION("""COMPUTED_VALUE"""),"vietcombank ")</f>
        <v>vietcombank </v>
      </c>
      <c r="N357" s="122" t="str">
        <f>IFERROR(__xludf.DUMMYFUNCTION("""COMPUTED_VALUE"""),"Số 48a ngõ đại an , văn quán , hà đông , hà nội")</f>
        <v>Số 48a ngõ đại an , văn quán , hà đông , hà nội</v>
      </c>
      <c r="O357" s="122"/>
      <c r="P357" s="123" t="str">
        <f>IFERROR(__xludf.DUMMYFUNCTION("""COMPUTED_VALUE"""),"trâm")</f>
        <v>trâm</v>
      </c>
      <c r="Q357" s="122"/>
      <c r="R357" s="122" t="str">
        <f>IFERROR(__xludf.DUMMYFUNCTION("""COMPUTED_VALUE"""),"INFLE327")</f>
        <v>INFLE327</v>
      </c>
      <c r="S357" s="124" t="str">
        <f>IFERROR(__xludf.DUMMYFUNCTION("""COMPUTED_VALUE"""),"http://yody.vn?affcode=INFLE327")</f>
        <v>http://yody.vn?affcode=INFLE327</v>
      </c>
    </row>
    <row r="358">
      <c r="A358" s="122" t="str">
        <f>IFERROR(__xludf.DUMMYFUNCTION("""COMPUTED_VALUE"""),"INFNHUNG580")</f>
        <v>INFNHUNG580</v>
      </c>
      <c r="B358" s="122" t="str">
        <f>IFERROR(__xludf.DUMMYFUNCTION("""COMPUTED_VALUE"""),"vthnhung._")</f>
        <v>vthnhung._</v>
      </c>
      <c r="C358" s="122" t="str">
        <f>IFERROR(__xludf.DUMMYFUNCTION("""COMPUTED_VALUE"""),"tiktok fb")</f>
        <v>tiktok fb</v>
      </c>
      <c r="D358" s="122"/>
      <c r="E358" s="122" t="str">
        <f>IFERROR(__xludf.DUMMYFUNCTION("""COMPUTED_VALUE"""),"273k/7k")</f>
        <v>273k/7k</v>
      </c>
      <c r="F358" s="122" t="str">
        <f>IFERROR(__xludf.DUMMYFUNCTION("""COMPUTED_VALUE"""),"Võ Thị Hồng Nhung")</f>
        <v>Võ Thị Hồng Nhung</v>
      </c>
      <c r="G358" s="126">
        <f>IFERROR(__xludf.DUMMYFUNCTION("""COMPUTED_VALUE"""),36258.0)</f>
        <v>36258</v>
      </c>
      <c r="H358" s="122">
        <f>IFERROR(__xludf.DUMMYFUNCTION("""COMPUTED_VALUE"""),1.87839033E8)</f>
        <v>187839033</v>
      </c>
      <c r="I358" s="122" t="str">
        <f>IFERROR(__xludf.DUMMYFUNCTION("""COMPUTED_VALUE"""),"0984307580")</f>
        <v>0984307580</v>
      </c>
      <c r="J358" s="122" t="str">
        <f>IFERROR(__xludf.DUMMYFUNCTION("""COMPUTED_VALUE""")," vthn1909@gmail.com")</f>
        <v> vthn1909@gmail.com</v>
      </c>
      <c r="K358" s="122">
        <f>IFERROR(__xludf.DUMMYFUNCTION("""COMPUTED_VALUE"""),1.013076984E9)</f>
        <v>1013076984</v>
      </c>
      <c r="L358" s="122"/>
      <c r="M358" s="122"/>
      <c r="N358" s="122" t="str">
        <f>IFERROR(__xludf.DUMMYFUNCTION("""COMPUTED_VALUE"""),"xóm 2- Hưng Thịnh -Hưng Nguyên - Nghệ An")</f>
        <v>xóm 2- Hưng Thịnh -Hưng Nguyên - Nghệ An</v>
      </c>
      <c r="O358" s="122"/>
      <c r="P358" s="123" t="str">
        <f>IFERROR(__xludf.DUMMYFUNCTION("""COMPUTED_VALUE"""),"trâm")</f>
        <v>trâm</v>
      </c>
      <c r="Q358" s="122"/>
      <c r="R358" s="122" t="str">
        <f>IFERROR(__xludf.DUMMYFUNCTION("""COMPUTED_VALUE"""),"INFNHUNG580")</f>
        <v>INFNHUNG580</v>
      </c>
      <c r="S358" s="124" t="str">
        <f>IFERROR(__xludf.DUMMYFUNCTION("""COMPUTED_VALUE"""),"http://yody.vn?affcode=INFNHUNG580")</f>
        <v>http://yody.vn?affcode=INFNHUNG580</v>
      </c>
    </row>
    <row r="359">
      <c r="A359" s="122" t="str">
        <f>IFERROR(__xludf.DUMMYFUNCTION("""COMPUTED_VALUE"""),"INFY173")</f>
        <v>INFY173</v>
      </c>
      <c r="B359" s="122" t="str">
        <f>IFERROR(__xludf.DUMMYFUNCTION("""COMPUTED_VALUE"""),"Trân Như ")</f>
        <v>Trân Như </v>
      </c>
      <c r="C359" s="124" t="str">
        <f>IFERROR(__xludf.DUMMYFUNCTION("""COMPUTED_VALUE"""),"fb")</f>
        <v>fb</v>
      </c>
      <c r="D359" s="122"/>
      <c r="E359" s="122" t="str">
        <f>IFERROR(__xludf.DUMMYFUNCTION("""COMPUTED_VALUE"""),"51k")</f>
        <v>51k</v>
      </c>
      <c r="F359" s="122" t="str">
        <f>IFERROR(__xludf.DUMMYFUNCTION("""COMPUTED_VALUE"""),"Trần Vũ Thị Như Ý")</f>
        <v>Trần Vũ Thị Như Ý</v>
      </c>
      <c r="G359" s="126">
        <f>IFERROR(__xludf.DUMMYFUNCTION("""COMPUTED_VALUE"""),37843.0)</f>
        <v>37843</v>
      </c>
      <c r="H359" s="122">
        <f>IFERROR(__xludf.DUMMYFUNCTION("""COMPUTED_VALUE"""),2.1253886E8)</f>
        <v>212538860</v>
      </c>
      <c r="I359" s="122" t="str">
        <f>IFERROR(__xludf.DUMMYFUNCTION("""COMPUTED_VALUE"""),"0938819173")</f>
        <v>0938819173</v>
      </c>
      <c r="J359" s="122" t="str">
        <f>IFERROR(__xludf.DUMMYFUNCTION("""COMPUTED_VALUE"""),"iamy08102003@gmail.com")</f>
        <v>iamy08102003@gmail.com</v>
      </c>
      <c r="K359" s="122">
        <f>IFERROR(__xludf.DUMMYFUNCTION("""COMPUTED_VALUE"""),7.686868688E9)</f>
        <v>7686868688</v>
      </c>
      <c r="L359" s="122" t="str">
        <f>IFERROR(__xludf.DUMMYFUNCTION("""COMPUTED_VALUE"""),"Trần Vũ Thị Như Ý")</f>
        <v>Trần Vũ Thị Như Ý</v>
      </c>
      <c r="M359" s="122" t="str">
        <f>IFERROR(__xludf.DUMMYFUNCTION("""COMPUTED_VALUE"""),"Ngân Hàng Quân Đội MB Chi nhánh Phú Nhuận")</f>
        <v>Ngân Hàng Quân Đội MB Chi nhánh Phú Nhuận</v>
      </c>
      <c r="N359" s="122" t="str">
        <f>IFERROR(__xludf.DUMMYFUNCTION("""COMPUTED_VALUE"""),"Hẻm 70 Nguyễn Chí Thanh, Phường Quảng Phú, Thành Phố Quảng Ngãi")</f>
        <v>Hẻm 70 Nguyễn Chí Thanh, Phường Quảng Phú, Thành Phố Quảng Ngãi</v>
      </c>
      <c r="O359" s="122"/>
      <c r="P359" s="123" t="str">
        <f>IFERROR(__xludf.DUMMYFUNCTION("""COMPUTED_VALUE"""),"trâm")</f>
        <v>trâm</v>
      </c>
      <c r="Q359" s="122"/>
      <c r="R359" s="122" t="str">
        <f>IFERROR(__xludf.DUMMYFUNCTION("""COMPUTED_VALUE"""),"INFY173")</f>
        <v>INFY173</v>
      </c>
      <c r="S359" s="124" t="str">
        <f>IFERROR(__xludf.DUMMYFUNCTION("""COMPUTED_VALUE"""),"http://yody.vn?affcode=INFY173")</f>
        <v>http://yody.vn?affcode=INFY173</v>
      </c>
    </row>
    <row r="360">
      <c r="A360" s="122" t="str">
        <f>IFERROR(__xludf.DUMMYFUNCTION("""COMPUTED_VALUE"""),"INFHIEU043")</f>
        <v>INFHIEU043</v>
      </c>
      <c r="B360" s="122" t="str">
        <f>IFERROR(__xludf.DUMMYFUNCTION("""COMPUTED_VALUE"""),"Bùi Hiếu ")</f>
        <v>Bùi Hiếu </v>
      </c>
      <c r="C360" s="124" t="str">
        <f>IFERROR(__xludf.DUMMYFUNCTION("""COMPUTED_VALUE"""),"fb")</f>
        <v>fb</v>
      </c>
      <c r="D360" s="122"/>
      <c r="E360" s="122" t="str">
        <f>IFERROR(__xludf.DUMMYFUNCTION("""COMPUTED_VALUE"""),"81k")</f>
        <v>81k</v>
      </c>
      <c r="F360" s="122" t="str">
        <f>IFERROR(__xludf.DUMMYFUNCTION("""COMPUTED_VALUE"""),"Bùi Minh Hiếu")</f>
        <v>Bùi Minh Hiếu</v>
      </c>
      <c r="G360" s="122" t="str">
        <f>IFERROR(__xludf.DUMMYFUNCTION("""COMPUTED_VALUE"""),"27/02/1998")</f>
        <v>27/02/1998</v>
      </c>
      <c r="H360" s="122">
        <f>IFERROR(__xludf.DUMMYFUNCTION("""COMPUTED_VALUE"""),2.51084033E8)</f>
        <v>251084033</v>
      </c>
      <c r="I360" s="122" t="str">
        <f>IFERROR(__xludf.DUMMYFUNCTION("""COMPUTED_VALUE"""),"0326262043")</f>
        <v>0326262043</v>
      </c>
      <c r="J360" s="122" t="str">
        <f>IFERROR(__xludf.DUMMYFUNCTION("""COMPUTED_VALUE"""),"minhhieuhalam1@gmail.com")</f>
        <v>minhhieuhalam1@gmail.com</v>
      </c>
      <c r="K360" s="122">
        <f>IFERROR(__xludf.DUMMYFUNCTION("""COMPUTED_VALUE"""),1.8110000148459E13)</f>
        <v>18110000148459</v>
      </c>
      <c r="L360" s="122" t="str">
        <f>IFERROR(__xludf.DUMMYFUNCTION("""COMPUTED_VALUE"""),"BUI MINH HIEU")</f>
        <v>BUI MINH HIEU</v>
      </c>
      <c r="M360" s="122" t="str">
        <f>IFERROR(__xludf.DUMMYFUNCTION("""COMPUTED_VALUE"""),"Tài khoản BIDV chi nhánh Q9_HCM")</f>
        <v>Tài khoản BIDV chi nhánh Q9_HCM</v>
      </c>
      <c r="N360" s="122" t="str">
        <f>IFERROR(__xludf.DUMMYFUNCTION("""COMPUTED_VALUE"""),"thôn 1 xã Hà Lâm Huyện Đạ Huoai Tỉnh Lâm Đồng")</f>
        <v>thôn 1 xã Hà Lâm Huyện Đạ Huoai Tỉnh Lâm Đồng</v>
      </c>
      <c r="O360" s="122"/>
      <c r="P360" s="123" t="str">
        <f>IFERROR(__xludf.DUMMYFUNCTION("""COMPUTED_VALUE"""),"trâm")</f>
        <v>trâm</v>
      </c>
      <c r="Q360" s="122"/>
      <c r="R360" s="122" t="str">
        <f>IFERROR(__xludf.DUMMYFUNCTION("""COMPUTED_VALUE"""),"INFHIEU043")</f>
        <v>INFHIEU043</v>
      </c>
      <c r="S360" s="124" t="str">
        <f>IFERROR(__xludf.DUMMYFUNCTION("""COMPUTED_VALUE"""),"http://yody.vn?affcode=INFHIEU043")</f>
        <v>http://yody.vn?affcode=INFHIEU043</v>
      </c>
    </row>
    <row r="361">
      <c r="A361" s="122" t="str">
        <f>IFERROR(__xludf.DUMMYFUNCTION("""COMPUTED_VALUE"""),"INFPHUONG555")</f>
        <v>INFPHUONG555</v>
      </c>
      <c r="B361" s="122" t="str">
        <f>IFERROR(__xludf.DUMMYFUNCTION("""COMPUTED_VALUE"""),"phuongku101")</f>
        <v>phuongku101</v>
      </c>
      <c r="C361" s="124" t="str">
        <f>IFERROR(__xludf.DUMMYFUNCTION("""COMPUTED_VALUE"""),"
tiktok")</f>
        <v>
tiktok</v>
      </c>
      <c r="D361" s="122"/>
      <c r="E361" s="122" t="str">
        <f>IFERROR(__xludf.DUMMYFUNCTION("""COMPUTED_VALUE"""),"980k")</f>
        <v>980k</v>
      </c>
      <c r="F361" s="122" t="str">
        <f>IFERROR(__xludf.DUMMYFUNCTION("""COMPUTED_VALUE"""),"Hoàng Thu Phương")</f>
        <v>Hoàng Thu Phương</v>
      </c>
      <c r="G361" s="126">
        <f>IFERROR(__xludf.DUMMYFUNCTION("""COMPUTED_VALUE"""),33158.0)</f>
        <v>33158</v>
      </c>
      <c r="H361" s="122">
        <f>IFERROR(__xludf.DUMMYFUNCTION("""COMPUTED_VALUE"""),1.12414186E8)</f>
        <v>112414186</v>
      </c>
      <c r="I361" s="122" t="str">
        <f>IFERROR(__xludf.DUMMYFUNCTION("""COMPUTED_VALUE"""),"0773223555")</f>
        <v>0773223555</v>
      </c>
      <c r="J361" s="122" t="str">
        <f>IFERROR(__xludf.DUMMYFUNCTION("""COMPUTED_VALUE"""),"phuongku@gmail.com")</f>
        <v>phuongku@gmail.com</v>
      </c>
      <c r="K361" s="122">
        <f>IFERROR(__xludf.DUMMYFUNCTION("""COMPUTED_VALUE"""),1.2110000420663E13)</f>
        <v>12110000420663</v>
      </c>
      <c r="L361" s="122" t="str">
        <f>IFERROR(__xludf.DUMMYFUNCTION("""COMPUTED_VALUE"""),"Hoang Thu Phuong")</f>
        <v>Hoang Thu Phuong</v>
      </c>
      <c r="M361" s="122" t="str">
        <f>IFERROR(__xludf.DUMMYFUNCTION("""COMPUTED_VALUE"""),"Bidv chi nhánh Hai Bà Trưng")</f>
        <v>Bidv chi nhánh Hai Bà Trưng</v>
      </c>
      <c r="N361" s="122" t="str">
        <f>IFERROR(__xludf.DUMMYFUNCTION("""COMPUTED_VALUE"""),"số 9 ngách 167/15 Tây Sơn, Đống Đa, Hà Nội.")</f>
        <v>số 9 ngách 167/15 Tây Sơn, Đống Đa, Hà Nội.</v>
      </c>
      <c r="O361" s="122"/>
      <c r="P361" s="123" t="str">
        <f>IFERROR(__xludf.DUMMYFUNCTION("""COMPUTED_VALUE"""),"trâm")</f>
        <v>trâm</v>
      </c>
      <c r="Q361" s="122"/>
      <c r="R361" s="122" t="str">
        <f>IFERROR(__xludf.DUMMYFUNCTION("""COMPUTED_VALUE"""),"INFPHUONG555")</f>
        <v>INFPHUONG555</v>
      </c>
      <c r="S361" s="124" t="str">
        <f>IFERROR(__xludf.DUMMYFUNCTION("""COMPUTED_VALUE"""),"http://yody.vn?affcode=INFPHUONG555")</f>
        <v>http://yody.vn?affcode=INFPHUONG555</v>
      </c>
    </row>
    <row r="362">
      <c r="A362" s="122" t="str">
        <f>IFERROR(__xludf.DUMMYFUNCTION("""COMPUTED_VALUE"""),"INFNGUYEN899")</f>
        <v>INFNGUYEN899</v>
      </c>
      <c r="B362" s="122" t="str">
        <f>IFERROR(__xludf.DUMMYFUNCTION("""COMPUTED_VALUE"""),"nguyn35")</f>
        <v>nguyn35</v>
      </c>
      <c r="C362" s="124" t="str">
        <f>IFERROR(__xludf.DUMMYFUNCTION("""COMPUTED_VALUE"""),"tiktok")</f>
        <v>tiktok</v>
      </c>
      <c r="D362" s="122"/>
      <c r="E362" s="122" t="str">
        <f>IFERROR(__xludf.DUMMYFUNCTION("""COMPUTED_VALUE"""),"204k")</f>
        <v>204k</v>
      </c>
      <c r="F362" s="122" t="str">
        <f>IFERROR(__xludf.DUMMYFUNCTION("""COMPUTED_VALUE"""),"Nguyễn Thị Nguyên")</f>
        <v>Nguyễn Thị Nguyên</v>
      </c>
      <c r="G362" s="122" t="str">
        <f>IFERROR(__xludf.DUMMYFUNCTION("""COMPUTED_VALUE"""),"29/08/1999")</f>
        <v>29/08/1999</v>
      </c>
      <c r="H362" s="122" t="str">
        <f>IFERROR(__xludf.DUMMYFUNCTION("""COMPUTED_VALUE"""),"038199003202")</f>
        <v>038199003202</v>
      </c>
      <c r="I362" s="122" t="str">
        <f>IFERROR(__xludf.DUMMYFUNCTION("""COMPUTED_VALUE"""),"0837290899")</f>
        <v>0837290899</v>
      </c>
      <c r="J362" s="122" t="str">
        <f>IFERROR(__xludf.DUMMYFUNCTION("""COMPUTED_VALUE"""),"Nguyen290899@gmail.com")</f>
        <v>Nguyen290899@gmail.com</v>
      </c>
      <c r="K362" s="122" t="str">
        <f>IFERROR(__xludf.DUMMYFUNCTION("""COMPUTED_VALUE"""),"04271350901")</f>
        <v>04271350901</v>
      </c>
      <c r="L362" s="122" t="str">
        <f>IFERROR(__xludf.DUMMYFUNCTION("""COMPUTED_VALUE""")," Nguyễn thị nguyên
")</f>
        <v> Nguyễn thị nguyên
</v>
      </c>
      <c r="M362" s="122" t="str">
        <f>IFERROR(__xludf.DUMMYFUNCTION("""COMPUTED_VALUE"""),"tp bank")</f>
        <v>tp bank</v>
      </c>
      <c r="N362" s="122" t="str">
        <f>IFERROR(__xludf.DUMMYFUNCTION("""COMPUTED_VALUE"""),"Số 1248 đường Quang trung phường quảng thịnh tp thanh hoá")</f>
        <v>Số 1248 đường Quang trung phường quảng thịnh tp thanh hoá</v>
      </c>
      <c r="O362" s="122"/>
      <c r="P362" s="123" t="str">
        <f>IFERROR(__xludf.DUMMYFUNCTION("""COMPUTED_VALUE"""),"trâm")</f>
        <v>trâm</v>
      </c>
      <c r="Q362" s="122"/>
      <c r="R362" s="122" t="str">
        <f>IFERROR(__xludf.DUMMYFUNCTION("""COMPUTED_VALUE"""),"INFNGUYEN899")</f>
        <v>INFNGUYEN899</v>
      </c>
      <c r="S362" s="124" t="str">
        <f>IFERROR(__xludf.DUMMYFUNCTION("""COMPUTED_VALUE"""),"http://yody.vn?affcode=INFNGUYEN899")</f>
        <v>http://yody.vn?affcode=INFNGUYEN899</v>
      </c>
    </row>
    <row r="363">
      <c r="A363" s="122" t="str">
        <f>IFERROR(__xludf.DUMMYFUNCTION("""COMPUTED_VALUE"""),"INFLINH616")</f>
        <v>INFLINH616</v>
      </c>
      <c r="B363" s="122" t="str">
        <f>IFERROR(__xludf.DUMMYFUNCTION("""COMPUTED_VALUE"""),"linhkool1993")</f>
        <v>linhkool1993</v>
      </c>
      <c r="C363" s="124" t="str">
        <f>IFERROR(__xludf.DUMMYFUNCTION("""COMPUTED_VALUE"""),"tiktok")</f>
        <v>tiktok</v>
      </c>
      <c r="D363" s="122"/>
      <c r="E363" s="122" t="str">
        <f>IFERROR(__xludf.DUMMYFUNCTION("""COMPUTED_VALUE"""),"3M")</f>
        <v>3M</v>
      </c>
      <c r="F363" s="122" t="str">
        <f>IFERROR(__xludf.DUMMYFUNCTION("""COMPUTED_VALUE"""),"Nguyễn Thị Linh ")</f>
        <v>Nguyễn Thị Linh </v>
      </c>
      <c r="G363" s="122" t="str">
        <f>IFERROR(__xludf.DUMMYFUNCTION("""COMPUTED_VALUE"""),"15/8/1993 ")</f>
        <v>15/8/1993 </v>
      </c>
      <c r="H363" s="122" t="str">
        <f>IFERROR(__xludf.DUMMYFUNCTION("""COMPUTED_VALUE"""),"033193003056")</f>
        <v>033193003056</v>
      </c>
      <c r="I363" s="122" t="str">
        <f>IFERROR(__xludf.DUMMYFUNCTION("""COMPUTED_VALUE"""),"0962128616")</f>
        <v>0962128616</v>
      </c>
      <c r="J363" s="122" t="str">
        <f>IFERROR(__xludf.DUMMYFUNCTION("""COMPUTED_VALUE"""),"jiecherry9097@gmail.com")</f>
        <v>jiecherry9097@gmail.com</v>
      </c>
      <c r="K363" s="122" t="str">
        <f>IFERROR(__xludf.DUMMYFUNCTION("""COMPUTED_VALUE""")," 0011004404131")</f>
        <v> 0011004404131</v>
      </c>
      <c r="L363" s="122" t="str">
        <f>IFERROR(__xludf.DUMMYFUNCTION("""COMPUTED_VALUE"""),"Nguyễn thị linh ")</f>
        <v>Nguyễn thị linh </v>
      </c>
      <c r="M363" s="122" t="str">
        <f>IFERROR(__xludf.DUMMYFUNCTION("""COMPUTED_VALUE"""),"vietcombank ")</f>
        <v>vietcombank </v>
      </c>
      <c r="N363" s="122" t="str">
        <f>IFERROR(__xludf.DUMMYFUNCTION("""COMPUTED_VALUE"""),"117 Đặng tiến đông ")</f>
        <v>117 Đặng tiến đông </v>
      </c>
      <c r="O363" s="122"/>
      <c r="P363" s="123" t="str">
        <f>IFERROR(__xludf.DUMMYFUNCTION("""COMPUTED_VALUE"""),"trâm")</f>
        <v>trâm</v>
      </c>
      <c r="Q363" s="122"/>
      <c r="R363" s="122" t="str">
        <f>IFERROR(__xludf.DUMMYFUNCTION("""COMPUTED_VALUE"""),"INFLINH616")</f>
        <v>INFLINH616</v>
      </c>
      <c r="S363" s="124" t="str">
        <f>IFERROR(__xludf.DUMMYFUNCTION("""COMPUTED_VALUE"""),"http://yody.vn?affcode=INFLINH616")</f>
        <v>http://yody.vn?affcode=INFLINH616</v>
      </c>
    </row>
    <row r="364">
      <c r="A364" s="122" t="str">
        <f>IFERROR(__xludf.DUMMYFUNCTION("""COMPUTED_VALUE"""),"INFNA041")</f>
        <v>INFNA041</v>
      </c>
      <c r="B364" s="122" t="str">
        <f>IFERROR(__xludf.DUMMYFUNCTION("""COMPUTED_VALUE"""),"baona_0801")</f>
        <v>baona_0801</v>
      </c>
      <c r="C364" s="124" t="str">
        <f>IFERROR(__xludf.DUMMYFUNCTION("""COMPUTED_VALUE"""),"tiktok")</f>
        <v>tiktok</v>
      </c>
      <c r="D364" s="122"/>
      <c r="E364" s="122" t="str">
        <f>IFERROR(__xludf.DUMMYFUNCTION("""COMPUTED_VALUE"""),"838k")</f>
        <v>838k</v>
      </c>
      <c r="F364" s="122" t="str">
        <f>IFERROR(__xludf.DUMMYFUNCTION("""COMPUTED_VALUE"""),"Trần Lê Bảo Na")</f>
        <v>Trần Lê Bảo Na</v>
      </c>
      <c r="G364" s="125">
        <f>IFERROR(__xludf.DUMMYFUNCTION("""COMPUTED_VALUE"""),38200.0)</f>
        <v>38200</v>
      </c>
      <c r="H364" s="122">
        <f>IFERROR(__xludf.DUMMYFUNCTION("""COMPUTED_VALUE"""),2.01890142E8)</f>
        <v>201890142</v>
      </c>
      <c r="I364" s="122" t="str">
        <f>IFERROR(__xludf.DUMMYFUNCTION("""COMPUTED_VALUE"""),"0941219041")</f>
        <v>0941219041</v>
      </c>
      <c r="J364" s="122" t="str">
        <f>IFERROR(__xludf.DUMMYFUNCTION("""COMPUTED_VALUE"""),"Trannina2004@gmail.com")</f>
        <v>Trannina2004@gmail.com</v>
      </c>
      <c r="K364" s="122" t="str">
        <f>IFERROR(__xludf.DUMMYFUNCTION("""COMPUTED_VALUE"""),"040088954442")</f>
        <v>040088954442</v>
      </c>
      <c r="L364" s="122"/>
      <c r="M364" s="122" t="str">
        <f>IFERROR(__xludf.DUMMYFUNCTION("""COMPUTED_VALUE"""),"SACOMBANK")</f>
        <v>SACOMBANK</v>
      </c>
      <c r="N364" s="122" t="str">
        <f>IFERROR(__xludf.DUMMYFUNCTION("""COMPUTED_VALUE"""),"Tp Đà nẵng , quận ngũ hành sơn, 29 sư vạn hạnh")</f>
        <v>Tp Đà nẵng , quận ngũ hành sơn, 29 sư vạn hạnh</v>
      </c>
      <c r="O364" s="122"/>
      <c r="P364" s="123" t="str">
        <f>IFERROR(__xludf.DUMMYFUNCTION("""COMPUTED_VALUE"""),"trâm")</f>
        <v>trâm</v>
      </c>
      <c r="Q364" s="122"/>
      <c r="R364" s="122" t="str">
        <f>IFERROR(__xludf.DUMMYFUNCTION("""COMPUTED_VALUE"""),"INFNA041")</f>
        <v>INFNA041</v>
      </c>
      <c r="S364" s="124" t="str">
        <f>IFERROR(__xludf.DUMMYFUNCTION("""COMPUTED_VALUE"""),"http://yody.vn?affcode=INFNA041")</f>
        <v>http://yody.vn?affcode=INFNA041</v>
      </c>
    </row>
    <row r="365">
      <c r="A365" s="122" t="str">
        <f>IFERROR(__xludf.DUMMYFUNCTION("""COMPUTED_VALUE"""),"INFHIEN924")</f>
        <v>INFHIEN924</v>
      </c>
      <c r="B365" s="122" t="str">
        <f>IFERROR(__xludf.DUMMYFUNCTION("""COMPUTED_VALUE"""),"hinnf_203")</f>
        <v>hinnf_203</v>
      </c>
      <c r="C365" s="124" t="str">
        <f>IFERROR(__xludf.DUMMYFUNCTION("""COMPUTED_VALUE"""),"tiktok")</f>
        <v>tiktok</v>
      </c>
      <c r="D365" s="122"/>
      <c r="E365" s="122" t="str">
        <f>IFERROR(__xludf.DUMMYFUNCTION("""COMPUTED_VALUE"""),"514k")</f>
        <v>514k</v>
      </c>
      <c r="F365" s="122" t="str">
        <f>IFERROR(__xludf.DUMMYFUNCTION("""COMPUTED_VALUE"""),"Phan Thị Thu Hiền")</f>
        <v>Phan Thị Thu Hiền</v>
      </c>
      <c r="G365" s="122" t="str">
        <f>IFERROR(__xludf.DUMMYFUNCTION("""COMPUTED_VALUE"""),"27/01/2003")</f>
        <v>27/01/2003</v>
      </c>
      <c r="H365" s="122">
        <f>IFERROR(__xludf.DUMMYFUNCTION("""COMPUTED_VALUE"""),2.01910001E8)</f>
        <v>201910001</v>
      </c>
      <c r="I365" s="122" t="str">
        <f>IFERROR(__xludf.DUMMYFUNCTION("""COMPUTED_VALUE"""),"0702350924")</f>
        <v>0702350924</v>
      </c>
      <c r="J365" s="122" t="str">
        <f>IFERROR(__xludf.DUMMYFUNCTION("""COMPUTED_VALUE"""),"phanthithuhien2701@gmail.com")</f>
        <v>phanthithuhien2701@gmail.com</v>
      </c>
      <c r="K365" s="122">
        <f>IFERROR(__xludf.DUMMYFUNCTION("""COMPUTED_VALUE"""),2.00520626405E12)</f>
        <v>2005206264050</v>
      </c>
      <c r="L365" s="122" t="str">
        <f>IFERROR(__xludf.DUMMYFUNCTION("""COMPUTED_VALUE"""),"Phan Thị Thu Hiền")</f>
        <v>Phan Thị Thu Hiền</v>
      </c>
      <c r="M365" s="122" t="str">
        <f>IFERROR(__xludf.DUMMYFUNCTION("""COMPUTED_VALUE"""),"agribank")</f>
        <v>agribank</v>
      </c>
      <c r="N365" s="122" t="str">
        <f>IFERROR(__xludf.DUMMYFUNCTION("""COMPUTED_VALUE"""),"48 kiều sơn đen, hoà xuân, cẩm lệ, tp Đà nẵng")</f>
        <v>48 kiều sơn đen, hoà xuân, cẩm lệ, tp Đà nẵng</v>
      </c>
      <c r="O365" s="122"/>
      <c r="P365" s="123" t="str">
        <f>IFERROR(__xludf.DUMMYFUNCTION("""COMPUTED_VALUE"""),"trâm")</f>
        <v>trâm</v>
      </c>
      <c r="Q365" s="122"/>
      <c r="R365" s="122" t="str">
        <f>IFERROR(__xludf.DUMMYFUNCTION("""COMPUTED_VALUE"""),"INFHIEN924")</f>
        <v>INFHIEN924</v>
      </c>
      <c r="S365" s="124" t="str">
        <f>IFERROR(__xludf.DUMMYFUNCTION("""COMPUTED_VALUE"""),"http://yody.vn?affcode=INFHIEN924")</f>
        <v>http://yody.vn?affcode=INFHIEN924</v>
      </c>
    </row>
    <row r="366">
      <c r="A366" s="122" t="str">
        <f>IFERROR(__xludf.DUMMYFUNCTION("""COMPUTED_VALUE"""),"INFTRANG939")</f>
        <v>INFTRANG939</v>
      </c>
      <c r="B366" s="122" t="str">
        <f>IFERROR(__xludf.DUMMYFUNCTION("""COMPUTED_VALUE"""),"luuhuyentrang.nami")</f>
        <v>luuhuyentrang.nami</v>
      </c>
      <c r="C366" s="124" t="str">
        <f>IFERROR(__xludf.DUMMYFUNCTION("""COMPUTED_VALUE"""),"tiktok")</f>
        <v>tiktok</v>
      </c>
      <c r="D366" s="122"/>
      <c r="E366" s="122" t="str">
        <f>IFERROR(__xludf.DUMMYFUNCTION("""COMPUTED_VALUE"""),"805k")</f>
        <v>805k</v>
      </c>
      <c r="F366" s="122" t="str">
        <f>IFERROR(__xludf.DUMMYFUNCTION("""COMPUTED_VALUE"""),"Lưu Huyền Trang")</f>
        <v>Lưu Huyền Trang</v>
      </c>
      <c r="G366" s="128">
        <f>IFERROR(__xludf.DUMMYFUNCTION("""COMPUTED_VALUE"""),34223.0)</f>
        <v>34223</v>
      </c>
      <c r="H366" s="122" t="str">
        <f>IFERROR(__xludf.DUMMYFUNCTION("""COMPUTED_VALUE"""),"00119300006569")</f>
        <v>00119300006569</v>
      </c>
      <c r="I366" s="122" t="str">
        <f>IFERROR(__xludf.DUMMYFUNCTION("""COMPUTED_VALUE"""),"0911636939")</f>
        <v>0911636939</v>
      </c>
      <c r="J366" s="122" t="str">
        <f>IFERROR(__xludf.DUMMYFUNCTION("""COMPUTED_VALUE"""),"Trang93.huyen@gmail.com")</f>
        <v>Trang93.huyen@gmail.com</v>
      </c>
      <c r="K366" s="122" t="str">
        <f>IFERROR(__xludf.DUMMYFUNCTION("""COMPUTED_VALUE"""),"0991000020065")</f>
        <v>0991000020065</v>
      </c>
      <c r="L366" s="122"/>
      <c r="M366" s="122" t="str">
        <f>IFERROR(__xludf.DUMMYFUNCTION("""COMPUTED_VALUE"""),"vietcombank")</f>
        <v>vietcombank</v>
      </c>
      <c r="N366" s="122" t="str">
        <f>IFERROR(__xludf.DUMMYFUNCTION("""COMPUTED_VALUE"""),"số 14 ngõ 425 an dương vương- tây hồ hà nội")</f>
        <v>số 14 ngõ 425 an dương vương- tây hồ hà nội</v>
      </c>
      <c r="O366" s="122"/>
      <c r="P366" s="123" t="str">
        <f>IFERROR(__xludf.DUMMYFUNCTION("""COMPUTED_VALUE"""),"trâm")</f>
        <v>trâm</v>
      </c>
      <c r="Q366" s="122"/>
      <c r="R366" s="122" t="str">
        <f>IFERROR(__xludf.DUMMYFUNCTION("""COMPUTED_VALUE"""),"INFTRANG939")</f>
        <v>INFTRANG939</v>
      </c>
      <c r="S366" s="124" t="str">
        <f>IFERROR(__xludf.DUMMYFUNCTION("""COMPUTED_VALUE"""),"http://yody.vn?affcode=INFTRANG939")</f>
        <v>http://yody.vn?affcode=INFTRANG939</v>
      </c>
    </row>
    <row r="367">
      <c r="A367" s="122"/>
      <c r="B367" s="122" t="str">
        <f>IFERROR(__xludf.DUMMYFUNCTION("""COMPUTED_VALUE"""),"
macthiyen")</f>
        <v>
macthiyen</v>
      </c>
      <c r="C367" s="124" t="str">
        <f>IFERROR(__xludf.DUMMYFUNCTION("""COMPUTED_VALUE"""),"tiktok")</f>
        <v>tiktok</v>
      </c>
      <c r="D367" s="122"/>
      <c r="E367" s="122" t="str">
        <f>IFERROR(__xludf.DUMMYFUNCTION("""COMPUTED_VALUE"""),"495k")</f>
        <v>495k</v>
      </c>
      <c r="F367" s="122" t="str">
        <f>IFERROR(__xludf.DUMMYFUNCTION("""COMPUTED_VALUE"""),"Mạc Thị Yến")</f>
        <v>Mạc Thị Yến</v>
      </c>
      <c r="G367" s="128">
        <f>IFERROR(__xludf.DUMMYFUNCTION("""COMPUTED_VALUE"""),35836.0)</f>
        <v>35836</v>
      </c>
      <c r="H367" s="122">
        <f>IFERROR(__xludf.DUMMYFUNCTION("""COMPUTED_VALUE"""),1.42894371E8)</f>
        <v>142894371</v>
      </c>
      <c r="I367" s="122" t="str">
        <f>IFERROR(__xludf.DUMMYFUNCTION("""COMPUTED_VALUE"""),"0966697915")</f>
        <v>0966697915</v>
      </c>
      <c r="J367" s="122" t="str">
        <f>IFERROR(__xludf.DUMMYFUNCTION("""COMPUTED_VALUE"""),"Macyen98@gmail.com")</f>
        <v>Macyen98@gmail.com</v>
      </c>
      <c r="K367" s="122">
        <f>IFERROR(__xludf.DUMMYFUNCTION("""COMPUTED_VALUE"""),2.700107953007E12)</f>
        <v>2700107953007</v>
      </c>
      <c r="L367" s="122"/>
      <c r="M367" s="122" t="str">
        <f>IFERROR(__xludf.DUMMYFUNCTION("""COMPUTED_VALUE"""),"MB bank")</f>
        <v>MB bank</v>
      </c>
      <c r="N367" s="122"/>
      <c r="O367" s="122"/>
      <c r="P367" s="123"/>
      <c r="Q367" s="122"/>
      <c r="R367" s="122"/>
      <c r="S367" s="122"/>
    </row>
    <row r="368">
      <c r="A368" s="122" t="str">
        <f>IFERROR(__xludf.DUMMYFUNCTION("""COMPUTED_VALUE"""),"")</f>
        <v/>
      </c>
      <c r="B368" s="122" t="str">
        <f>IFERROR(__xludf.DUMMYFUNCTION("""COMPUTED_VALUE"""),"_.ngocanh._")</f>
        <v>_.ngocanh._</v>
      </c>
      <c r="C368" s="124" t="str">
        <f>IFERROR(__xludf.DUMMYFUNCTION("""COMPUTED_VALUE"""),"tiktok")</f>
        <v>tiktok</v>
      </c>
      <c r="D368" s="122"/>
      <c r="E368" s="122" t="str">
        <f>IFERROR(__xludf.DUMMYFUNCTION("""COMPUTED_VALUE"""),"211k")</f>
        <v>211k</v>
      </c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3" t="str">
        <f>IFERROR(__xludf.DUMMYFUNCTION("""COMPUTED_VALUE"""),"trâm")</f>
        <v>trâm</v>
      </c>
      <c r="Q368" s="122"/>
      <c r="R368" s="122" t="str">
        <f>IFERROR(__xludf.DUMMYFUNCTION("""COMPUTED_VALUE"""),"")</f>
        <v/>
      </c>
      <c r="S368" s="122"/>
    </row>
    <row r="369">
      <c r="A369" s="122" t="str">
        <f>IFERROR(__xludf.DUMMYFUNCTION("""COMPUTED_VALUE"""),"")</f>
        <v/>
      </c>
      <c r="B369" s="122" t="str">
        <f>IFERROR(__xludf.DUMMYFUNCTION("""COMPUTED_VALUE"""),"
maydei.3010")</f>
        <v>
maydei.3010</v>
      </c>
      <c r="C369" s="124" t="str">
        <f>IFERROR(__xludf.DUMMYFUNCTION("""COMPUTED_VALUE"""),"tiktok")</f>
        <v>tiktok</v>
      </c>
      <c r="D369" s="122"/>
      <c r="E369" s="122" t="str">
        <f>IFERROR(__xludf.DUMMYFUNCTION("""COMPUTED_VALUE"""),"258k")</f>
        <v>258k</v>
      </c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3" t="str">
        <f>IFERROR(__xludf.DUMMYFUNCTION("""COMPUTED_VALUE"""),"trâm")</f>
        <v>trâm</v>
      </c>
      <c r="Q369" s="122"/>
      <c r="R369" s="122" t="str">
        <f>IFERROR(__xludf.DUMMYFUNCTION("""COMPUTED_VALUE"""),"")</f>
        <v/>
      </c>
      <c r="S369" s="122"/>
    </row>
    <row r="370">
      <c r="A370" s="122" t="str">
        <f>IFERROR(__xludf.DUMMYFUNCTION("""COMPUTED_VALUE"""),"INFLUONG896")</f>
        <v>INFLUONG896</v>
      </c>
      <c r="B370" s="122" t="str">
        <f>IFERROR(__xludf.DUMMYFUNCTION("""COMPUTED_VALUE"""),"Hiền Lương")</f>
        <v>Hiền Lương</v>
      </c>
      <c r="C370" s="124" t="str">
        <f>IFERROR(__xludf.DUMMYFUNCTION("""COMPUTED_VALUE"""),"tiktok")</f>
        <v>tiktok</v>
      </c>
      <c r="D370" s="122"/>
      <c r="E370" s="122" t="str">
        <f>IFERROR(__xludf.DUMMYFUNCTION("""COMPUTED_VALUE"""),"1M")</f>
        <v>1M</v>
      </c>
      <c r="F370" s="122" t="str">
        <f>IFERROR(__xludf.DUMMYFUNCTION("""COMPUTED_VALUE"""),"Nguyễn Thị Hiền Lương")</f>
        <v>Nguyễn Thị Hiền Lương</v>
      </c>
      <c r="G370" s="122" t="str">
        <f>IFERROR(__xludf.DUMMYFUNCTION("""COMPUTED_VALUE"""),"30/12/2003")</f>
        <v>30/12/2003</v>
      </c>
      <c r="H370" s="122">
        <f>IFERROR(__xludf.DUMMYFUNCTION("""COMPUTED_VALUE"""),2.41981955E8)</f>
        <v>241981955</v>
      </c>
      <c r="I370" s="122" t="str">
        <f>IFERROR(__xludf.DUMMYFUNCTION("""COMPUTED_VALUE"""),"0824458896")</f>
        <v>0824458896</v>
      </c>
      <c r="J370" s="122" t="str">
        <f>IFERROR(__xludf.DUMMYFUNCTION("""COMPUTED_VALUE"""),"Luong34530@gmail.com")</f>
        <v>Luong34530@gmail.com</v>
      </c>
      <c r="K370" s="122" t="str">
        <f>IFERROR(__xludf.DUMMYFUNCTION("""COMPUTED_VALUE"""),"0381000528522 ")</f>
        <v>0381000528522 </v>
      </c>
      <c r="L370" s="122" t="str">
        <f>IFERROR(__xludf.DUMMYFUNCTION("""COMPUTED_VALUE"""),"nguyễn thi hai hoan")</f>
        <v>nguyễn thi hai hoan</v>
      </c>
      <c r="M370" s="122" t="str">
        <f>IFERROR(__xludf.DUMMYFUNCTION("""COMPUTED_VALUE"""),"vietcombank")</f>
        <v>vietcombank</v>
      </c>
      <c r="N370" s="122" t="str">
        <f>IFERROR(__xludf.DUMMYFUNCTION("""COMPUTED_VALUE"""),"Thôn 2 xã engai hiyen ktongbuk dak lak")</f>
        <v>Thôn 2 xã engai hiyen ktongbuk dak lak</v>
      </c>
      <c r="O370" s="122"/>
      <c r="P370" s="123" t="str">
        <f>IFERROR(__xludf.DUMMYFUNCTION("""COMPUTED_VALUE"""),"Hoa")</f>
        <v>Hoa</v>
      </c>
      <c r="Q370" s="122"/>
      <c r="R370" s="122" t="str">
        <f>IFERROR(__xludf.DUMMYFUNCTION("""COMPUTED_VALUE"""),"INFLUONG896")</f>
        <v>INFLUONG896</v>
      </c>
      <c r="S370" s="124" t="str">
        <f>IFERROR(__xludf.DUMMYFUNCTION("""COMPUTED_VALUE"""),"http://yody.vn?affcode=INFLUONG896")</f>
        <v>http://yody.vn?affcode=INFLUONG896</v>
      </c>
    </row>
    <row r="371">
      <c r="A371" s="122" t="str">
        <f>IFERROR(__xludf.DUMMYFUNCTION("""COMPUTED_VALUE"""),"INFLINH905")</f>
        <v>INFLINH905</v>
      </c>
      <c r="B371" s="122" t="str">
        <f>IFERROR(__xludf.DUMMYFUNCTION("""COMPUTED_VALUE"""),"Hồ Khánh Linh")</f>
        <v>Hồ Khánh Linh</v>
      </c>
      <c r="C371" s="124" t="str">
        <f>IFERROR(__xludf.DUMMYFUNCTION("""COMPUTED_VALUE"""),"tiktok")</f>
        <v>tiktok</v>
      </c>
      <c r="D371" s="122"/>
      <c r="E371" s="122" t="str">
        <f>IFERROR(__xludf.DUMMYFUNCTION("""COMPUTED_VALUE"""),"836,8k")</f>
        <v>836,8k</v>
      </c>
      <c r="F371" s="122" t="str">
        <f>IFERROR(__xludf.DUMMYFUNCTION("""COMPUTED_VALUE"""),"Hồ Khánh Linh")</f>
        <v>Hồ Khánh Linh</v>
      </c>
      <c r="G371" s="122" t="str">
        <f>IFERROR(__xludf.DUMMYFUNCTION("""COMPUTED_VALUE"""),"20/09/2005")</f>
        <v>20/09/2005</v>
      </c>
      <c r="H371" s="122" t="str">
        <f>IFERROR(__xludf.DUMMYFUNCTION("""COMPUTED_VALUE"""),"038305001457")</f>
        <v>038305001457</v>
      </c>
      <c r="I371" s="122" t="str">
        <f>IFERROR(__xludf.DUMMYFUNCTION("""COMPUTED_VALUE"""),"0975464905")</f>
        <v>0975464905</v>
      </c>
      <c r="J371" s="122" t="str">
        <f>IFERROR(__xludf.DUMMYFUNCTION("""COMPUTED_VALUE"""),"hklhkl2009@gmail.com")</f>
        <v>hklhkl2009@gmail.com</v>
      </c>
      <c r="K371" s="122">
        <f>IFERROR(__xludf.DUMMYFUNCTION("""COMPUTED_VALUE"""),1.9036325164013E13)</f>
        <v>19036325164013</v>
      </c>
      <c r="L371" s="122"/>
      <c r="M371" s="122"/>
      <c r="N371" s="122" t="str">
        <f>IFERROR(__xludf.DUMMYFUNCTION("""COMPUTED_VALUE"""),"124 đội cung phường đông thọ thành phố thanh hoá")</f>
        <v>124 đội cung phường đông thọ thành phố thanh hoá</v>
      </c>
      <c r="O371" s="122"/>
      <c r="P371" s="123" t="str">
        <f>IFERROR(__xludf.DUMMYFUNCTION("""COMPUTED_VALUE"""),"Hoa")</f>
        <v>Hoa</v>
      </c>
      <c r="Q371" s="122"/>
      <c r="R371" s="122" t="str">
        <f>IFERROR(__xludf.DUMMYFUNCTION("""COMPUTED_VALUE"""),"INFLINH905")</f>
        <v>INFLINH905</v>
      </c>
      <c r="S371" s="124" t="str">
        <f>IFERROR(__xludf.DUMMYFUNCTION("""COMPUTED_VALUE"""),"http://yody.vn?affcode=INFLINH905")</f>
        <v>http://yody.vn?affcode=INFLINH905</v>
      </c>
    </row>
    <row r="372">
      <c r="A372" s="122" t="str">
        <f>IFERROR(__xludf.DUMMYFUNCTION("""COMPUTED_VALUE"""),"INFTIEN746")</f>
        <v>INFTIEN746</v>
      </c>
      <c r="B372" s="122" t="str">
        <f>IFERROR(__xludf.DUMMYFUNCTION("""COMPUTED_VALUE"""),"Nguyễn Minh Tiến")</f>
        <v>Nguyễn Minh Tiến</v>
      </c>
      <c r="C372" s="124" t="str">
        <f>IFERROR(__xludf.DUMMYFUNCTION("""COMPUTED_VALUE"""),"tiktok")</f>
        <v>tiktok</v>
      </c>
      <c r="D372" s="122"/>
      <c r="E372" s="122" t="str">
        <f>IFERROR(__xludf.DUMMYFUNCTION("""COMPUTED_VALUE"""),"1,2M")</f>
        <v>1,2M</v>
      </c>
      <c r="F372" s="122" t="str">
        <f>IFERROR(__xludf.DUMMYFUNCTION("""COMPUTED_VALUE"""),"Nguyễn Minh Tiến")</f>
        <v>Nguyễn Minh Tiến</v>
      </c>
      <c r="G372" s="126">
        <f>IFERROR(__xludf.DUMMYFUNCTION("""COMPUTED_VALUE"""),37508.0)</f>
        <v>37508</v>
      </c>
      <c r="H372" s="122" t="str">
        <f>IFERROR(__xludf.DUMMYFUNCTION("""COMPUTED_VALUE"""),"024202000077")</f>
        <v>024202000077</v>
      </c>
      <c r="I372" s="122" t="str">
        <f>IFERROR(__xludf.DUMMYFUNCTION("""COMPUTED_VALUE"""),"0327204746")</f>
        <v>0327204746</v>
      </c>
      <c r="J372" s="122" t="str">
        <f>IFERROR(__xludf.DUMMYFUNCTION("""COMPUTED_VALUE"""),"nmtien992002@gmail.com")</f>
        <v>nmtien992002@gmail.com</v>
      </c>
      <c r="K372" s="122" t="str">
        <f>IFERROR(__xludf.DUMMYFUNCTION("""COMPUTED_VALUE"""),"0731000931156")</f>
        <v>0731000931156</v>
      </c>
      <c r="L372" s="122"/>
      <c r="M372" s="122"/>
      <c r="N372" s="122" t="str">
        <f>IFERROR(__xludf.DUMMYFUNCTION("""COMPUTED_VALUE"""),"UBND xã Xuân hương , Lạng Giang , Bắc giag ")</f>
        <v>UBND xã Xuân hương , Lạng Giang , Bắc giag </v>
      </c>
      <c r="O372" s="122"/>
      <c r="P372" s="123" t="str">
        <f>IFERROR(__xludf.DUMMYFUNCTION("""COMPUTED_VALUE"""),"Hoa")</f>
        <v>Hoa</v>
      </c>
      <c r="Q372" s="122"/>
      <c r="R372" s="122" t="str">
        <f>IFERROR(__xludf.DUMMYFUNCTION("""COMPUTED_VALUE"""),"INFTIEN746")</f>
        <v>INFTIEN746</v>
      </c>
      <c r="S372" s="124" t="str">
        <f>IFERROR(__xludf.DUMMYFUNCTION("""COMPUTED_VALUE"""),"http://yody.vn?affcode=INFTIEN746")</f>
        <v>http://yody.vn?affcode=INFTIEN746</v>
      </c>
    </row>
    <row r="373">
      <c r="A373" s="122" t="str">
        <f>IFERROR(__xludf.DUMMYFUNCTION("""COMPUTED_VALUE"""),"INFREENCY575")</f>
        <v>INFREENCY575</v>
      </c>
      <c r="B373" s="122" t="str">
        <f>IFERROR(__xludf.DUMMYFUNCTION("""COMPUTED_VALUE"""),"Reency Ngô")</f>
        <v>Reency Ngô</v>
      </c>
      <c r="C373" s="122" t="str">
        <f>IFERROR(__xludf.DUMMYFUNCTION("""COMPUTED_VALUE"""),"tiktok / fb /  youtube")</f>
        <v>tiktok / fb /  youtube</v>
      </c>
      <c r="D373" s="122"/>
      <c r="E373" s="122" t="str">
        <f>IFERROR(__xludf.DUMMYFUNCTION("""COMPUTED_VALUE"""),"9.4M / 748,2k / 221k")</f>
        <v>9.4M / 748,2k / 221k</v>
      </c>
      <c r="F373" s="122" t="str">
        <f>IFERROR(__xludf.DUMMYFUNCTION("""COMPUTED_VALUE"""),"Ngô Thuỳ Linh")</f>
        <v>Ngô Thuỳ Linh</v>
      </c>
      <c r="G373" s="126">
        <f>IFERROR(__xludf.DUMMYFUNCTION("""COMPUTED_VALUE"""),36537.0)</f>
        <v>36537</v>
      </c>
      <c r="H373" s="122" t="str">
        <f>IFERROR(__xludf.DUMMYFUNCTION("""COMPUTED_VALUE"""),"001300021652")</f>
        <v>001300021652</v>
      </c>
      <c r="I373" s="122" t="str">
        <f>IFERROR(__xludf.DUMMYFUNCTION("""COMPUTED_VALUE"""),"0925467575")</f>
        <v>0925467575</v>
      </c>
      <c r="J373" s="122" t="str">
        <f>IFERROR(__xludf.DUMMYFUNCTION("""COMPUTED_VALUE"""),"vzreencyngo@gmail.com")</f>
        <v>vzreencyngo@gmail.com</v>
      </c>
      <c r="K373" s="122"/>
      <c r="L373" s="122"/>
      <c r="M373" s="122"/>
      <c r="N373" s="122" t="str">
        <f>IFERROR(__xludf.DUMMYFUNCTION("""COMPUTED_VALUE"""),"110/47/16 đường số 30 p6 quận gò vấp tphcm")</f>
        <v>110/47/16 đường số 30 p6 quận gò vấp tphcm</v>
      </c>
      <c r="O373" s="122"/>
      <c r="P373" s="123" t="str">
        <f>IFERROR(__xludf.DUMMYFUNCTION("""COMPUTED_VALUE"""),"Hoa")</f>
        <v>Hoa</v>
      </c>
      <c r="Q373" s="122"/>
      <c r="R373" s="122" t="str">
        <f>IFERROR(__xludf.DUMMYFUNCTION("""COMPUTED_VALUE"""),"INFREENCY575")</f>
        <v>INFREENCY575</v>
      </c>
      <c r="S373" s="124" t="str">
        <f>IFERROR(__xludf.DUMMYFUNCTION("""COMPUTED_VALUE"""),"http://yody.vn?affcode=INFREENCY575")</f>
        <v>http://yody.vn?affcode=INFREENCY575</v>
      </c>
    </row>
    <row r="374">
      <c r="A374" s="122" t="str">
        <f>IFERROR(__xludf.DUMMYFUNCTION("""COMPUTED_VALUE"""),"INFLONG886")</f>
        <v>INFLONG886</v>
      </c>
      <c r="B374" s="122" t="str">
        <f>IFERROR(__xludf.DUMMYFUNCTION("""COMPUTED_VALUE"""),"Gia Long")</f>
        <v>Gia Long</v>
      </c>
      <c r="C374" s="122" t="str">
        <f>IFERROR(__xludf.DUMMYFUNCTION("""COMPUTED_VALUE"""),"tiktok  / fb / youtube")</f>
        <v>tiktok  / fb / youtube</v>
      </c>
      <c r="D374" s="122"/>
      <c r="E374" s="122" t="str">
        <f>IFERROR(__xludf.DUMMYFUNCTION("""COMPUTED_VALUE"""),"6.7M / 217k / 322k")</f>
        <v>6.7M / 217k / 322k</v>
      </c>
      <c r="F374" s="122" t="str">
        <f>IFERROR(__xludf.DUMMYFUNCTION("""COMPUTED_VALUE"""),"Phạm Hoàng Gia Long")</f>
        <v>Phạm Hoàng Gia Long</v>
      </c>
      <c r="G374" s="122" t="str">
        <f>IFERROR(__xludf.DUMMYFUNCTION("""COMPUTED_VALUE"""),"29/04/2000")</f>
        <v>29/04/2000</v>
      </c>
      <c r="H374" s="122" t="str">
        <f>IFERROR(__xludf.DUMMYFUNCTION("""COMPUTED_VALUE"""),"079200014838")</f>
        <v>079200014838</v>
      </c>
      <c r="I374" s="122" t="str">
        <f>IFERROR(__xludf.DUMMYFUNCTION("""COMPUTED_VALUE"""),"0977229886")</f>
        <v>0977229886</v>
      </c>
      <c r="J374" s="122" t="str">
        <f>IFERROR(__xludf.DUMMYFUNCTION("""COMPUTED_VALUE"""),"vzgialong294@gmail.com")</f>
        <v>vzgialong294@gmail.com</v>
      </c>
      <c r="K374" s="122"/>
      <c r="L374" s="122"/>
      <c r="M374" s="122"/>
      <c r="N374" s="122" t="str">
        <f>IFERROR(__xludf.DUMMYFUNCTION("""COMPUTED_VALUE"""),"110/47/16 đường số 30 p.6 Quận Gò Vấp")</f>
        <v>110/47/16 đường số 30 p.6 Quận Gò Vấp</v>
      </c>
      <c r="O374" s="122"/>
      <c r="P374" s="123" t="str">
        <f>IFERROR(__xludf.DUMMYFUNCTION("""COMPUTED_VALUE"""),"Hoa")</f>
        <v>Hoa</v>
      </c>
      <c r="Q374" s="122"/>
      <c r="R374" s="122" t="str">
        <f>IFERROR(__xludf.DUMMYFUNCTION("""COMPUTED_VALUE"""),"INFLONG886")</f>
        <v>INFLONG886</v>
      </c>
      <c r="S374" s="124" t="str">
        <f>IFERROR(__xludf.DUMMYFUNCTION("""COMPUTED_VALUE"""),"http://yody.vn?affcode=INFLONG886")</f>
        <v>http://yody.vn?affcode=INFLONG886</v>
      </c>
    </row>
    <row r="375">
      <c r="A375" s="122" t="str">
        <f>IFERROR(__xludf.DUMMYFUNCTION("""COMPUTED_VALUE"""),"INFVIRGO272")</f>
        <v>INFVIRGO272</v>
      </c>
      <c r="B375" s="122" t="str">
        <f>IFERROR(__xludf.DUMMYFUNCTION("""COMPUTED_VALUE"""),"Mr.Virgo")</f>
        <v>Mr.Virgo</v>
      </c>
      <c r="C375" s="122" t="str">
        <f>IFERROR(__xludf.DUMMYFUNCTION("""COMPUTED_VALUE"""),"tiktok /  ins")</f>
        <v>tiktok /  ins</v>
      </c>
      <c r="D375" s="122"/>
      <c r="E375" s="122" t="str">
        <f>IFERROR(__xludf.DUMMYFUNCTION("""COMPUTED_VALUE"""),"6.4M / 29,2k")</f>
        <v>6.4M / 29,2k</v>
      </c>
      <c r="F375" s="122" t="str">
        <f>IFERROR(__xludf.DUMMYFUNCTION("""COMPUTED_VALUE"""),"Nguyễn Văn Bảo")</f>
        <v>Nguyễn Văn Bảo</v>
      </c>
      <c r="G375" s="122" t="str">
        <f>IFERROR(__xludf.DUMMYFUNCTION("""COMPUTED_VALUE"""),"17/09/1995")</f>
        <v>17/09/1995</v>
      </c>
      <c r="H375" s="122">
        <f>IFERROR(__xludf.DUMMYFUNCTION("""COMPUTED_VALUE"""),3.71813036E8)</f>
        <v>371813036</v>
      </c>
      <c r="I375" s="122" t="str">
        <f>IFERROR(__xludf.DUMMYFUNCTION("""COMPUTED_VALUE"""),"0948800272")</f>
        <v>0948800272</v>
      </c>
      <c r="J375" s="122" t="str">
        <f>IFERROR(__xludf.DUMMYFUNCTION("""COMPUTED_VALUE"""),"vzchibao@gmail.com")</f>
        <v>vzchibao@gmail.com</v>
      </c>
      <c r="K375" s="122"/>
      <c r="L375" s="122"/>
      <c r="M375" s="122"/>
      <c r="N375" s="122" t="str">
        <f>IFERROR(__xludf.DUMMYFUNCTION("""COMPUTED_VALUE"""),"154/47 âu dương lân, p3,q8,hcm")</f>
        <v>154/47 âu dương lân, p3,q8,hcm</v>
      </c>
      <c r="O375" s="122"/>
      <c r="P375" s="123" t="str">
        <f>IFERROR(__xludf.DUMMYFUNCTION("""COMPUTED_VALUE"""),"Hoa")</f>
        <v>Hoa</v>
      </c>
      <c r="Q375" s="122"/>
      <c r="R375" s="122" t="str">
        <f>IFERROR(__xludf.DUMMYFUNCTION("""COMPUTED_VALUE"""),"INFVIRGO272")</f>
        <v>INFVIRGO272</v>
      </c>
      <c r="S375" s="124" t="str">
        <f>IFERROR(__xludf.DUMMYFUNCTION("""COMPUTED_VALUE"""),"http://yody.vn?affcode=INFVIRGO272")</f>
        <v>http://yody.vn?affcode=INFVIRGO272</v>
      </c>
    </row>
    <row r="376">
      <c r="A376" s="122" t="str">
        <f>IFERROR(__xludf.DUMMYFUNCTION("""COMPUTED_VALUE"""),"INFYIN257")</f>
        <v>INFYIN257</v>
      </c>
      <c r="B376" s="122" t="str">
        <f>IFERROR(__xludf.DUMMYFUNCTION("""COMPUTED_VALUE"""),"Yin Yin")</f>
        <v>Yin Yin</v>
      </c>
      <c r="C376" s="122" t="str">
        <f>IFERROR(__xludf.DUMMYFUNCTION("""COMPUTED_VALUE"""),"tiktok / fb ")</f>
        <v>tiktok / fb </v>
      </c>
      <c r="D376" s="122"/>
      <c r="E376" s="122" t="str">
        <f>IFERROR(__xludf.DUMMYFUNCTION("""COMPUTED_VALUE"""),"2.6M / 45,1k")</f>
        <v>2.6M / 45,1k</v>
      </c>
      <c r="F376" s="122" t="str">
        <f>IFERROR(__xludf.DUMMYFUNCTION("""COMPUTED_VALUE"""),"Nguyễn Thị Mỹ Duyên")</f>
        <v>Nguyễn Thị Mỹ Duyên</v>
      </c>
      <c r="G376" s="122" t="str">
        <f>IFERROR(__xludf.DUMMYFUNCTION("""COMPUTED_VALUE"""),"29/04/1999")</f>
        <v>29/04/1999</v>
      </c>
      <c r="H376" s="122">
        <f>IFERROR(__xludf.DUMMYFUNCTION("""COMPUTED_VALUE"""),2.51170164E8)</f>
        <v>251170164</v>
      </c>
      <c r="I376" s="122" t="str">
        <f>IFERROR(__xludf.DUMMYFUNCTION("""COMPUTED_VALUE"""),"0917473257")</f>
        <v>0917473257</v>
      </c>
      <c r="J376" s="122" t="str">
        <f>IFERROR(__xludf.DUMMYFUNCTION("""COMPUTED_VALUE"""),"vzyinyin@gmail.com")</f>
        <v>vzyinyin@gmail.com</v>
      </c>
      <c r="K376" s="122"/>
      <c r="L376" s="122"/>
      <c r="M376" s="122"/>
      <c r="N376" s="122" t="str">
        <f>IFERROR(__xludf.DUMMYFUNCTION("""COMPUTED_VALUE"""),"124 thôn Diom A xã Lạc Xuân Huyện Đơn Dương tỉnh Lâm Đồng")</f>
        <v>124 thôn Diom A xã Lạc Xuân Huyện Đơn Dương tỉnh Lâm Đồng</v>
      </c>
      <c r="O376" s="122"/>
      <c r="P376" s="123" t="str">
        <f>IFERROR(__xludf.DUMMYFUNCTION("""COMPUTED_VALUE"""),"Hoa")</f>
        <v>Hoa</v>
      </c>
      <c r="Q376" s="122"/>
      <c r="R376" s="122" t="str">
        <f>IFERROR(__xludf.DUMMYFUNCTION("""COMPUTED_VALUE"""),"INFYIN257")</f>
        <v>INFYIN257</v>
      </c>
      <c r="S376" s="124" t="str">
        <f>IFERROR(__xludf.DUMMYFUNCTION("""COMPUTED_VALUE"""),"http://yody.vn?affcode=INFYIN257")</f>
        <v>http://yody.vn?affcode=INFYIN257</v>
      </c>
    </row>
    <row r="377">
      <c r="A377" s="122" t="str">
        <f>IFERROR(__xludf.DUMMYFUNCTION("""COMPUTED_VALUE"""),"INFDINH091")</f>
        <v>INFDINH091</v>
      </c>
      <c r="B377" s="122" t="str">
        <f>IFERROR(__xludf.DUMMYFUNCTION("""COMPUTED_VALUE"""),"Nhã Dinh")</f>
        <v>Nhã Dinh</v>
      </c>
      <c r="C377" s="122" t="str">
        <f>IFERROR(__xludf.DUMMYFUNCTION("""COMPUTED_VALUE"""),"tiktok / fb")</f>
        <v>tiktok / fb</v>
      </c>
      <c r="D377" s="122"/>
      <c r="E377" s="122" t="str">
        <f>IFERROR(__xludf.DUMMYFUNCTION("""COMPUTED_VALUE"""),"2M / 223k")</f>
        <v>2M / 223k</v>
      </c>
      <c r="F377" s="122" t="str">
        <f>IFERROR(__xludf.DUMMYFUNCTION("""COMPUTED_VALUE"""),"Trương Nhã Dinh")</f>
        <v>Trương Nhã Dinh</v>
      </c>
      <c r="G377" s="126">
        <f>IFERROR(__xludf.DUMMYFUNCTION("""COMPUTED_VALUE"""),34798.0)</f>
        <v>34798</v>
      </c>
      <c r="H377" s="122" t="str">
        <f>IFERROR(__xludf.DUMMYFUNCTION("""COMPUTED_VALUE"""),"079195001626")</f>
        <v>079195001626</v>
      </c>
      <c r="I377" s="122" t="str">
        <f>IFERROR(__xludf.DUMMYFUNCTION("""COMPUTED_VALUE"""),"0793808091")</f>
        <v>0793808091</v>
      </c>
      <c r="J377" s="122" t="str">
        <f>IFERROR(__xludf.DUMMYFUNCTION("""COMPUTED_VALUE"""),"vznhadinh@gmail.com")</f>
        <v>vznhadinh@gmail.com</v>
      </c>
      <c r="K377" s="122"/>
      <c r="L377" s="122"/>
      <c r="M377" s="122"/>
      <c r="N377" s="122" t="str">
        <f>IFERROR(__xludf.DUMMYFUNCTION("""COMPUTED_VALUE"""),"95 Mạc Vân, Phường 12, Quận 8")</f>
        <v>95 Mạc Vân, Phường 12, Quận 8</v>
      </c>
      <c r="O377" s="122"/>
      <c r="P377" s="123" t="str">
        <f>IFERROR(__xludf.DUMMYFUNCTION("""COMPUTED_VALUE"""),"Hoa")</f>
        <v>Hoa</v>
      </c>
      <c r="Q377" s="122"/>
      <c r="R377" s="122" t="str">
        <f>IFERROR(__xludf.DUMMYFUNCTION("""COMPUTED_VALUE"""),"INFDINH091")</f>
        <v>INFDINH091</v>
      </c>
      <c r="S377" s="124" t="str">
        <f>IFERROR(__xludf.DUMMYFUNCTION("""COMPUTED_VALUE"""),"http://yody.vn?affcode=INFDINH091")</f>
        <v>http://yody.vn?affcode=INFDINH091</v>
      </c>
    </row>
    <row r="378">
      <c r="A378" s="122" t="str">
        <f>IFERROR(__xludf.DUMMYFUNCTION("""COMPUTED_VALUE"""),"INFMINAH051")</f>
        <v>INFMINAH051</v>
      </c>
      <c r="B378" s="122" t="str">
        <f>IFERROR(__xludf.DUMMYFUNCTION("""COMPUTED_VALUE"""),"Minah")</f>
        <v>Minah</v>
      </c>
      <c r="C378" s="124" t="str">
        <f>IFERROR(__xludf.DUMMYFUNCTION("""COMPUTED_VALUE"""),"tiktok ")</f>
        <v>tiktok </v>
      </c>
      <c r="D378" s="122"/>
      <c r="E378" s="122" t="str">
        <f>IFERROR(__xludf.DUMMYFUNCTION("""COMPUTED_VALUE"""),"1.8M ")</f>
        <v>1.8M </v>
      </c>
      <c r="F378" s="122" t="str">
        <f>IFERROR(__xludf.DUMMYFUNCTION("""COMPUTED_VALUE"""),"Phạm Thị Huỳnh Thư")</f>
        <v>Phạm Thị Huỳnh Thư</v>
      </c>
      <c r="G378" s="122" t="str">
        <f>IFERROR(__xludf.DUMMYFUNCTION("""COMPUTED_VALUE"""),"21/03/1998")</f>
        <v>21/03/1998</v>
      </c>
      <c r="H378" s="122">
        <f>IFERROR(__xludf.DUMMYFUNCTION("""COMPUTED_VALUE"""),3.81835418E8)</f>
        <v>381835418</v>
      </c>
      <c r="I378" s="122" t="str">
        <f>IFERROR(__xludf.DUMMYFUNCTION("""COMPUTED_VALUE"""),"0919239051")</f>
        <v>0919239051</v>
      </c>
      <c r="J378" s="122" t="str">
        <f>IFERROR(__xludf.DUMMYFUNCTION("""COMPUTED_VALUE"""),"vzminah@gmail.com")</f>
        <v>vzminah@gmail.com</v>
      </c>
      <c r="K378" s="122"/>
      <c r="L378" s="122"/>
      <c r="M378" s="122"/>
      <c r="N378" s="122" t="str">
        <f>IFERROR(__xludf.DUMMYFUNCTION("""COMPUTED_VALUE"""),"142B đường số 47 Mai Văn Vĩnh phường Tân Quy quận 7 ")</f>
        <v>142B đường số 47 Mai Văn Vĩnh phường Tân Quy quận 7 </v>
      </c>
      <c r="O378" s="122"/>
      <c r="P378" s="123" t="str">
        <f>IFERROR(__xludf.DUMMYFUNCTION("""COMPUTED_VALUE"""),"Hoa")</f>
        <v>Hoa</v>
      </c>
      <c r="Q378" s="122"/>
      <c r="R378" s="122" t="str">
        <f>IFERROR(__xludf.DUMMYFUNCTION("""COMPUTED_VALUE"""),"INFMINAH051")</f>
        <v>INFMINAH051</v>
      </c>
      <c r="S378" s="124" t="str">
        <f>IFERROR(__xludf.DUMMYFUNCTION("""COMPUTED_VALUE"""),"http://yody.vn?affcode=INFMINAH051")</f>
        <v>http://yody.vn?affcode=INFMINAH051</v>
      </c>
    </row>
    <row r="379">
      <c r="A379" s="122" t="str">
        <f>IFERROR(__xludf.DUMMYFUNCTION("""COMPUTED_VALUE"""),"INFDAT197")</f>
        <v>INFDAT197</v>
      </c>
      <c r="B379" s="122" t="str">
        <f>IFERROR(__xludf.DUMMYFUNCTION("""COMPUTED_VALUE"""),"Thành Đạt")</f>
        <v>Thành Đạt</v>
      </c>
      <c r="C379" s="124" t="str">
        <f>IFERROR(__xludf.DUMMYFUNCTION("""COMPUTED_VALUE"""),"tiktok")</f>
        <v>tiktok</v>
      </c>
      <c r="D379" s="122"/>
      <c r="E379" s="122" t="str">
        <f>IFERROR(__xludf.DUMMYFUNCTION("""COMPUTED_VALUE"""),"1M")</f>
        <v>1M</v>
      </c>
      <c r="F379" s="122" t="str">
        <f>IFERROR(__xludf.DUMMYFUNCTION("""COMPUTED_VALUE"""),"Ngô Thành Đạt")</f>
        <v>Ngô Thành Đạt</v>
      </c>
      <c r="G379" s="122" t="str">
        <f>IFERROR(__xludf.DUMMYFUNCTION("""COMPUTED_VALUE"""),"29/06/1997")</f>
        <v>29/06/1997</v>
      </c>
      <c r="H379" s="122">
        <f>IFERROR(__xludf.DUMMYFUNCTION("""COMPUTED_VALUE"""),1.25695602E8)</f>
        <v>125695602</v>
      </c>
      <c r="I379" s="122" t="str">
        <f>IFERROR(__xludf.DUMMYFUNCTION("""COMPUTED_VALUE"""),"0869795197")</f>
        <v>0869795197</v>
      </c>
      <c r="J379" s="122" t="str">
        <f>IFERROR(__xludf.DUMMYFUNCTION("""COMPUTED_VALUE"""),"vzthanhdat@gmail.com")</f>
        <v>vzthanhdat@gmail.com</v>
      </c>
      <c r="K379" s="122"/>
      <c r="L379" s="122"/>
      <c r="M379" s="122"/>
      <c r="N379" s="122" t="str">
        <f>IFERROR(__xludf.DUMMYFUNCTION("""COMPUTED_VALUE"""),"M2 Chung cư jamona , 722 Đào Trí , Quận 7")</f>
        <v>M2 Chung cư jamona , 722 Đào Trí , Quận 7</v>
      </c>
      <c r="O379" s="122"/>
      <c r="P379" s="123" t="str">
        <f>IFERROR(__xludf.DUMMYFUNCTION("""COMPUTED_VALUE"""),"Hoa")</f>
        <v>Hoa</v>
      </c>
      <c r="Q379" s="122"/>
      <c r="R379" s="122" t="str">
        <f>IFERROR(__xludf.DUMMYFUNCTION("""COMPUTED_VALUE"""),"INFDAT197")</f>
        <v>INFDAT197</v>
      </c>
      <c r="S379" s="124" t="str">
        <f>IFERROR(__xludf.DUMMYFUNCTION("""COMPUTED_VALUE"""),"http://yody.vn?affcode=INFDAT197")</f>
        <v>http://yody.vn?affcode=INFDAT197</v>
      </c>
    </row>
    <row r="380">
      <c r="A380" s="122" t="str">
        <f>IFERROR(__xludf.DUMMYFUNCTION("""COMPUTED_VALUE"""),"INFCHERRY269")</f>
        <v>INFCHERRY269</v>
      </c>
      <c r="B380" s="122" t="str">
        <f>IFERROR(__xludf.DUMMYFUNCTION("""COMPUTED_VALUE"""),"Bé Cherry")</f>
        <v>Bé Cherry</v>
      </c>
      <c r="C380" s="124" t="str">
        <f>IFERROR(__xludf.DUMMYFUNCTION("""COMPUTED_VALUE"""),"tiktok")</f>
        <v>tiktok</v>
      </c>
      <c r="D380" s="122"/>
      <c r="E380" s="122" t="str">
        <f>IFERROR(__xludf.DUMMYFUNCTION("""COMPUTED_VALUE"""),"769k")</f>
        <v>769k</v>
      </c>
      <c r="F380" s="122" t="str">
        <f>IFERROR(__xludf.DUMMYFUNCTION("""COMPUTED_VALUE"""),"Nguyễn Hoàng Mẫn")</f>
        <v>Nguyễn Hoàng Mẫn</v>
      </c>
      <c r="G380" s="122" t="str">
        <f>IFERROR(__xludf.DUMMYFUNCTION("""COMPUTED_VALUE"""),"17/11/1990")</f>
        <v>17/11/1990</v>
      </c>
      <c r="H380" s="122" t="str">
        <f>IFERROR(__xludf.DUMMYFUNCTION("""COMPUTED_VALUE"""),"082090000037")</f>
        <v>082090000037</v>
      </c>
      <c r="I380" s="122" t="str">
        <f>IFERROR(__xludf.DUMMYFUNCTION("""COMPUTED_VALUE"""),"0778886269")</f>
        <v>0778886269</v>
      </c>
      <c r="J380" s="122" t="str">
        <f>IFERROR(__xludf.DUMMYFUNCTION("""COMPUTED_VALUE"""),"vzbecherry@gmail.com")</f>
        <v>vzbecherry@gmail.com</v>
      </c>
      <c r="K380" s="122"/>
      <c r="L380" s="122"/>
      <c r="M380" s="122"/>
      <c r="N380" s="122" t="str">
        <f>IFERROR(__xludf.DUMMYFUNCTION("""COMPUTED_VALUE"""),"cc 6b pham hung binh chanh")</f>
        <v>cc 6b pham hung binh chanh</v>
      </c>
      <c r="O380" s="122"/>
      <c r="P380" s="123" t="str">
        <f>IFERROR(__xludf.DUMMYFUNCTION("""COMPUTED_VALUE"""),"Hoa")</f>
        <v>Hoa</v>
      </c>
      <c r="Q380" s="122"/>
      <c r="R380" s="122" t="str">
        <f>IFERROR(__xludf.DUMMYFUNCTION("""COMPUTED_VALUE"""),"INFCHERRY269")</f>
        <v>INFCHERRY269</v>
      </c>
      <c r="S380" s="124" t="str">
        <f>IFERROR(__xludf.DUMMYFUNCTION("""COMPUTED_VALUE"""),"http://yody.vn?affcode=INFCHERRY269")</f>
        <v>http://yody.vn?affcode=INFCHERRY269</v>
      </c>
    </row>
    <row r="381">
      <c r="A381" s="122" t="str">
        <f>IFERROR(__xludf.DUMMYFUNCTION("""COMPUTED_VALUE"""),"INFHENRY608")</f>
        <v>INFHENRY608</v>
      </c>
      <c r="B381" s="122" t="str">
        <f>IFERROR(__xludf.DUMMYFUNCTION("""COMPUTED_VALUE"""),"Henry Tran")</f>
        <v>Henry Tran</v>
      </c>
      <c r="C381" s="124" t="str">
        <f>IFERROR(__xludf.DUMMYFUNCTION("""COMPUTED_VALUE"""),"fb")</f>
        <v>fb</v>
      </c>
      <c r="D381" s="122"/>
      <c r="E381" s="122" t="str">
        <f>IFERROR(__xludf.DUMMYFUNCTION("""COMPUTED_VALUE"""),"109,9k")</f>
        <v>109,9k</v>
      </c>
      <c r="F381" s="122" t="str">
        <f>IFERROR(__xludf.DUMMYFUNCTION("""COMPUTED_VALUE"""),"Trần Thị Tường Vy")</f>
        <v>Trần Thị Tường Vy</v>
      </c>
      <c r="G381" s="122" t="str">
        <f>IFERROR(__xludf.DUMMYFUNCTION("""COMPUTED_VALUE"""),"16-03-1996")</f>
        <v>16-03-1996</v>
      </c>
      <c r="H381" s="122">
        <f>IFERROR(__xludf.DUMMYFUNCTION("""COMPUTED_VALUE"""),2.25900716E8)</f>
        <v>225900716</v>
      </c>
      <c r="I381" s="122" t="str">
        <f>IFERROR(__xludf.DUMMYFUNCTION("""COMPUTED_VALUE"""),"0793299608")</f>
        <v>0793299608</v>
      </c>
      <c r="J381" s="122" t="str">
        <f>IFERROR(__xludf.DUMMYFUNCTION("""COMPUTED_VALUE"""),"bellamonhon@gmail.com")</f>
        <v>bellamonhon@gmail.com</v>
      </c>
      <c r="K381" s="122" t="str">
        <f>IFERROR(__xludf.DUMMYFUNCTION("""COMPUTED_VALUE"""),"010010005404600")</f>
        <v>010010005404600</v>
      </c>
      <c r="L381" s="122" t="str">
        <f>IFERROR(__xludf.DUMMYFUNCTION("""COMPUTED_VALUE"""),"Trần Thị Tường Vy")</f>
        <v>Trần Thị Tường Vy</v>
      </c>
      <c r="M381" s="122" t="str">
        <f>IFERROR(__xludf.DUMMYFUNCTION("""COMPUTED_VALUE"""),"OCB HCM")</f>
        <v>OCB HCM</v>
      </c>
      <c r="N381" s="122" t="str">
        <f>IFERROR(__xludf.DUMMYFUNCTION("""COMPUTED_VALUE"""),"241/2 Phạm Văn Đồng P1 Gò Vấp")</f>
        <v>241/2 Phạm Văn Đồng P1 Gò Vấp</v>
      </c>
      <c r="O381" s="122"/>
      <c r="P381" s="123" t="str">
        <f>IFERROR(__xludf.DUMMYFUNCTION("""COMPUTED_VALUE"""),"Hoa")</f>
        <v>Hoa</v>
      </c>
      <c r="Q381" s="122"/>
      <c r="R381" s="122" t="str">
        <f>IFERROR(__xludf.DUMMYFUNCTION("""COMPUTED_VALUE"""),"INFHENRY608")</f>
        <v>INFHENRY608</v>
      </c>
      <c r="S381" s="124" t="str">
        <f>IFERROR(__xludf.DUMMYFUNCTION("""COMPUTED_VALUE"""),"http://yody.vn?affcode=INFHENRY608")</f>
        <v>http://yody.vn?affcode=INFHENRY608</v>
      </c>
    </row>
    <row r="382">
      <c r="A382" s="122" t="str">
        <f>IFERROR(__xludf.DUMMYFUNCTION("""COMPUTED_VALUE"""),"")</f>
        <v/>
      </c>
      <c r="B382" s="122" t="str">
        <f>IFERROR(__xludf.DUMMYFUNCTION("""COMPUTED_VALUE"""),"Khánh Duy Bùi ")</f>
        <v>Khánh Duy Bùi </v>
      </c>
      <c r="C382" s="124" t="str">
        <f>IFERROR(__xludf.DUMMYFUNCTION("""COMPUTED_VALUE"""),"fb")</f>
        <v>fb</v>
      </c>
      <c r="D382" s="122"/>
      <c r="E382" s="122" t="str">
        <f>IFERROR(__xludf.DUMMYFUNCTION("""COMPUTED_VALUE"""),"60,2k")</f>
        <v>60,2k</v>
      </c>
      <c r="F382" s="122" t="str">
        <f>IFERROR(__xludf.DUMMYFUNCTION("""COMPUTED_VALUE"""),"Bùi Xuân Đoàn")</f>
        <v>Bùi Xuân Đoàn</v>
      </c>
      <c r="G382" s="122" t="str">
        <f>IFERROR(__xludf.DUMMYFUNCTION("""COMPUTED_VALUE"""),"20/9/1979")</f>
        <v>20/9/1979</v>
      </c>
      <c r="H382" s="122">
        <f>IFERROR(__xludf.DUMMYFUNCTION("""COMPUTED_VALUE"""),1.25070849E8)</f>
        <v>125070849</v>
      </c>
      <c r="I382" s="122" t="str">
        <f>IFERROR(__xludf.DUMMYFUNCTION("""COMPUTED_VALUE"""),"0912421185")</f>
        <v>0912421185</v>
      </c>
      <c r="J382" s="122" t="str">
        <f>IFERROR(__xludf.DUMMYFUNCTION("""COMPUTED_VALUE"""),"nguyetbn79@gmail.com")</f>
        <v>nguyetbn79@gmail.com</v>
      </c>
      <c r="K382" s="122">
        <f>IFERROR(__xludf.DUMMYFUNCTION("""COMPUTED_VALUE"""),2.5610002236726E13)</f>
        <v>25610002236726</v>
      </c>
      <c r="L382" s="122" t="str">
        <f>IFERROR(__xludf.DUMMYFUNCTION("""COMPUTED_VALUE"""),"Nguyễn Thị Nguyệt")</f>
        <v>Nguyễn Thị Nguyệt</v>
      </c>
      <c r="M382" s="122" t="str">
        <f>IFERROR(__xludf.DUMMYFUNCTION("""COMPUTED_VALUE"""),"BIDV Bắc Ninh")</f>
        <v>BIDV Bắc Ninh</v>
      </c>
      <c r="N382" s="122" t="str">
        <f>IFERROR(__xludf.DUMMYFUNCTION("""COMPUTED_VALUE"""),"Phường Kinh Bắc, TP Bắc Ninh")</f>
        <v>Phường Kinh Bắc, TP Bắc Ninh</v>
      </c>
      <c r="O382" s="122"/>
      <c r="P382" s="123" t="str">
        <f>IFERROR(__xludf.DUMMYFUNCTION("""COMPUTED_VALUE"""),"Hoa")</f>
        <v>Hoa</v>
      </c>
      <c r="Q382" s="122"/>
      <c r="R382" s="122" t="str">
        <f>IFERROR(__xludf.DUMMYFUNCTION("""COMPUTED_VALUE"""),"")</f>
        <v/>
      </c>
      <c r="S382" s="122"/>
    </row>
    <row r="383">
      <c r="A383" s="122" t="str">
        <f>IFERROR(__xludf.DUMMYFUNCTION("""COMPUTED_VALUE"""),"")</f>
        <v/>
      </c>
      <c r="B383" s="122" t="str">
        <f>IFERROR(__xludf.DUMMYFUNCTION("""COMPUTED_VALUE"""),"Nguyễn Thị Nguyệt")</f>
        <v>Nguyễn Thị Nguyệt</v>
      </c>
      <c r="C383" s="124" t="str">
        <f>IFERROR(__xludf.DUMMYFUNCTION("""COMPUTED_VALUE"""),"fb")</f>
        <v>fb</v>
      </c>
      <c r="D383" s="122"/>
      <c r="E383" s="122" t="str">
        <f>IFERROR(__xludf.DUMMYFUNCTION("""COMPUTED_VALUE"""),"104,3k")</f>
        <v>104,3k</v>
      </c>
      <c r="F383" s="122" t="str">
        <f>IFERROR(__xludf.DUMMYFUNCTION("""COMPUTED_VALUE"""),"Đoàn Nguyệt")</f>
        <v>Đoàn Nguyệt</v>
      </c>
      <c r="G383" s="122" t="str">
        <f>IFERROR(__xludf.DUMMYFUNCTION("""COMPUTED_VALUE"""),"29/05/1979")</f>
        <v>29/05/1979</v>
      </c>
      <c r="H383" s="122">
        <f>IFERROR(__xludf.DUMMYFUNCTION("""COMPUTED_VALUE"""),1.25003412E8)</f>
        <v>125003412</v>
      </c>
      <c r="I383" s="122" t="str">
        <f>IFERROR(__xludf.DUMMYFUNCTION("""COMPUTED_VALUE"""),"0978292595")</f>
        <v>0978292595</v>
      </c>
      <c r="J383" s="122" t="str">
        <f>IFERROR(__xludf.DUMMYFUNCTION("""COMPUTED_VALUE"""),"nguyetbacninh@gmail.com")</f>
        <v>nguyetbacninh@gmail.com</v>
      </c>
      <c r="K383" s="122" t="str">
        <f>IFERROR(__xludf.DUMMYFUNCTION("""COMPUTED_VALUE"""),"0351001052231 ")</f>
        <v>0351001052231 </v>
      </c>
      <c r="L383" s="122" t="str">
        <f>IFERROR(__xludf.DUMMYFUNCTION("""COMPUTED_VALUE"""),"Nguyễn Thị Nguyệt")</f>
        <v>Nguyễn Thị Nguyệt</v>
      </c>
      <c r="M383" s="122" t="str">
        <f>IFERROR(__xludf.DUMMYFUNCTION("""COMPUTED_VALUE"""),"VCB Bắc Ninh")</f>
        <v>VCB Bắc Ninh</v>
      </c>
      <c r="N383" s="122" t="str">
        <f>IFERROR(__xludf.DUMMYFUNCTION("""COMPUTED_VALUE"""),"Vệ An, TP Bắc Ninh")</f>
        <v>Vệ An, TP Bắc Ninh</v>
      </c>
      <c r="O383" s="122"/>
      <c r="P383" s="123" t="str">
        <f>IFERROR(__xludf.DUMMYFUNCTION("""COMPUTED_VALUE"""),"Hoa")</f>
        <v>Hoa</v>
      </c>
      <c r="Q383" s="122"/>
      <c r="R383" s="122" t="str">
        <f>IFERROR(__xludf.DUMMYFUNCTION("""COMPUTED_VALUE"""),"")</f>
        <v/>
      </c>
      <c r="S383" s="122"/>
    </row>
    <row r="384">
      <c r="A384" s="122" t="str">
        <f>IFERROR(__xludf.DUMMYFUNCTION("""COMPUTED_VALUE"""),"")</f>
        <v/>
      </c>
      <c r="B384" s="122" t="str">
        <f>IFERROR(__xludf.DUMMYFUNCTION("""COMPUTED_VALUE"""),"Bé Ỉn")</f>
        <v>Bé Ỉn</v>
      </c>
      <c r="C384" s="124" t="str">
        <f>IFERROR(__xludf.DUMMYFUNCTION("""COMPUTED_VALUE"""),"fb")</f>
        <v>fb</v>
      </c>
      <c r="D384" s="122"/>
      <c r="E384" s="122" t="str">
        <f>IFERROR(__xludf.DUMMYFUNCTION("""COMPUTED_VALUE"""),"107,8k")</f>
        <v>107,8k</v>
      </c>
      <c r="F384" s="122" t="str">
        <f>IFERROR(__xludf.DUMMYFUNCTION("""COMPUTED_VALUE"""),"Nguyễn Thị Minh Nguyệt")</f>
        <v>Nguyễn Thị Minh Nguyệt</v>
      </c>
      <c r="G384" s="122" t="str">
        <f>IFERROR(__xludf.DUMMYFUNCTION("""COMPUTED_VALUE"""),"25/10/1986")</f>
        <v>25/10/1986</v>
      </c>
      <c r="H384" s="122">
        <f>IFERROR(__xludf.DUMMYFUNCTION("""COMPUTED_VALUE"""),1.25197088E8)</f>
        <v>125197088</v>
      </c>
      <c r="I384" s="122" t="str">
        <f>IFERROR(__xludf.DUMMYFUNCTION("""COMPUTED_VALUE"""),"0372592999")</f>
        <v>0372592999</v>
      </c>
      <c r="J384" s="122" t="str">
        <f>IFERROR(__xludf.DUMMYFUNCTION("""COMPUTED_VALUE"""),"thangnguyet1102@gmail.com")</f>
        <v>thangnguyet1102@gmail.com</v>
      </c>
      <c r="K384" s="122">
        <f>IFERROR(__xludf.DUMMYFUNCTION("""COMPUTED_VALUE"""),1.00006760788E11)</f>
        <v>100006760788</v>
      </c>
      <c r="L384" s="122" t="str">
        <f>IFERROR(__xludf.DUMMYFUNCTION("""COMPUTED_VALUE"""),"Nguyễn Thị Minh Nguyệt")</f>
        <v>Nguyễn Thị Minh Nguyệt</v>
      </c>
      <c r="M384" s="122" t="str">
        <f>IFERROR(__xludf.DUMMYFUNCTION("""COMPUTED_VALUE"""),"Ngân hàng Quốc Dân (NCB)")</f>
        <v>Ngân hàng Quốc Dân (NCB)</v>
      </c>
      <c r="N384" s="122" t="str">
        <f>IFERROR(__xludf.DUMMYFUNCTION("""COMPUTED_VALUE"""),"TP Bắc Ninh, tỉnh Bắc Ninh")</f>
        <v>TP Bắc Ninh, tỉnh Bắc Ninh</v>
      </c>
      <c r="O384" s="122"/>
      <c r="P384" s="123" t="str">
        <f>IFERROR(__xludf.DUMMYFUNCTION("""COMPUTED_VALUE"""),"Hoa")</f>
        <v>Hoa</v>
      </c>
      <c r="Q384" s="122"/>
      <c r="R384" s="122" t="str">
        <f>IFERROR(__xludf.DUMMYFUNCTION("""COMPUTED_VALUE"""),"")</f>
        <v/>
      </c>
      <c r="S384" s="122"/>
    </row>
    <row r="385">
      <c r="A385" s="122" t="str">
        <f>IFERROR(__xludf.DUMMYFUNCTION("""COMPUTED_VALUE"""),"")</f>
        <v/>
      </c>
      <c r="B385" s="122" t="str">
        <f>IFERROR(__xludf.DUMMYFUNCTION("""COMPUTED_VALUE"""),"haivothotvai")</f>
        <v>haivothotvai</v>
      </c>
      <c r="C385" s="124" t="str">
        <f>IFERROR(__xludf.DUMMYFUNCTION("""COMPUTED_VALUE"""),"tiktok")</f>
        <v>tiktok</v>
      </c>
      <c r="D385" s="122"/>
      <c r="E385" s="122" t="str">
        <f>IFERROR(__xludf.DUMMYFUNCTION("""COMPUTED_VALUE"""),"816.9K
")</f>
        <v>816.9K
</v>
      </c>
      <c r="F385" s="122" t="str">
        <f>IFERROR(__xludf.DUMMYFUNCTION("""COMPUTED_VALUE"""),"Phạm Duy Hải")</f>
        <v>Phạm Duy Hải</v>
      </c>
      <c r="G385" s="125">
        <f>IFERROR(__xludf.DUMMYFUNCTION("""COMPUTED_VALUE"""),36409.0)</f>
        <v>36409</v>
      </c>
      <c r="H385" s="122">
        <f>IFERROR(__xludf.DUMMYFUNCTION("""COMPUTED_VALUE"""),1.52248097E8)</f>
        <v>152248097</v>
      </c>
      <c r="I385" s="122"/>
      <c r="J385" s="122" t="str">
        <f>IFERROR(__xludf.DUMMYFUNCTION("""COMPUTED_VALUE"""),"Phamduyhaitphcm@gmail.com")</f>
        <v>Phamduyhaitphcm@gmail.com</v>
      </c>
      <c r="K385" s="122" t="str">
        <f>IFERROR(__xludf.DUMMYFUNCTION("""COMPUTED_VALUE"""),"
")</f>
        <v>
</v>
      </c>
      <c r="L385" s="122"/>
      <c r="M385" s="122"/>
      <c r="N385" s="122" t="str">
        <f>IFERROR(__xludf.DUMMYFUNCTION("""COMPUTED_VALUE"""),"
Hẻm 520 , quốc lộ 13 , phường Hiệp Bình Phước , Thành Phố Thủ Đức , Thành Phố Hồ Chí Minh
")</f>
        <v>
Hẻm 520 , quốc lộ 13 , phường Hiệp Bình Phước , Thành Phố Thủ Đức , Thành Phố Hồ Chí Minh
</v>
      </c>
      <c r="O385" s="122"/>
      <c r="P385" s="123" t="str">
        <f>IFERROR(__xludf.DUMMYFUNCTION("""COMPUTED_VALUE"""),"Mến")</f>
        <v>Mến</v>
      </c>
      <c r="Q385" s="122"/>
      <c r="R385" s="122" t="str">
        <f>IFERROR(__xludf.DUMMYFUNCTION("""COMPUTED_VALUE"""),"")</f>
        <v/>
      </c>
      <c r="S385" s="122"/>
    </row>
    <row r="386">
      <c r="A386" s="122" t="str">
        <f>IFERROR(__xludf.DUMMYFUNCTION("""COMPUTED_VALUE"""),"")</f>
        <v/>
      </c>
      <c r="B386" s="122" t="str">
        <f>IFERROR(__xludf.DUMMYFUNCTION("""COMPUTED_VALUE"""),"phamhuuthinh2003")</f>
        <v>phamhuuthinh2003</v>
      </c>
      <c r="C386" s="124" t="str">
        <f>IFERROR(__xludf.DUMMYFUNCTION("""COMPUTED_VALUE"""),"tiktok")</f>
        <v>tiktok</v>
      </c>
      <c r="D386" s="122"/>
      <c r="E386" s="122" t="str">
        <f>IFERROR(__xludf.DUMMYFUNCTION("""COMPUTED_VALUE"""),"1.7M")</f>
        <v>1.7M</v>
      </c>
      <c r="F386" s="122" t="str">
        <f>IFERROR(__xludf.DUMMYFUNCTION("""COMPUTED_VALUE"""),"Phạm Hữu Thịnh")</f>
        <v>Phạm Hữu Thịnh</v>
      </c>
      <c r="G386" s="122" t="str">
        <f>IFERROR(__xludf.DUMMYFUNCTION("""COMPUTED_VALUE"""),"29/10/2003
")</f>
        <v>29/10/2003
</v>
      </c>
      <c r="H386" s="122">
        <f>IFERROR(__xludf.DUMMYFUNCTION("""COMPUTED_VALUE"""),3.01827016E8)</f>
        <v>301827016</v>
      </c>
      <c r="I386" s="122" t="str">
        <f>IFERROR(__xludf.DUMMYFUNCTION("""COMPUTED_VALUE"""),"0845083066")</f>
        <v>0845083066</v>
      </c>
      <c r="J386" s="122" t="str">
        <f>IFERROR(__xludf.DUMMYFUNCTION("""COMPUTED_VALUE"""),"kimsoojoon2@gmail.com")</f>
        <v>kimsoojoon2@gmail.com</v>
      </c>
      <c r="K386" s="122"/>
      <c r="L386" s="122"/>
      <c r="M386" s="122"/>
      <c r="N386" s="122" t="str">
        <f>IFERROR(__xludf.DUMMYFUNCTION("""COMPUTED_VALUE"""),"Ấp lũy xã phước lại huyện cần giuộc tỉnh long an ( gần vừa gạo 5 đực ) ")</f>
        <v>Ấp lũy xã phước lại huyện cần giuộc tỉnh long an ( gần vừa gạo 5 đực ) </v>
      </c>
      <c r="O386" s="122"/>
      <c r="P386" s="123" t="str">
        <f>IFERROR(__xludf.DUMMYFUNCTION("""COMPUTED_VALUE"""),"Mến")</f>
        <v>Mến</v>
      </c>
      <c r="Q386" s="122"/>
      <c r="R386" s="122" t="str">
        <f>IFERROR(__xludf.DUMMYFUNCTION("""COMPUTED_VALUE"""),"")</f>
        <v/>
      </c>
      <c r="S386" s="122"/>
    </row>
    <row r="387">
      <c r="A387" s="122" t="str">
        <f>IFERROR(__xludf.DUMMYFUNCTION("""COMPUTED_VALUE"""),"INFANH238")</f>
        <v>INFANH238</v>
      </c>
      <c r="B387" s="122" t="str">
        <f>IFERROR(__xludf.DUMMYFUNCTION("""COMPUTED_VALUE"""),"gialinhnguyen.6")</f>
        <v>gialinhnguyen.6</v>
      </c>
      <c r="C387" s="124" t="str">
        <f>IFERROR(__xludf.DUMMYFUNCTION("""COMPUTED_VALUE"""),"tiktok")</f>
        <v>tiktok</v>
      </c>
      <c r="D387" s="122"/>
      <c r="E387" s="122" t="str">
        <f>IFERROR(__xludf.DUMMYFUNCTION("""COMPUTED_VALUE"""),"523.3K")</f>
        <v>523.3K</v>
      </c>
      <c r="F387" s="122" t="str">
        <f>IFERROR(__xludf.DUMMYFUNCTION("""COMPUTED_VALUE"""),"Nguyễn Thị Như Ánh")</f>
        <v>Nguyễn Thị Như Ánh</v>
      </c>
      <c r="G387" s="122" t="str">
        <f>IFERROR(__xludf.DUMMYFUNCTION("""COMPUTED_VALUE"""),"15/10/1997")</f>
        <v>15/10/1997</v>
      </c>
      <c r="H387" s="122">
        <f>IFERROR(__xludf.DUMMYFUNCTION("""COMPUTED_VALUE"""),2.21446396E8)</f>
        <v>221446396</v>
      </c>
      <c r="I387" s="122" t="str">
        <f>IFERROR(__xludf.DUMMYFUNCTION("""COMPUTED_VALUE"""),"0933354238")</f>
        <v>0933354238</v>
      </c>
      <c r="J387" s="122" t="str">
        <f>IFERROR(__xludf.DUMMYFUNCTION("""COMPUTED_VALUE"""),"contact.gialinh@gmail.com")</f>
        <v>contact.gialinh@gmail.com</v>
      </c>
      <c r="K387" s="122"/>
      <c r="L387" s="122"/>
      <c r="M387" s="122"/>
      <c r="N387" s="122" t="str">
        <f>IFERROR(__xludf.DUMMYFUNCTION("""COMPUTED_VALUE"""),"445 Nơ Trang Long phường 13, quận Bình Thạnh ")</f>
        <v>445 Nơ Trang Long phường 13, quận Bình Thạnh </v>
      </c>
      <c r="O387" s="122"/>
      <c r="P387" s="123" t="str">
        <f>IFERROR(__xludf.DUMMYFUNCTION("""COMPUTED_VALUE"""),"Mến")</f>
        <v>Mến</v>
      </c>
      <c r="Q387" s="122"/>
      <c r="R387" s="122" t="str">
        <f>IFERROR(__xludf.DUMMYFUNCTION("""COMPUTED_VALUE"""),"INFANH238")</f>
        <v>INFANH238</v>
      </c>
      <c r="S387" s="124" t="str">
        <f>IFERROR(__xludf.DUMMYFUNCTION("""COMPUTED_VALUE"""),"https://yody.vn/?affcode=INFANH238")</f>
        <v>https://yody.vn/?affcode=INFANH238</v>
      </c>
    </row>
    <row r="388">
      <c r="A388" s="122" t="str">
        <f>IFERROR(__xludf.DUMMYFUNCTION("""COMPUTED_VALUE"""),"INFKHAI131")</f>
        <v>INFKHAI131</v>
      </c>
      <c r="B388" s="122" t="str">
        <f>IFERROR(__xludf.DUMMYFUNCTION("""COMPUTED_VALUE"""),"khaicakhia99")</f>
        <v>khaicakhia99</v>
      </c>
      <c r="C388" s="124" t="str">
        <f>IFERROR(__xludf.DUMMYFUNCTION("""COMPUTED_VALUE"""),"tiktok")</f>
        <v>tiktok</v>
      </c>
      <c r="D388" s="122"/>
      <c r="E388" s="122" t="str">
        <f>IFERROR(__xludf.DUMMYFUNCTION("""COMPUTED_VALUE"""),"2M")</f>
        <v>2M</v>
      </c>
      <c r="F388" s="122" t="str">
        <f>IFERROR(__xludf.DUMMYFUNCTION("""COMPUTED_VALUE"""),"Hoàng Xuân Khải")</f>
        <v>Hoàng Xuân Khải</v>
      </c>
      <c r="G388" s="122" t="str">
        <f>IFERROR(__xludf.DUMMYFUNCTION("""COMPUTED_VALUE"""),"25/06/1999")</f>
        <v>25/06/1999</v>
      </c>
      <c r="H388" s="122" t="str">
        <f>IFERROR(__xludf.DUMMYFUNCTION("""COMPUTED_VALUE"""),"001099036364")</f>
        <v>001099036364</v>
      </c>
      <c r="I388" s="122" t="str">
        <f>IFERROR(__xludf.DUMMYFUNCTION("""COMPUTED_VALUE"""),"0389075131")</f>
        <v>0389075131</v>
      </c>
      <c r="J388" s="122" t="str">
        <f>IFERROR(__xludf.DUMMYFUNCTION("""COMPUTED_VALUE"""),"xuankhaihoang@gmail.com")</f>
        <v>xuankhaihoang@gmail.com</v>
      </c>
      <c r="K388" s="122"/>
      <c r="L388" s="122"/>
      <c r="M388" s="122"/>
      <c r="N388" s="122" t="str">
        <f>IFERROR(__xludf.DUMMYFUNCTION("""COMPUTED_VALUE"""),"Cửa hàng điện nước Hoàng Xuân Lộc, ngã tư Xuân Phú, xã Xuân Đình, huyện Phúc Thọ, Hà Nội.")</f>
        <v>Cửa hàng điện nước Hoàng Xuân Lộc, ngã tư Xuân Phú, xã Xuân Đình, huyện Phúc Thọ, Hà Nội.</v>
      </c>
      <c r="O388" s="122"/>
      <c r="P388" s="123" t="str">
        <f>IFERROR(__xludf.DUMMYFUNCTION("""COMPUTED_VALUE"""),"Mến")</f>
        <v>Mến</v>
      </c>
      <c r="Q388" s="122"/>
      <c r="R388" s="122" t="str">
        <f>IFERROR(__xludf.DUMMYFUNCTION("""COMPUTED_VALUE"""),"INFKHAI131")</f>
        <v>INFKHAI131</v>
      </c>
      <c r="S388" s="124" t="str">
        <f>IFERROR(__xludf.DUMMYFUNCTION("""COMPUTED_VALUE"""),"https://yody.vn/?affcode=INFKHAI131")</f>
        <v>https://yody.vn/?affcode=INFKHAI131</v>
      </c>
    </row>
    <row r="389">
      <c r="A389" s="122" t="str">
        <f>IFERROR(__xludf.DUMMYFUNCTION("""COMPUTED_VALUE"""),"")</f>
        <v/>
      </c>
      <c r="B389" s="122"/>
      <c r="C389" s="122"/>
      <c r="D389" s="122"/>
      <c r="E389" s="122"/>
      <c r="F389" s="122" t="str">
        <f>IFERROR(__xludf.DUMMYFUNCTION("""COMPUTED_VALUE"""),"Văn công hiệp")</f>
        <v>Văn công hiệp</v>
      </c>
      <c r="G389" s="122" t="str">
        <f>IFERROR(__xludf.DUMMYFUNCTION("""COMPUTED_VALUE"""),"21/07/1998")</f>
        <v>21/07/1998</v>
      </c>
      <c r="H389" s="122">
        <f>IFERROR(__xludf.DUMMYFUNCTION("""COMPUTED_VALUE"""),2.6449582E8)</f>
        <v>264495820</v>
      </c>
      <c r="I389" s="122" t="str">
        <f>IFERROR(__xludf.DUMMYFUNCTION("""COMPUTED_VALUE"""),"093 7814200")</f>
        <v>093 7814200</v>
      </c>
      <c r="J389" s="122" t="str">
        <f>IFERROR(__xludf.DUMMYFUNCTION("""COMPUTED_VALUE"""),"Naliuliu17@gmail.com")</f>
        <v>Naliuliu17@gmail.com</v>
      </c>
      <c r="K389" s="122"/>
      <c r="L389" s="122"/>
      <c r="M389" s="122"/>
      <c r="N389" s="122" t="str">
        <f>IFERROR(__xludf.DUMMYFUNCTION("""COMPUTED_VALUE"""),"1/304 trường chinh phu phố 9 phương văn hải phan rang ninh thuận")</f>
        <v>1/304 trường chinh phu phố 9 phương văn hải phan rang ninh thuận</v>
      </c>
      <c r="O389" s="122"/>
      <c r="P389" s="123" t="str">
        <f>IFERROR(__xludf.DUMMYFUNCTION("""COMPUTED_VALUE"""),"Mến")</f>
        <v>Mến</v>
      </c>
      <c r="Q389" s="122"/>
      <c r="R389" s="122" t="str">
        <f>IFERROR(__xludf.DUMMYFUNCTION("""COMPUTED_VALUE"""),"")</f>
        <v/>
      </c>
      <c r="S389" s="122"/>
    </row>
    <row r="390">
      <c r="A390" s="122" t="str">
        <f>IFERROR(__xludf.DUMMYFUNCTION("""COMPUTED_VALUE"""),"")</f>
        <v/>
      </c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3"/>
      <c r="Q390" s="122"/>
      <c r="R390" s="122" t="str">
        <f>IFERROR(__xludf.DUMMYFUNCTION("""COMPUTED_VALUE"""),"")</f>
        <v/>
      </c>
      <c r="S390" s="122"/>
    </row>
    <row r="391">
      <c r="A391" s="122" t="str">
        <f>IFERROR(__xludf.DUMMYFUNCTION("""COMPUTED_VALUE"""),"")</f>
        <v/>
      </c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3"/>
      <c r="Q391" s="122"/>
      <c r="R391" s="122" t="str">
        <f>IFERROR(__xludf.DUMMYFUNCTION("""COMPUTED_VALUE"""),"")</f>
        <v/>
      </c>
      <c r="S391" s="122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3"/>
      <c r="Q392" s="122"/>
      <c r="R392" s="122"/>
      <c r="S392" s="122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3"/>
      <c r="Q393" s="122"/>
      <c r="R393" s="122"/>
      <c r="S393" s="122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3"/>
      <c r="Q394" s="122"/>
      <c r="R394" s="122"/>
      <c r="S394" s="122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3"/>
      <c r="Q395" s="122"/>
      <c r="R395" s="122"/>
      <c r="S395" s="122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3"/>
      <c r="Q396" s="122"/>
      <c r="R396" s="122"/>
      <c r="S396" s="122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3"/>
      <c r="Q397" s="122"/>
      <c r="R397" s="122"/>
      <c r="S397" s="122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3"/>
      <c r="Q398" s="122"/>
      <c r="R398" s="122"/>
      <c r="S398" s="122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3"/>
      <c r="Q399" s="122"/>
      <c r="R399" s="122"/>
      <c r="S399" s="122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3"/>
      <c r="Q400" s="122"/>
      <c r="R400" s="122"/>
      <c r="S400" s="122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3"/>
      <c r="Q401" s="122"/>
      <c r="R401" s="122"/>
      <c r="S401" s="122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3"/>
      <c r="Q402" s="122"/>
      <c r="R402" s="122"/>
      <c r="S402" s="122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3"/>
      <c r="Q403" s="122"/>
      <c r="R403" s="122"/>
      <c r="S403" s="122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3"/>
      <c r="Q404" s="122"/>
      <c r="R404" s="122"/>
      <c r="S404" s="122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3"/>
      <c r="Q405" s="122"/>
      <c r="R405" s="122"/>
      <c r="S405" s="122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3"/>
      <c r="Q406" s="122"/>
      <c r="R406" s="122"/>
      <c r="S406" s="122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3"/>
      <c r="Q407" s="122"/>
      <c r="R407" s="122"/>
      <c r="S407" s="122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3"/>
      <c r="Q408" s="122"/>
      <c r="R408" s="122"/>
      <c r="S408" s="122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3"/>
      <c r="Q409" s="122"/>
      <c r="R409" s="122"/>
      <c r="S409" s="122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3"/>
      <c r="Q410" s="122"/>
      <c r="R410" s="122"/>
      <c r="S410" s="122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3"/>
      <c r="Q411" s="122"/>
      <c r="R411" s="122"/>
      <c r="S411" s="122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3"/>
      <c r="Q412" s="122"/>
      <c r="R412" s="122"/>
      <c r="S412" s="122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3"/>
      <c r="Q413" s="122"/>
      <c r="R413" s="122"/>
      <c r="S413" s="122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3"/>
      <c r="Q414" s="122"/>
      <c r="R414" s="122"/>
      <c r="S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3"/>
      <c r="Q415" s="122"/>
      <c r="R415" s="122"/>
      <c r="S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3"/>
      <c r="Q416" s="122"/>
      <c r="R416" s="122"/>
      <c r="S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3"/>
      <c r="Q417" s="122"/>
      <c r="R417" s="122"/>
      <c r="S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3"/>
      <c r="Q418" s="122"/>
      <c r="R418" s="122"/>
      <c r="S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3"/>
      <c r="Q419" s="122"/>
      <c r="R419" s="122"/>
      <c r="S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3"/>
      <c r="Q420" s="122"/>
      <c r="R420" s="122"/>
      <c r="S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3"/>
      <c r="Q421" s="122"/>
      <c r="R421" s="122"/>
      <c r="S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3"/>
      <c r="Q422" s="122"/>
      <c r="R422" s="122"/>
      <c r="S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3"/>
      <c r="Q423" s="122"/>
      <c r="R423" s="122"/>
      <c r="S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3"/>
      <c r="Q424" s="122"/>
      <c r="R424" s="122"/>
      <c r="S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3"/>
      <c r="Q425" s="122"/>
      <c r="R425" s="122"/>
      <c r="S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3"/>
      <c r="Q426" s="122"/>
      <c r="R426" s="122"/>
      <c r="S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3"/>
      <c r="Q427" s="122"/>
      <c r="R427" s="122"/>
      <c r="S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3"/>
      <c r="Q428" s="122"/>
      <c r="R428" s="122"/>
      <c r="S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3"/>
      <c r="Q429" s="122"/>
      <c r="R429" s="122"/>
      <c r="S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3"/>
      <c r="Q430" s="122"/>
      <c r="R430" s="122"/>
      <c r="S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3"/>
      <c r="Q431" s="122"/>
      <c r="R431" s="122"/>
      <c r="S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3"/>
      <c r="Q432" s="122"/>
      <c r="R432" s="122"/>
      <c r="S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3"/>
      <c r="Q433" s="122"/>
      <c r="R433" s="122"/>
      <c r="S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3"/>
      <c r="Q434" s="122"/>
      <c r="R434" s="122"/>
      <c r="S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3"/>
      <c r="Q435" s="122"/>
      <c r="R435" s="122"/>
      <c r="S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3"/>
      <c r="Q436" s="122"/>
      <c r="R436" s="122"/>
      <c r="S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3"/>
      <c r="Q437" s="122"/>
      <c r="R437" s="122"/>
      <c r="S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3"/>
      <c r="Q438" s="122"/>
      <c r="R438" s="122"/>
      <c r="S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3"/>
      <c r="Q439" s="122"/>
      <c r="R439" s="122"/>
      <c r="S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3"/>
      <c r="Q440" s="122"/>
      <c r="R440" s="122"/>
      <c r="S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3"/>
      <c r="Q441" s="122"/>
      <c r="R441" s="122"/>
      <c r="S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3"/>
      <c r="Q442" s="122"/>
      <c r="R442" s="122"/>
      <c r="S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3"/>
      <c r="Q443" s="122"/>
      <c r="R443" s="122"/>
      <c r="S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3"/>
      <c r="Q444" s="122"/>
      <c r="R444" s="122"/>
      <c r="S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3"/>
      <c r="Q445" s="122"/>
      <c r="R445" s="122"/>
      <c r="S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3"/>
      <c r="Q446" s="122"/>
      <c r="R446" s="122"/>
      <c r="S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3"/>
      <c r="Q447" s="122"/>
      <c r="R447" s="122"/>
      <c r="S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3"/>
      <c r="Q448" s="122"/>
      <c r="R448" s="122"/>
      <c r="S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3"/>
      <c r="Q449" s="122"/>
      <c r="R449" s="122"/>
      <c r="S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3"/>
      <c r="Q450" s="122"/>
      <c r="R450" s="122"/>
      <c r="S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3"/>
      <c r="Q451" s="122"/>
      <c r="R451" s="122"/>
      <c r="S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3"/>
      <c r="Q452" s="122"/>
      <c r="R452" s="122"/>
      <c r="S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3"/>
      <c r="Q453" s="122"/>
      <c r="R453" s="122"/>
      <c r="S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3"/>
      <c r="Q454" s="122"/>
      <c r="R454" s="122"/>
      <c r="S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3"/>
      <c r="Q455" s="122"/>
      <c r="R455" s="122"/>
      <c r="S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3"/>
      <c r="Q456" s="122"/>
      <c r="R456" s="122"/>
      <c r="S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3"/>
      <c r="Q457" s="122"/>
      <c r="R457" s="122"/>
      <c r="S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3"/>
      <c r="Q458" s="122"/>
      <c r="R458" s="122"/>
      <c r="S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3"/>
      <c r="Q459" s="122"/>
      <c r="R459" s="122"/>
      <c r="S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3"/>
      <c r="Q460" s="122"/>
      <c r="R460" s="122"/>
      <c r="S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3"/>
      <c r="Q461" s="122"/>
      <c r="R461" s="122"/>
      <c r="S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3"/>
      <c r="Q462" s="122"/>
      <c r="R462" s="122"/>
      <c r="S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3"/>
      <c r="Q463" s="122"/>
      <c r="R463" s="122"/>
      <c r="S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3"/>
      <c r="Q464" s="122"/>
      <c r="R464" s="122"/>
      <c r="S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3"/>
      <c r="Q465" s="122"/>
      <c r="R465" s="122"/>
      <c r="S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3"/>
      <c r="Q466" s="122"/>
      <c r="R466" s="122"/>
      <c r="S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3"/>
      <c r="Q467" s="122"/>
      <c r="R467" s="122"/>
      <c r="S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3"/>
      <c r="Q468" s="122"/>
      <c r="R468" s="122"/>
      <c r="S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3"/>
      <c r="Q469" s="122"/>
      <c r="R469" s="122"/>
      <c r="S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3"/>
      <c r="Q470" s="122"/>
      <c r="R470" s="122"/>
      <c r="S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3"/>
      <c r="Q471" s="122"/>
      <c r="R471" s="122"/>
      <c r="S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3"/>
      <c r="Q472" s="122"/>
      <c r="R472" s="122"/>
      <c r="S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3"/>
      <c r="Q473" s="122"/>
      <c r="R473" s="122"/>
      <c r="S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3"/>
      <c r="Q474" s="122"/>
      <c r="R474" s="122"/>
      <c r="S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3"/>
      <c r="Q475" s="122"/>
      <c r="R475" s="122"/>
      <c r="S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3"/>
      <c r="Q476" s="122"/>
      <c r="R476" s="122"/>
      <c r="S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3"/>
      <c r="Q477" s="122"/>
      <c r="R477" s="122"/>
      <c r="S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3"/>
      <c r="Q478" s="122"/>
      <c r="R478" s="122"/>
      <c r="S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3"/>
      <c r="Q479" s="122"/>
      <c r="R479" s="122"/>
      <c r="S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3"/>
      <c r="Q480" s="122"/>
      <c r="R480" s="122"/>
      <c r="S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3"/>
      <c r="Q481" s="122"/>
      <c r="R481" s="122"/>
      <c r="S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3"/>
      <c r="Q482" s="122"/>
      <c r="R482" s="122"/>
      <c r="S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3"/>
      <c r="Q483" s="122"/>
      <c r="R483" s="122"/>
      <c r="S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3"/>
      <c r="Q484" s="122"/>
      <c r="R484" s="122"/>
      <c r="S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3"/>
      <c r="Q485" s="122"/>
      <c r="R485" s="122"/>
      <c r="S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3"/>
      <c r="Q486" s="122"/>
      <c r="R486" s="122"/>
      <c r="S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3"/>
      <c r="Q487" s="122"/>
      <c r="R487" s="122"/>
      <c r="S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3"/>
      <c r="Q488" s="122"/>
      <c r="R488" s="122"/>
      <c r="S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3"/>
      <c r="Q489" s="122"/>
      <c r="R489" s="122"/>
      <c r="S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3"/>
      <c r="Q490" s="122"/>
      <c r="R490" s="122"/>
      <c r="S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3"/>
      <c r="Q491" s="122"/>
      <c r="R491" s="122"/>
      <c r="S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3"/>
      <c r="Q492" s="122"/>
      <c r="R492" s="122"/>
      <c r="S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3"/>
      <c r="Q493" s="122"/>
      <c r="R493" s="122"/>
      <c r="S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3"/>
      <c r="Q494" s="122"/>
      <c r="R494" s="122"/>
      <c r="S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3"/>
      <c r="Q495" s="122"/>
      <c r="R495" s="122"/>
      <c r="S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3"/>
      <c r="Q496" s="122"/>
      <c r="R496" s="122"/>
      <c r="S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3"/>
      <c r="Q497" s="122"/>
      <c r="R497" s="122"/>
      <c r="S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3"/>
      <c r="Q498" s="122"/>
      <c r="R498" s="122"/>
      <c r="S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3"/>
      <c r="Q499" s="122"/>
      <c r="R499" s="122"/>
      <c r="S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3"/>
      <c r="Q500" s="122"/>
      <c r="R500" s="122"/>
      <c r="S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3"/>
      <c r="Q501" s="122"/>
      <c r="R501" s="122"/>
      <c r="S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3"/>
      <c r="Q502" s="122"/>
      <c r="R502" s="122"/>
      <c r="S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3"/>
      <c r="Q503" s="122"/>
      <c r="R503" s="122"/>
      <c r="S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3"/>
      <c r="Q504" s="122"/>
      <c r="R504" s="122"/>
      <c r="S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3"/>
      <c r="Q505" s="122"/>
      <c r="R505" s="122"/>
      <c r="S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3"/>
      <c r="Q506" s="122"/>
      <c r="R506" s="122"/>
      <c r="S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3"/>
      <c r="Q507" s="122"/>
      <c r="R507" s="122"/>
      <c r="S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3"/>
      <c r="Q508" s="122"/>
      <c r="R508" s="122"/>
      <c r="S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3"/>
      <c r="Q509" s="122"/>
      <c r="R509" s="122"/>
      <c r="S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3"/>
      <c r="Q510" s="122"/>
      <c r="R510" s="122"/>
      <c r="S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3"/>
      <c r="Q511" s="122"/>
      <c r="R511" s="122"/>
      <c r="S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3"/>
      <c r="Q512" s="122"/>
      <c r="R512" s="122"/>
      <c r="S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3"/>
      <c r="Q513" s="122"/>
      <c r="R513" s="122"/>
      <c r="S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3"/>
      <c r="Q514" s="122"/>
      <c r="R514" s="122"/>
      <c r="S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3"/>
      <c r="Q515" s="122"/>
      <c r="R515" s="122"/>
      <c r="S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3"/>
      <c r="Q516" s="122"/>
      <c r="R516" s="122"/>
      <c r="S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3"/>
      <c r="Q517" s="122"/>
      <c r="R517" s="122"/>
      <c r="S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3"/>
      <c r="Q518" s="122"/>
      <c r="R518" s="122"/>
      <c r="S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3"/>
      <c r="Q519" s="122"/>
      <c r="R519" s="122"/>
      <c r="S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3"/>
      <c r="Q520" s="122"/>
      <c r="R520" s="122"/>
      <c r="S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3"/>
      <c r="Q521" s="122"/>
      <c r="R521" s="122"/>
      <c r="S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3"/>
      <c r="Q522" s="122"/>
      <c r="R522" s="122"/>
      <c r="S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3"/>
      <c r="Q523" s="122"/>
      <c r="R523" s="122"/>
      <c r="S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3"/>
      <c r="Q524" s="122"/>
      <c r="R524" s="122"/>
      <c r="S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3"/>
      <c r="Q525" s="122"/>
      <c r="R525" s="122"/>
      <c r="S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3"/>
      <c r="Q526" s="122"/>
      <c r="R526" s="122"/>
      <c r="S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3"/>
      <c r="Q527" s="122"/>
      <c r="R527" s="122"/>
      <c r="S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3"/>
      <c r="Q528" s="122"/>
      <c r="R528" s="122"/>
      <c r="S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3"/>
      <c r="Q529" s="122"/>
      <c r="R529" s="122"/>
      <c r="S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3"/>
      <c r="Q530" s="122"/>
      <c r="R530" s="122"/>
      <c r="S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3"/>
      <c r="Q531" s="122"/>
      <c r="R531" s="122"/>
      <c r="S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3"/>
      <c r="Q532" s="122"/>
      <c r="R532" s="122"/>
      <c r="S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3"/>
      <c r="Q533" s="122"/>
      <c r="R533" s="122"/>
      <c r="S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3"/>
      <c r="Q534" s="122"/>
      <c r="R534" s="122"/>
      <c r="S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3"/>
      <c r="Q535" s="122"/>
      <c r="R535" s="122"/>
      <c r="S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3"/>
      <c r="Q536" s="122"/>
      <c r="R536" s="122"/>
      <c r="S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3"/>
      <c r="Q537" s="122"/>
      <c r="R537" s="122"/>
      <c r="S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3"/>
      <c r="Q538" s="122"/>
      <c r="R538" s="122"/>
      <c r="S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3"/>
      <c r="Q539" s="122"/>
      <c r="R539" s="122"/>
      <c r="S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3"/>
      <c r="Q540" s="122"/>
      <c r="R540" s="122"/>
      <c r="S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3"/>
      <c r="Q541" s="122"/>
      <c r="R541" s="122"/>
      <c r="S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3"/>
      <c r="Q542" s="122"/>
      <c r="R542" s="122"/>
      <c r="S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3"/>
      <c r="Q543" s="122"/>
      <c r="R543" s="122"/>
      <c r="S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3"/>
      <c r="Q544" s="122"/>
      <c r="R544" s="122"/>
      <c r="S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3"/>
      <c r="Q545" s="122"/>
      <c r="R545" s="122"/>
      <c r="S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3"/>
      <c r="Q546" s="122"/>
      <c r="R546" s="122"/>
      <c r="S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3"/>
      <c r="Q547" s="122"/>
      <c r="R547" s="122"/>
      <c r="S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3"/>
      <c r="Q548" s="122"/>
      <c r="R548" s="122"/>
      <c r="S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3"/>
      <c r="Q549" s="122"/>
      <c r="R549" s="122"/>
      <c r="S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3"/>
      <c r="Q550" s="122"/>
      <c r="R550" s="122"/>
      <c r="S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3"/>
      <c r="Q551" s="122"/>
      <c r="R551" s="122"/>
      <c r="S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3"/>
      <c r="Q552" s="122"/>
      <c r="R552" s="122"/>
      <c r="S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3"/>
      <c r="Q553" s="122"/>
      <c r="R553" s="122"/>
      <c r="S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3"/>
      <c r="Q554" s="122"/>
      <c r="R554" s="122"/>
      <c r="S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3"/>
      <c r="Q555" s="122"/>
      <c r="R555" s="122"/>
      <c r="S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3"/>
      <c r="Q556" s="122"/>
      <c r="R556" s="122"/>
      <c r="S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3"/>
      <c r="Q557" s="122"/>
      <c r="R557" s="122"/>
      <c r="S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3"/>
      <c r="Q558" s="122"/>
      <c r="R558" s="122"/>
      <c r="S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3"/>
      <c r="Q559" s="122"/>
      <c r="R559" s="122"/>
      <c r="S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3"/>
      <c r="Q560" s="122"/>
      <c r="R560" s="122"/>
      <c r="S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3"/>
      <c r="Q561" s="122"/>
      <c r="R561" s="122"/>
      <c r="S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3"/>
      <c r="Q562" s="122"/>
      <c r="R562" s="122"/>
      <c r="S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3"/>
      <c r="Q563" s="122"/>
      <c r="R563" s="122"/>
      <c r="S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3"/>
      <c r="Q564" s="122"/>
      <c r="R564" s="122"/>
      <c r="S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3"/>
      <c r="Q565" s="122"/>
      <c r="R565" s="122"/>
      <c r="S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3"/>
      <c r="Q566" s="122"/>
      <c r="R566" s="122"/>
      <c r="S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3"/>
      <c r="Q567" s="122"/>
      <c r="R567" s="122"/>
      <c r="S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3"/>
      <c r="Q568" s="122"/>
      <c r="R568" s="122"/>
      <c r="S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3"/>
      <c r="Q569" s="122"/>
      <c r="R569" s="122"/>
      <c r="S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3"/>
      <c r="Q570" s="122"/>
      <c r="R570" s="122"/>
      <c r="S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3"/>
      <c r="Q571" s="122"/>
      <c r="R571" s="122"/>
      <c r="S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3"/>
      <c r="Q572" s="122"/>
      <c r="R572" s="122"/>
      <c r="S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3"/>
      <c r="Q573" s="122"/>
      <c r="R573" s="122"/>
      <c r="S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3"/>
      <c r="Q574" s="122"/>
      <c r="R574" s="122"/>
      <c r="S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3"/>
      <c r="Q575" s="122"/>
      <c r="R575" s="122"/>
      <c r="S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3"/>
      <c r="Q576" s="122"/>
      <c r="R576" s="122"/>
      <c r="S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3"/>
      <c r="Q577" s="122"/>
      <c r="R577" s="122"/>
      <c r="S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3"/>
      <c r="Q578" s="122"/>
      <c r="R578" s="122"/>
      <c r="S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3"/>
      <c r="Q579" s="122"/>
      <c r="R579" s="122"/>
      <c r="S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3"/>
      <c r="Q580" s="122"/>
      <c r="R580" s="122"/>
      <c r="S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3"/>
      <c r="Q581" s="122"/>
      <c r="R581" s="122"/>
      <c r="S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3"/>
      <c r="Q582" s="122"/>
      <c r="R582" s="122"/>
      <c r="S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3"/>
      <c r="Q583" s="122"/>
      <c r="R583" s="122"/>
      <c r="S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3"/>
      <c r="Q584" s="122"/>
      <c r="R584" s="122"/>
      <c r="S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3"/>
      <c r="Q585" s="122"/>
      <c r="R585" s="122"/>
      <c r="S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3"/>
      <c r="Q586" s="122"/>
      <c r="R586" s="122"/>
      <c r="S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3"/>
      <c r="Q587" s="122"/>
      <c r="R587" s="122"/>
      <c r="S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3"/>
      <c r="Q588" s="122"/>
      <c r="R588" s="122"/>
      <c r="S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3"/>
      <c r="Q589" s="122"/>
      <c r="R589" s="122"/>
      <c r="S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3"/>
      <c r="Q590" s="122"/>
      <c r="R590" s="122"/>
      <c r="S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3"/>
      <c r="Q591" s="122"/>
      <c r="R591" s="122"/>
      <c r="S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3"/>
      <c r="Q592" s="122"/>
      <c r="R592" s="122"/>
      <c r="S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3"/>
      <c r="Q593" s="122"/>
      <c r="R593" s="122"/>
      <c r="S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3"/>
      <c r="Q594" s="122"/>
      <c r="R594" s="122"/>
      <c r="S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3"/>
      <c r="Q595" s="122"/>
      <c r="R595" s="122"/>
      <c r="S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3"/>
      <c r="Q596" s="122"/>
      <c r="R596" s="122"/>
      <c r="S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3"/>
      <c r="Q597" s="122"/>
      <c r="R597" s="122"/>
      <c r="S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3"/>
      <c r="Q598" s="122"/>
      <c r="R598" s="122"/>
      <c r="S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3"/>
      <c r="Q599" s="122"/>
      <c r="R599" s="122"/>
      <c r="S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3"/>
      <c r="Q600" s="122"/>
      <c r="R600" s="122"/>
      <c r="S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3"/>
      <c r="Q601" s="122"/>
      <c r="R601" s="122"/>
      <c r="S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3"/>
      <c r="Q602" s="122"/>
      <c r="R602" s="122"/>
      <c r="S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3"/>
      <c r="Q603" s="122"/>
      <c r="R603" s="122"/>
      <c r="S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3"/>
      <c r="Q604" s="122"/>
      <c r="R604" s="122"/>
      <c r="S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3"/>
      <c r="Q605" s="122"/>
      <c r="R605" s="122"/>
      <c r="S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3"/>
      <c r="Q606" s="122"/>
      <c r="R606" s="122"/>
      <c r="S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3"/>
      <c r="Q607" s="122"/>
      <c r="R607" s="122"/>
      <c r="S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3"/>
      <c r="Q608" s="122"/>
      <c r="R608" s="122"/>
      <c r="S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3"/>
      <c r="Q609" s="122"/>
      <c r="R609" s="122"/>
      <c r="S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3"/>
      <c r="Q610" s="122"/>
      <c r="R610" s="122"/>
      <c r="S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3"/>
      <c r="Q611" s="122"/>
      <c r="R611" s="122"/>
      <c r="S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3"/>
      <c r="Q612" s="122"/>
      <c r="R612" s="122"/>
      <c r="S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3"/>
      <c r="Q613" s="122"/>
      <c r="R613" s="122"/>
      <c r="S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3"/>
      <c r="Q614" s="122"/>
      <c r="R614" s="122"/>
      <c r="S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3"/>
      <c r="Q615" s="122"/>
      <c r="R615" s="122"/>
      <c r="S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3"/>
      <c r="Q616" s="122"/>
      <c r="R616" s="122"/>
      <c r="S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3"/>
      <c r="Q617" s="122"/>
      <c r="R617" s="122"/>
      <c r="S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3"/>
      <c r="Q618" s="122"/>
      <c r="R618" s="122"/>
      <c r="S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3"/>
      <c r="Q619" s="122"/>
      <c r="R619" s="122"/>
      <c r="S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3"/>
      <c r="Q620" s="122"/>
      <c r="R620" s="122"/>
      <c r="S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3"/>
      <c r="Q621" s="122"/>
      <c r="R621" s="122"/>
      <c r="S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3"/>
      <c r="Q622" s="122"/>
      <c r="R622" s="122"/>
      <c r="S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3"/>
      <c r="Q623" s="122"/>
      <c r="R623" s="122"/>
      <c r="S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3"/>
      <c r="Q624" s="122"/>
      <c r="R624" s="122"/>
      <c r="S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3"/>
      <c r="Q625" s="122"/>
      <c r="R625" s="122"/>
      <c r="S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3"/>
      <c r="Q626" s="122"/>
      <c r="R626" s="122"/>
      <c r="S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3"/>
      <c r="Q627" s="122"/>
      <c r="R627" s="122"/>
      <c r="S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3"/>
      <c r="Q628" s="122"/>
      <c r="R628" s="122"/>
      <c r="S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3"/>
      <c r="Q629" s="122"/>
      <c r="R629" s="122"/>
      <c r="S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3"/>
      <c r="Q630" s="122"/>
      <c r="R630" s="122"/>
      <c r="S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3"/>
      <c r="Q631" s="122"/>
      <c r="R631" s="122"/>
      <c r="S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3"/>
      <c r="Q632" s="122"/>
      <c r="R632" s="122"/>
      <c r="S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3"/>
      <c r="Q633" s="122"/>
      <c r="R633" s="122"/>
      <c r="S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3"/>
      <c r="Q634" s="122"/>
      <c r="R634" s="122"/>
      <c r="S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3"/>
      <c r="Q635" s="122"/>
      <c r="R635" s="122"/>
      <c r="S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3"/>
      <c r="Q636" s="122"/>
      <c r="R636" s="122"/>
      <c r="S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3"/>
      <c r="Q637" s="122"/>
      <c r="R637" s="122"/>
      <c r="S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3"/>
      <c r="Q638" s="122"/>
      <c r="R638" s="122"/>
      <c r="S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3"/>
      <c r="Q639" s="122"/>
      <c r="R639" s="122"/>
      <c r="S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3"/>
      <c r="Q640" s="122"/>
      <c r="R640" s="122"/>
      <c r="S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3"/>
      <c r="Q641" s="122"/>
      <c r="R641" s="122"/>
      <c r="S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3"/>
      <c r="Q642" s="122"/>
      <c r="R642" s="122"/>
      <c r="S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3"/>
      <c r="Q643" s="122"/>
      <c r="R643" s="122"/>
      <c r="S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3"/>
      <c r="Q644" s="122"/>
      <c r="R644" s="122"/>
      <c r="S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3"/>
      <c r="Q645" s="122"/>
      <c r="R645" s="122"/>
      <c r="S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3"/>
      <c r="Q646" s="122"/>
      <c r="R646" s="122"/>
      <c r="S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3"/>
      <c r="Q647" s="122"/>
      <c r="R647" s="122"/>
      <c r="S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3"/>
      <c r="Q648" s="122"/>
      <c r="R648" s="122"/>
      <c r="S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3"/>
      <c r="Q649" s="122"/>
      <c r="R649" s="122"/>
      <c r="S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3"/>
      <c r="Q650" s="122"/>
      <c r="R650" s="122"/>
      <c r="S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3"/>
      <c r="Q651" s="122"/>
      <c r="R651" s="122"/>
      <c r="S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3"/>
      <c r="Q652" s="122"/>
      <c r="R652" s="122"/>
      <c r="S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3"/>
      <c r="Q653" s="122"/>
      <c r="R653" s="122"/>
      <c r="S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3"/>
      <c r="Q654" s="122"/>
      <c r="R654" s="122"/>
      <c r="S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3"/>
      <c r="Q655" s="122"/>
      <c r="R655" s="122"/>
      <c r="S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3"/>
      <c r="Q656" s="122"/>
      <c r="R656" s="122"/>
      <c r="S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3"/>
      <c r="Q657" s="122"/>
      <c r="R657" s="122"/>
      <c r="S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3"/>
      <c r="Q658" s="122"/>
      <c r="R658" s="122"/>
      <c r="S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3"/>
      <c r="Q659" s="122"/>
      <c r="R659" s="122"/>
      <c r="S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3"/>
      <c r="Q660" s="122"/>
      <c r="R660" s="122"/>
      <c r="S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3"/>
      <c r="Q661" s="122"/>
      <c r="R661" s="122"/>
      <c r="S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3"/>
      <c r="Q662" s="122"/>
      <c r="R662" s="122"/>
      <c r="S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3"/>
      <c r="Q663" s="122"/>
      <c r="R663" s="122"/>
      <c r="S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3"/>
      <c r="Q664" s="122"/>
      <c r="R664" s="122"/>
      <c r="S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3"/>
      <c r="Q665" s="122"/>
      <c r="R665" s="122"/>
      <c r="S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3"/>
      <c r="Q666" s="122"/>
      <c r="R666" s="122"/>
      <c r="S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3"/>
      <c r="Q667" s="122"/>
      <c r="R667" s="122"/>
      <c r="S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3"/>
      <c r="Q668" s="122"/>
      <c r="R668" s="122"/>
      <c r="S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3"/>
      <c r="Q669" s="122"/>
      <c r="R669" s="122"/>
      <c r="S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3"/>
      <c r="Q670" s="122"/>
      <c r="R670" s="122"/>
      <c r="S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3"/>
      <c r="Q671" s="122"/>
      <c r="R671" s="122"/>
      <c r="S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3"/>
      <c r="Q672" s="122"/>
      <c r="R672" s="122"/>
      <c r="S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3"/>
      <c r="Q673" s="122"/>
      <c r="R673" s="122"/>
      <c r="S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3"/>
      <c r="Q674" s="122"/>
      <c r="R674" s="122"/>
      <c r="S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3"/>
      <c r="Q675" s="122"/>
      <c r="R675" s="122"/>
      <c r="S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3"/>
      <c r="Q676" s="122"/>
      <c r="R676" s="122"/>
      <c r="S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3"/>
      <c r="Q677" s="122"/>
      <c r="R677" s="122"/>
      <c r="S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3"/>
      <c r="Q678" s="122"/>
      <c r="R678" s="122"/>
      <c r="S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3"/>
      <c r="Q679" s="122"/>
      <c r="R679" s="122"/>
      <c r="S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3"/>
      <c r="Q680" s="122"/>
      <c r="R680" s="122"/>
      <c r="S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3"/>
      <c r="Q681" s="122"/>
      <c r="R681" s="122"/>
      <c r="S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3"/>
      <c r="Q682" s="122"/>
      <c r="R682" s="122"/>
      <c r="S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3"/>
      <c r="Q683" s="122"/>
      <c r="R683" s="122"/>
      <c r="S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3"/>
      <c r="Q684" s="122"/>
      <c r="R684" s="122"/>
      <c r="S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3"/>
      <c r="Q685" s="122"/>
      <c r="R685" s="122"/>
      <c r="S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3"/>
      <c r="Q686" s="122"/>
      <c r="R686" s="122"/>
      <c r="S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3"/>
      <c r="Q687" s="122"/>
      <c r="R687" s="122"/>
      <c r="S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3"/>
      <c r="Q688" s="122"/>
      <c r="R688" s="122"/>
      <c r="S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3"/>
      <c r="Q689" s="122"/>
      <c r="R689" s="122"/>
      <c r="S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3"/>
      <c r="Q690" s="122"/>
      <c r="R690" s="122"/>
      <c r="S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3"/>
      <c r="Q691" s="122"/>
      <c r="R691" s="122"/>
      <c r="S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3"/>
      <c r="Q692" s="122"/>
      <c r="R692" s="122"/>
      <c r="S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3"/>
      <c r="Q693" s="122"/>
      <c r="R693" s="122"/>
      <c r="S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3"/>
      <c r="Q694" s="122"/>
      <c r="R694" s="122"/>
      <c r="S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3"/>
      <c r="Q695" s="122"/>
      <c r="R695" s="122"/>
      <c r="S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3"/>
      <c r="Q696" s="122"/>
      <c r="R696" s="122"/>
      <c r="S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3"/>
      <c r="Q697" s="122"/>
      <c r="R697" s="122"/>
      <c r="S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3"/>
      <c r="Q698" s="122"/>
      <c r="R698" s="122"/>
      <c r="S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3"/>
      <c r="Q699" s="122"/>
      <c r="R699" s="122"/>
      <c r="S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3"/>
      <c r="Q700" s="122"/>
      <c r="R700" s="122"/>
      <c r="S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3"/>
      <c r="Q701" s="122"/>
      <c r="R701" s="122"/>
      <c r="S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3"/>
      <c r="Q702" s="122"/>
      <c r="R702" s="122"/>
      <c r="S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3"/>
      <c r="Q703" s="122"/>
      <c r="R703" s="122"/>
      <c r="S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3"/>
      <c r="Q704" s="122"/>
      <c r="R704" s="122"/>
      <c r="S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3"/>
      <c r="Q705" s="122"/>
      <c r="R705" s="122"/>
      <c r="S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3"/>
      <c r="Q706" s="122"/>
      <c r="R706" s="122"/>
      <c r="S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3"/>
      <c r="Q707" s="122"/>
      <c r="R707" s="122"/>
      <c r="S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3"/>
      <c r="Q708" s="122"/>
      <c r="R708" s="122"/>
      <c r="S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3"/>
      <c r="Q709" s="122"/>
      <c r="R709" s="122"/>
      <c r="S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3"/>
      <c r="Q710" s="122"/>
      <c r="R710" s="122"/>
      <c r="S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3"/>
      <c r="Q711" s="122"/>
      <c r="R711" s="122"/>
      <c r="S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3"/>
      <c r="Q712" s="122"/>
      <c r="R712" s="122"/>
      <c r="S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3"/>
      <c r="Q713" s="122"/>
      <c r="R713" s="122"/>
      <c r="S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3"/>
      <c r="Q714" s="122"/>
      <c r="R714" s="122"/>
      <c r="S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3"/>
      <c r="Q715" s="122"/>
      <c r="R715" s="122"/>
      <c r="S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3"/>
      <c r="Q716" s="122"/>
      <c r="R716" s="122"/>
      <c r="S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3"/>
      <c r="Q717" s="122"/>
      <c r="R717" s="122"/>
      <c r="S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3"/>
      <c r="Q718" s="122"/>
      <c r="R718" s="122"/>
      <c r="S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3"/>
      <c r="Q719" s="122"/>
      <c r="R719" s="122"/>
      <c r="S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3"/>
      <c r="Q720" s="122"/>
      <c r="R720" s="122"/>
      <c r="S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3"/>
      <c r="Q721" s="122"/>
      <c r="R721" s="122"/>
      <c r="S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3"/>
      <c r="Q722" s="122"/>
      <c r="R722" s="122"/>
      <c r="S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3"/>
      <c r="Q723" s="122"/>
      <c r="R723" s="122"/>
      <c r="S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3"/>
      <c r="Q724" s="122"/>
      <c r="R724" s="122"/>
      <c r="S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3"/>
      <c r="Q725" s="122"/>
      <c r="R725" s="122"/>
      <c r="S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3"/>
      <c r="Q726" s="122"/>
      <c r="R726" s="122"/>
      <c r="S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3"/>
      <c r="Q727" s="122"/>
      <c r="R727" s="122"/>
      <c r="S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3"/>
      <c r="Q728" s="122"/>
      <c r="R728" s="122"/>
      <c r="S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3"/>
      <c r="Q729" s="122"/>
      <c r="R729" s="122"/>
      <c r="S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3"/>
      <c r="Q730" s="122"/>
      <c r="R730" s="122"/>
      <c r="S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3"/>
      <c r="Q731" s="122"/>
      <c r="R731" s="122"/>
      <c r="S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3"/>
      <c r="Q732" s="122"/>
      <c r="R732" s="122"/>
      <c r="S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3"/>
      <c r="Q733" s="122"/>
      <c r="R733" s="122"/>
      <c r="S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3"/>
      <c r="Q734" s="122"/>
      <c r="R734" s="122"/>
      <c r="S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3"/>
      <c r="Q735" s="122"/>
      <c r="R735" s="122"/>
      <c r="S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3"/>
      <c r="Q736" s="122"/>
      <c r="R736" s="122"/>
      <c r="S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3"/>
      <c r="Q737" s="122"/>
      <c r="R737" s="122"/>
      <c r="S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3"/>
      <c r="Q738" s="122"/>
      <c r="R738" s="122"/>
      <c r="S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3"/>
      <c r="Q739" s="122"/>
      <c r="R739" s="122"/>
      <c r="S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3"/>
      <c r="Q740" s="122"/>
      <c r="R740" s="122"/>
      <c r="S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3"/>
      <c r="Q741" s="122"/>
      <c r="R741" s="122"/>
      <c r="S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3"/>
      <c r="Q742" s="122"/>
      <c r="R742" s="122"/>
      <c r="S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3"/>
      <c r="Q743" s="122"/>
      <c r="R743" s="122"/>
      <c r="S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3"/>
      <c r="Q744" s="122"/>
      <c r="R744" s="122"/>
      <c r="S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3"/>
      <c r="Q745" s="122"/>
      <c r="R745" s="122"/>
      <c r="S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3"/>
      <c r="Q746" s="122"/>
      <c r="R746" s="122"/>
      <c r="S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3"/>
      <c r="Q747" s="122"/>
      <c r="R747" s="122"/>
      <c r="S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3"/>
      <c r="Q748" s="122"/>
      <c r="R748" s="122"/>
      <c r="S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3"/>
      <c r="Q749" s="122"/>
      <c r="R749" s="122"/>
      <c r="S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3"/>
      <c r="Q750" s="122"/>
      <c r="R750" s="122"/>
      <c r="S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3"/>
      <c r="Q751" s="122"/>
      <c r="R751" s="122"/>
      <c r="S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3"/>
      <c r="Q752" s="122"/>
      <c r="R752" s="122"/>
      <c r="S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3"/>
      <c r="Q753" s="122"/>
      <c r="R753" s="122"/>
      <c r="S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3"/>
      <c r="Q754" s="122"/>
      <c r="R754" s="122"/>
      <c r="S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3"/>
      <c r="Q755" s="122"/>
      <c r="R755" s="122"/>
      <c r="S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3"/>
      <c r="Q756" s="122"/>
      <c r="R756" s="122"/>
      <c r="S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3"/>
      <c r="Q757" s="122"/>
      <c r="R757" s="122"/>
      <c r="S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3"/>
      <c r="Q758" s="122"/>
      <c r="R758" s="122"/>
      <c r="S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3"/>
      <c r="Q759" s="122"/>
      <c r="R759" s="122"/>
      <c r="S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3"/>
      <c r="Q760" s="122"/>
      <c r="R760" s="122"/>
      <c r="S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3"/>
      <c r="Q761" s="122"/>
      <c r="R761" s="122"/>
      <c r="S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3"/>
      <c r="Q762" s="122"/>
      <c r="R762" s="122"/>
      <c r="S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3"/>
      <c r="Q763" s="122"/>
      <c r="R763" s="122"/>
      <c r="S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3"/>
      <c r="Q764" s="122"/>
      <c r="R764" s="122"/>
      <c r="S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3"/>
      <c r="Q765" s="122"/>
      <c r="R765" s="122"/>
      <c r="S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3"/>
      <c r="Q766" s="122"/>
      <c r="R766" s="122"/>
      <c r="S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3"/>
      <c r="Q767" s="122"/>
      <c r="R767" s="122"/>
      <c r="S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3"/>
      <c r="Q768" s="122"/>
      <c r="R768" s="122"/>
      <c r="S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3"/>
      <c r="Q769" s="122"/>
      <c r="R769" s="122"/>
      <c r="S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3"/>
      <c r="Q770" s="122"/>
      <c r="R770" s="122"/>
      <c r="S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3"/>
      <c r="Q771" s="122"/>
      <c r="R771" s="122"/>
      <c r="S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3"/>
      <c r="Q772" s="122"/>
      <c r="R772" s="122"/>
      <c r="S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3"/>
      <c r="Q773" s="122"/>
      <c r="R773" s="122"/>
      <c r="S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3"/>
      <c r="Q774" s="122"/>
      <c r="R774" s="122"/>
      <c r="S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3"/>
      <c r="Q775" s="122"/>
      <c r="R775" s="122"/>
      <c r="S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3"/>
      <c r="Q776" s="122"/>
      <c r="R776" s="122"/>
      <c r="S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3"/>
      <c r="Q777" s="122"/>
      <c r="R777" s="122"/>
      <c r="S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3"/>
      <c r="Q778" s="122"/>
      <c r="R778" s="122"/>
      <c r="S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3"/>
      <c r="Q779" s="122"/>
      <c r="R779" s="122"/>
      <c r="S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3"/>
      <c r="Q780" s="122"/>
      <c r="R780" s="122"/>
      <c r="S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3"/>
      <c r="Q781" s="122"/>
      <c r="R781" s="122"/>
      <c r="S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3"/>
      <c r="Q782" s="122"/>
      <c r="R782" s="122"/>
      <c r="S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3"/>
      <c r="Q783" s="122"/>
      <c r="R783" s="122"/>
      <c r="S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3"/>
      <c r="Q784" s="122"/>
      <c r="R784" s="122"/>
      <c r="S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3"/>
      <c r="Q785" s="122"/>
      <c r="R785" s="122"/>
      <c r="S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3"/>
      <c r="Q786" s="122"/>
      <c r="R786" s="122"/>
      <c r="S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3"/>
      <c r="Q787" s="122"/>
      <c r="R787" s="122"/>
      <c r="S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3"/>
      <c r="Q788" s="122"/>
      <c r="R788" s="122"/>
      <c r="S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3"/>
      <c r="Q789" s="122"/>
      <c r="R789" s="122"/>
      <c r="S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3"/>
      <c r="Q790" s="122"/>
      <c r="R790" s="122"/>
      <c r="S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3"/>
      <c r="Q791" s="122"/>
      <c r="R791" s="122"/>
      <c r="S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3"/>
      <c r="Q792" s="122"/>
      <c r="R792" s="122"/>
      <c r="S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3"/>
      <c r="Q793" s="122"/>
      <c r="R793" s="122"/>
      <c r="S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3"/>
      <c r="Q794" s="122"/>
      <c r="R794" s="122"/>
      <c r="S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3"/>
      <c r="Q795" s="122"/>
      <c r="R795" s="122"/>
      <c r="S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3"/>
      <c r="Q796" s="122"/>
      <c r="R796" s="122"/>
      <c r="S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3"/>
      <c r="Q797" s="122"/>
      <c r="R797" s="122"/>
      <c r="S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3"/>
      <c r="Q798" s="122"/>
      <c r="R798" s="122"/>
      <c r="S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3"/>
      <c r="Q799" s="122"/>
      <c r="R799" s="122"/>
      <c r="S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3"/>
      <c r="Q800" s="122"/>
      <c r="R800" s="122"/>
      <c r="S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3"/>
      <c r="Q801" s="122"/>
      <c r="R801" s="122"/>
      <c r="S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3"/>
      <c r="Q802" s="122"/>
      <c r="R802" s="122"/>
      <c r="S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3"/>
      <c r="Q803" s="122"/>
      <c r="R803" s="122"/>
      <c r="S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3"/>
      <c r="Q804" s="122"/>
      <c r="R804" s="122"/>
      <c r="S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3"/>
      <c r="Q805" s="122"/>
      <c r="R805" s="122"/>
      <c r="S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3"/>
      <c r="Q806" s="122"/>
      <c r="R806" s="122"/>
      <c r="S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3"/>
      <c r="Q807" s="122"/>
      <c r="R807" s="122"/>
      <c r="S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3"/>
      <c r="Q808" s="122"/>
      <c r="R808" s="122"/>
      <c r="S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3"/>
      <c r="Q809" s="122"/>
      <c r="R809" s="122"/>
      <c r="S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3"/>
      <c r="Q810" s="122"/>
      <c r="R810" s="122"/>
      <c r="S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3"/>
      <c r="Q811" s="122"/>
      <c r="R811" s="122"/>
      <c r="S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3"/>
      <c r="Q812" s="122"/>
      <c r="R812" s="122"/>
      <c r="S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3"/>
      <c r="Q813" s="122"/>
      <c r="R813" s="122"/>
      <c r="S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3"/>
      <c r="Q814" s="122"/>
      <c r="R814" s="122"/>
      <c r="S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3"/>
      <c r="Q815" s="122"/>
      <c r="R815" s="122"/>
      <c r="S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3"/>
      <c r="Q816" s="122"/>
      <c r="R816" s="122"/>
      <c r="S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3"/>
      <c r="Q817" s="122"/>
      <c r="R817" s="122"/>
      <c r="S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3"/>
      <c r="Q818" s="122"/>
      <c r="R818" s="122"/>
      <c r="S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3"/>
      <c r="Q819" s="122"/>
      <c r="R819" s="122"/>
      <c r="S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3"/>
      <c r="Q820" s="122"/>
      <c r="R820" s="122"/>
      <c r="S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3"/>
      <c r="Q821" s="122"/>
      <c r="R821" s="122"/>
      <c r="S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3"/>
      <c r="Q822" s="122"/>
      <c r="R822" s="122"/>
      <c r="S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3"/>
      <c r="Q823" s="122"/>
      <c r="R823" s="122"/>
      <c r="S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3"/>
      <c r="Q824" s="122"/>
      <c r="R824" s="122"/>
      <c r="S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3"/>
      <c r="Q825" s="122"/>
      <c r="R825" s="122"/>
      <c r="S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3"/>
      <c r="Q826" s="122"/>
      <c r="R826" s="122"/>
      <c r="S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3"/>
      <c r="Q827" s="122"/>
      <c r="R827" s="122"/>
      <c r="S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3"/>
      <c r="Q828" s="122"/>
      <c r="R828" s="122"/>
      <c r="S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3"/>
      <c r="Q829" s="122"/>
      <c r="R829" s="122"/>
      <c r="S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3"/>
      <c r="Q830" s="122"/>
      <c r="R830" s="122"/>
      <c r="S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3"/>
      <c r="Q831" s="122"/>
      <c r="R831" s="122"/>
      <c r="S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3"/>
      <c r="Q832" s="122"/>
      <c r="R832" s="122"/>
      <c r="S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3"/>
      <c r="Q833" s="122"/>
      <c r="R833" s="122"/>
      <c r="S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3"/>
      <c r="Q834" s="122"/>
      <c r="R834" s="122"/>
      <c r="S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3"/>
      <c r="Q835" s="122"/>
      <c r="R835" s="122"/>
      <c r="S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3"/>
      <c r="Q836" s="122"/>
      <c r="R836" s="122"/>
      <c r="S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3"/>
      <c r="Q837" s="122"/>
      <c r="R837" s="122"/>
      <c r="S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3"/>
      <c r="Q838" s="122"/>
      <c r="R838" s="122"/>
      <c r="S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3"/>
      <c r="Q839" s="122"/>
      <c r="R839" s="122"/>
      <c r="S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3"/>
      <c r="Q840" s="122"/>
      <c r="R840" s="122"/>
      <c r="S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3"/>
      <c r="Q841" s="122"/>
      <c r="R841" s="122"/>
      <c r="S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3"/>
      <c r="Q842" s="122"/>
      <c r="R842" s="122"/>
      <c r="S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3"/>
      <c r="Q843" s="122"/>
      <c r="R843" s="122"/>
      <c r="S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3"/>
      <c r="Q844" s="122"/>
      <c r="R844" s="122"/>
      <c r="S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3"/>
      <c r="Q845" s="122"/>
      <c r="R845" s="122"/>
      <c r="S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3"/>
      <c r="Q846" s="122"/>
      <c r="R846" s="122"/>
      <c r="S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3"/>
      <c r="Q847" s="122"/>
      <c r="R847" s="122"/>
      <c r="S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3"/>
      <c r="Q848" s="122"/>
      <c r="R848" s="122"/>
      <c r="S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3"/>
      <c r="Q849" s="122"/>
      <c r="R849" s="122"/>
      <c r="S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3"/>
      <c r="Q850" s="122"/>
      <c r="R850" s="122"/>
      <c r="S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3"/>
      <c r="Q851" s="122"/>
      <c r="R851" s="122"/>
      <c r="S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3"/>
      <c r="Q852" s="122"/>
      <c r="R852" s="122"/>
      <c r="S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3"/>
      <c r="Q853" s="122"/>
      <c r="R853" s="122"/>
      <c r="S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3"/>
      <c r="Q854" s="122"/>
      <c r="R854" s="122"/>
      <c r="S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3"/>
      <c r="Q855" s="122"/>
      <c r="R855" s="122"/>
      <c r="S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3"/>
      <c r="Q856" s="122"/>
      <c r="R856" s="122"/>
      <c r="S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3"/>
      <c r="Q857" s="122"/>
      <c r="R857" s="122"/>
      <c r="S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3"/>
      <c r="Q858" s="122"/>
      <c r="R858" s="122"/>
      <c r="S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3"/>
      <c r="Q859" s="122"/>
      <c r="R859" s="122"/>
      <c r="S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3"/>
      <c r="Q860" s="122"/>
      <c r="R860" s="122"/>
      <c r="S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3"/>
      <c r="Q861" s="122"/>
      <c r="R861" s="122"/>
      <c r="S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3"/>
      <c r="Q862" s="122"/>
      <c r="R862" s="122"/>
      <c r="S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3"/>
      <c r="Q863" s="122"/>
      <c r="R863" s="122"/>
      <c r="S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3"/>
      <c r="Q864" s="122"/>
      <c r="R864" s="122"/>
      <c r="S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3"/>
      <c r="Q865" s="122"/>
      <c r="R865" s="122"/>
      <c r="S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3"/>
      <c r="Q866" s="122"/>
      <c r="R866" s="122"/>
      <c r="S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3"/>
      <c r="Q867" s="122"/>
      <c r="R867" s="122"/>
      <c r="S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3"/>
      <c r="Q868" s="122"/>
      <c r="R868" s="122"/>
      <c r="S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3"/>
      <c r="Q869" s="122"/>
      <c r="R869" s="122"/>
      <c r="S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3"/>
      <c r="Q870" s="122"/>
      <c r="R870" s="122"/>
      <c r="S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3"/>
      <c r="Q871" s="122"/>
      <c r="R871" s="122"/>
      <c r="S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3"/>
      <c r="Q872" s="122"/>
      <c r="R872" s="122"/>
      <c r="S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3"/>
      <c r="Q873" s="122"/>
      <c r="R873" s="122"/>
      <c r="S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3"/>
      <c r="Q874" s="122"/>
      <c r="R874" s="122"/>
      <c r="S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3"/>
      <c r="Q875" s="122"/>
      <c r="R875" s="122"/>
      <c r="S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3"/>
      <c r="Q876" s="122"/>
      <c r="R876" s="122"/>
      <c r="S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3"/>
      <c r="Q877" s="122"/>
      <c r="R877" s="122"/>
      <c r="S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3"/>
      <c r="Q878" s="122"/>
      <c r="R878" s="122"/>
      <c r="S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3"/>
      <c r="Q879" s="122"/>
      <c r="R879" s="122"/>
      <c r="S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3"/>
      <c r="Q880" s="122"/>
      <c r="R880" s="122"/>
      <c r="S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3"/>
      <c r="Q881" s="122"/>
      <c r="R881" s="122"/>
      <c r="S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3"/>
      <c r="Q882" s="122"/>
      <c r="R882" s="122"/>
      <c r="S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3"/>
      <c r="Q883" s="122"/>
      <c r="R883" s="122"/>
      <c r="S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3"/>
      <c r="Q884" s="122"/>
      <c r="R884" s="122"/>
      <c r="S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3"/>
      <c r="Q885" s="122"/>
      <c r="R885" s="122"/>
      <c r="S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3"/>
      <c r="Q886" s="122"/>
      <c r="R886" s="122"/>
      <c r="S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3"/>
      <c r="Q887" s="122"/>
      <c r="R887" s="122"/>
      <c r="S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3"/>
      <c r="Q888" s="122"/>
      <c r="R888" s="122"/>
      <c r="S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3"/>
      <c r="Q889" s="122"/>
      <c r="R889" s="122"/>
      <c r="S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3"/>
      <c r="Q890" s="122"/>
      <c r="R890" s="122"/>
      <c r="S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3"/>
      <c r="Q891" s="122"/>
      <c r="R891" s="122"/>
      <c r="S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3"/>
      <c r="Q892" s="122"/>
      <c r="R892" s="122"/>
      <c r="S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3"/>
      <c r="Q893" s="122"/>
      <c r="R893" s="122"/>
      <c r="S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3"/>
      <c r="Q894" s="122"/>
      <c r="R894" s="122"/>
      <c r="S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3"/>
      <c r="Q895" s="122"/>
      <c r="R895" s="122"/>
      <c r="S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3"/>
      <c r="Q896" s="122"/>
      <c r="R896" s="122"/>
      <c r="S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3"/>
      <c r="Q897" s="122"/>
      <c r="R897" s="122"/>
      <c r="S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3"/>
      <c r="Q898" s="122"/>
      <c r="R898" s="122"/>
      <c r="S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3"/>
      <c r="Q899" s="122"/>
      <c r="R899" s="122"/>
      <c r="S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3"/>
      <c r="Q900" s="122"/>
      <c r="R900" s="122"/>
      <c r="S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3"/>
      <c r="Q901" s="122"/>
      <c r="R901" s="122"/>
      <c r="S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3"/>
      <c r="Q902" s="122"/>
      <c r="R902" s="122"/>
      <c r="S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3"/>
      <c r="Q903" s="122"/>
      <c r="R903" s="122"/>
      <c r="S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3"/>
      <c r="Q904" s="122"/>
      <c r="R904" s="122"/>
      <c r="S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3"/>
      <c r="Q905" s="122"/>
      <c r="R905" s="122"/>
      <c r="S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3"/>
      <c r="Q906" s="122"/>
      <c r="R906" s="122"/>
      <c r="S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3"/>
      <c r="Q907" s="122"/>
      <c r="R907" s="122"/>
      <c r="S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3"/>
      <c r="Q908" s="122"/>
      <c r="R908" s="122"/>
      <c r="S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3"/>
      <c r="Q909" s="122"/>
      <c r="R909" s="122"/>
      <c r="S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3"/>
      <c r="Q910" s="122"/>
      <c r="R910" s="122"/>
      <c r="S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3"/>
      <c r="Q911" s="122"/>
      <c r="R911" s="122"/>
      <c r="S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3"/>
      <c r="Q912" s="122"/>
      <c r="R912" s="122"/>
      <c r="S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3"/>
      <c r="Q913" s="122"/>
      <c r="R913" s="122"/>
      <c r="S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3"/>
      <c r="Q914" s="122"/>
      <c r="R914" s="122"/>
      <c r="S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3"/>
      <c r="Q915" s="122"/>
      <c r="R915" s="122"/>
      <c r="S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3"/>
      <c r="Q916" s="122"/>
      <c r="R916" s="122"/>
      <c r="S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3"/>
      <c r="Q917" s="122"/>
      <c r="R917" s="122"/>
      <c r="S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3"/>
      <c r="Q918" s="122"/>
      <c r="R918" s="122"/>
      <c r="S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3"/>
      <c r="Q919" s="122"/>
      <c r="R919" s="122"/>
      <c r="S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3"/>
      <c r="Q920" s="122"/>
      <c r="R920" s="122"/>
      <c r="S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3"/>
      <c r="Q921" s="122"/>
      <c r="R921" s="122"/>
      <c r="S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3"/>
      <c r="Q922" s="122"/>
      <c r="R922" s="122"/>
      <c r="S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3"/>
      <c r="Q923" s="122"/>
      <c r="R923" s="122"/>
      <c r="S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3"/>
      <c r="Q924" s="122"/>
      <c r="R924" s="122"/>
      <c r="S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3"/>
      <c r="Q925" s="122"/>
      <c r="R925" s="122"/>
      <c r="S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3"/>
      <c r="Q926" s="122"/>
      <c r="R926" s="122"/>
      <c r="S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3"/>
      <c r="Q927" s="122"/>
      <c r="R927" s="122"/>
      <c r="S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3"/>
      <c r="Q928" s="122"/>
      <c r="R928" s="122"/>
      <c r="S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3"/>
      <c r="Q929" s="122"/>
      <c r="R929" s="122"/>
      <c r="S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3"/>
      <c r="Q930" s="122"/>
      <c r="R930" s="122"/>
      <c r="S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3"/>
      <c r="Q931" s="122"/>
      <c r="R931" s="122"/>
      <c r="S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3"/>
      <c r="Q932" s="122"/>
      <c r="R932" s="122"/>
      <c r="S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3"/>
      <c r="Q933" s="122"/>
      <c r="R933" s="122"/>
      <c r="S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3"/>
      <c r="Q934" s="122"/>
      <c r="R934" s="122"/>
      <c r="S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3"/>
      <c r="Q935" s="122"/>
      <c r="R935" s="122"/>
      <c r="S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3"/>
      <c r="Q936" s="122"/>
      <c r="R936" s="122"/>
      <c r="S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3"/>
      <c r="Q937" s="122"/>
      <c r="R937" s="122"/>
      <c r="S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3"/>
      <c r="Q938" s="122"/>
      <c r="R938" s="122"/>
      <c r="S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3"/>
      <c r="Q939" s="122"/>
      <c r="R939" s="122"/>
      <c r="S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3"/>
      <c r="Q940" s="122"/>
      <c r="R940" s="122"/>
      <c r="S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3"/>
      <c r="Q941" s="122"/>
      <c r="R941" s="122"/>
      <c r="S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3"/>
      <c r="Q942" s="122"/>
      <c r="R942" s="122"/>
      <c r="S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3"/>
      <c r="Q943" s="122"/>
      <c r="R943" s="122"/>
      <c r="S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3"/>
      <c r="Q944" s="122"/>
      <c r="R944" s="122"/>
      <c r="S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3"/>
      <c r="Q945" s="122"/>
      <c r="R945" s="122"/>
      <c r="S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3"/>
      <c r="Q946" s="122"/>
      <c r="R946" s="122"/>
      <c r="S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3"/>
      <c r="Q947" s="122"/>
      <c r="R947" s="122"/>
      <c r="S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3"/>
      <c r="Q948" s="122"/>
      <c r="R948" s="122"/>
      <c r="S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3"/>
      <c r="Q949" s="122"/>
      <c r="R949" s="122"/>
      <c r="S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3"/>
      <c r="Q950" s="122"/>
      <c r="R950" s="122"/>
      <c r="S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3"/>
      <c r="Q951" s="122"/>
      <c r="R951" s="122"/>
      <c r="S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3"/>
      <c r="Q952" s="122"/>
      <c r="R952" s="122"/>
      <c r="S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3"/>
      <c r="Q953" s="122"/>
      <c r="R953" s="122"/>
      <c r="S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3"/>
      <c r="Q954" s="122"/>
      <c r="R954" s="122"/>
      <c r="S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3"/>
      <c r="Q955" s="122"/>
      <c r="R955" s="122"/>
      <c r="S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3"/>
      <c r="Q956" s="122"/>
      <c r="R956" s="122"/>
      <c r="S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3"/>
      <c r="Q957" s="122"/>
      <c r="R957" s="122"/>
      <c r="S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3"/>
      <c r="Q958" s="122"/>
      <c r="R958" s="122"/>
      <c r="S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3"/>
      <c r="Q959" s="122"/>
      <c r="R959" s="122"/>
      <c r="S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3"/>
      <c r="Q960" s="122"/>
      <c r="R960" s="122"/>
      <c r="S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3"/>
      <c r="Q961" s="122"/>
      <c r="R961" s="122"/>
      <c r="S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3"/>
      <c r="Q962" s="122"/>
      <c r="R962" s="122"/>
      <c r="S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3"/>
      <c r="Q963" s="122"/>
      <c r="R963" s="122"/>
      <c r="S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3"/>
      <c r="Q964" s="122"/>
      <c r="R964" s="122"/>
      <c r="S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3"/>
      <c r="Q965" s="122"/>
      <c r="R965" s="122"/>
      <c r="S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3"/>
      <c r="Q966" s="122"/>
      <c r="R966" s="122"/>
      <c r="S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3"/>
      <c r="Q967" s="122"/>
      <c r="R967" s="122"/>
      <c r="S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3"/>
      <c r="Q968" s="122"/>
      <c r="R968" s="122"/>
      <c r="S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3"/>
      <c r="Q969" s="122"/>
      <c r="R969" s="122"/>
      <c r="S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3"/>
      <c r="Q970" s="122"/>
      <c r="R970" s="122"/>
      <c r="S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3"/>
      <c r="Q971" s="122"/>
      <c r="R971" s="122"/>
      <c r="S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3"/>
      <c r="Q972" s="122"/>
      <c r="R972" s="122"/>
      <c r="S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3"/>
      <c r="Q973" s="122"/>
      <c r="R973" s="122"/>
      <c r="S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3"/>
      <c r="Q974" s="122"/>
      <c r="R974" s="122"/>
      <c r="S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3"/>
      <c r="Q975" s="122"/>
      <c r="R975" s="122"/>
      <c r="S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3"/>
      <c r="Q976" s="122"/>
      <c r="R976" s="122"/>
      <c r="S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3"/>
      <c r="Q977" s="122"/>
      <c r="R977" s="122"/>
      <c r="S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3"/>
      <c r="Q978" s="122"/>
      <c r="R978" s="122"/>
      <c r="S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3"/>
      <c r="Q979" s="122"/>
      <c r="R979" s="122"/>
      <c r="S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3"/>
      <c r="Q980" s="122"/>
      <c r="R980" s="122"/>
      <c r="S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3"/>
      <c r="Q981" s="122"/>
      <c r="R981" s="122"/>
      <c r="S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3"/>
      <c r="Q982" s="122"/>
      <c r="R982" s="122"/>
      <c r="S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3"/>
      <c r="Q983" s="122"/>
      <c r="R983" s="122"/>
      <c r="S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3"/>
      <c r="Q984" s="122"/>
      <c r="R984" s="122"/>
      <c r="S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3"/>
      <c r="Q985" s="122"/>
      <c r="R985" s="122"/>
      <c r="S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3"/>
      <c r="Q986" s="122"/>
      <c r="R986" s="122"/>
      <c r="S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3"/>
      <c r="Q987" s="122"/>
      <c r="R987" s="122"/>
      <c r="S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3"/>
      <c r="Q988" s="122"/>
      <c r="R988" s="122"/>
      <c r="S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3"/>
      <c r="Q989" s="122"/>
      <c r="R989" s="122"/>
      <c r="S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3"/>
      <c r="Q990" s="122"/>
      <c r="R990" s="122"/>
      <c r="S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3"/>
      <c r="Q991" s="122"/>
      <c r="R991" s="122"/>
      <c r="S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3"/>
      <c r="Q992" s="122"/>
      <c r="R992" s="122"/>
      <c r="S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3"/>
      <c r="Q993" s="122"/>
      <c r="R993" s="122"/>
      <c r="S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3"/>
      <c r="Q994" s="122"/>
      <c r="R994" s="122"/>
      <c r="S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3"/>
      <c r="Q995" s="122"/>
      <c r="R995" s="122"/>
      <c r="S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3"/>
      <c r="Q996" s="122"/>
      <c r="R996" s="122"/>
      <c r="S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3"/>
      <c r="Q997" s="122"/>
      <c r="R997" s="122"/>
      <c r="S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3"/>
      <c r="Q998" s="122"/>
      <c r="R998" s="122"/>
      <c r="S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3"/>
      <c r="Q999" s="122"/>
      <c r="R999" s="122"/>
      <c r="S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3"/>
      <c r="Q1000" s="122"/>
      <c r="R1000" s="122"/>
      <c r="S1000" s="122"/>
    </row>
  </sheetData>
  <hyperlinks>
    <hyperlink r:id="rId1" ref="C5"/>
    <hyperlink r:id="rId2" ref="S5"/>
    <hyperlink r:id="rId3" ref="C6"/>
    <hyperlink r:id="rId4" ref="S6"/>
    <hyperlink r:id="rId5" ref="C7"/>
    <hyperlink r:id="rId6" ref="S7"/>
    <hyperlink r:id="rId7" ref="C8"/>
    <hyperlink r:id="rId8" ref="J8"/>
    <hyperlink r:id="rId9" ref="S8"/>
    <hyperlink r:id="rId10" ref="C9"/>
    <hyperlink r:id="rId11" ref="S9"/>
    <hyperlink r:id="rId12" ref="C10"/>
    <hyperlink r:id="rId13" ref="J10"/>
    <hyperlink r:id="rId14" ref="S10"/>
    <hyperlink r:id="rId15" ref="C11"/>
    <hyperlink r:id="rId16" ref="S11"/>
    <hyperlink r:id="rId17" ref="C12"/>
    <hyperlink r:id="rId18" ref="S12"/>
    <hyperlink r:id="rId19" ref="C13"/>
    <hyperlink r:id="rId20" ref="S13"/>
    <hyperlink r:id="rId21" ref="C14"/>
    <hyperlink r:id="rId22" ref="S14"/>
    <hyperlink r:id="rId23" ref="S15"/>
    <hyperlink r:id="rId24" ref="C16"/>
    <hyperlink r:id="rId25" ref="S16"/>
    <hyperlink r:id="rId26" ref="C17"/>
    <hyperlink r:id="rId27" ref="S17"/>
    <hyperlink r:id="rId28" ref="C18"/>
    <hyperlink r:id="rId29" ref="S18"/>
    <hyperlink r:id="rId30" ref="C19"/>
    <hyperlink r:id="rId31" ref="S19"/>
    <hyperlink r:id="rId32" ref="C20"/>
    <hyperlink r:id="rId33" ref="J20"/>
    <hyperlink r:id="rId34" ref="S20"/>
    <hyperlink r:id="rId35" ref="C21"/>
    <hyperlink r:id="rId36" ref="S21"/>
    <hyperlink r:id="rId37" ref="S22"/>
    <hyperlink r:id="rId38" ref="C23"/>
    <hyperlink r:id="rId39" ref="S23"/>
    <hyperlink r:id="rId40" ref="C24"/>
    <hyperlink r:id="rId41" ref="J24"/>
    <hyperlink r:id="rId42" ref="S24"/>
    <hyperlink r:id="rId43" ref="C25"/>
    <hyperlink r:id="rId44" ref="J25"/>
    <hyperlink r:id="rId45" ref="S25"/>
    <hyperlink r:id="rId46" ref="C26"/>
    <hyperlink r:id="rId47" ref="S26"/>
    <hyperlink r:id="rId48" ref="C27"/>
    <hyperlink r:id="rId49" ref="J27"/>
    <hyperlink r:id="rId50" ref="S27"/>
    <hyperlink r:id="rId51" ref="C28"/>
    <hyperlink r:id="rId52" ref="S28"/>
    <hyperlink r:id="rId53" ref="C29"/>
    <hyperlink r:id="rId54" ref="S29"/>
    <hyperlink r:id="rId55" ref="C30"/>
    <hyperlink r:id="rId56" ref="S30"/>
    <hyperlink r:id="rId57" ref="C31"/>
    <hyperlink r:id="rId58" ref="S31"/>
    <hyperlink r:id="rId59" ref="C32"/>
    <hyperlink r:id="rId60" ref="S32"/>
    <hyperlink r:id="rId61" ref="C33"/>
    <hyperlink r:id="rId62" ref="C34"/>
    <hyperlink r:id="rId63" ref="S34"/>
    <hyperlink r:id="rId64" ref="S35"/>
    <hyperlink r:id="rId65" ref="C36"/>
    <hyperlink r:id="rId66" ref="S36"/>
    <hyperlink r:id="rId67" ref="C37"/>
    <hyperlink r:id="rId68" ref="S37"/>
    <hyperlink r:id="rId69" ref="C38"/>
    <hyperlink r:id="rId70" ref="S38"/>
    <hyperlink r:id="rId71" ref="C39"/>
    <hyperlink r:id="rId72" ref="J39"/>
    <hyperlink r:id="rId73" ref="S39"/>
    <hyperlink r:id="rId74" ref="C40"/>
    <hyperlink r:id="rId75" ref="J40"/>
    <hyperlink r:id="rId76" ref="S40"/>
    <hyperlink r:id="rId77" ref="C41"/>
    <hyperlink r:id="rId78" ref="S41"/>
    <hyperlink r:id="rId79" ref="S42"/>
    <hyperlink r:id="rId80" ref="C43"/>
    <hyperlink r:id="rId81" ref="D43"/>
    <hyperlink r:id="rId82" ref="S43"/>
    <hyperlink r:id="rId83" ref="C44"/>
    <hyperlink r:id="rId84" ref="S44"/>
    <hyperlink r:id="rId85" ref="C45"/>
    <hyperlink r:id="rId86" ref="S45"/>
    <hyperlink r:id="rId87" ref="C46"/>
    <hyperlink r:id="rId88" ref="S46"/>
    <hyperlink r:id="rId89" ref="C47"/>
    <hyperlink r:id="rId90" ref="S47"/>
    <hyperlink r:id="rId91" ref="C48"/>
    <hyperlink r:id="rId92" ref="S48"/>
    <hyperlink r:id="rId93" ref="C49"/>
    <hyperlink r:id="rId94" ref="S49"/>
    <hyperlink r:id="rId95" ref="C50"/>
    <hyperlink r:id="rId96" ref="S50"/>
    <hyperlink r:id="rId97" ref="C51"/>
    <hyperlink r:id="rId98" ref="S51"/>
    <hyperlink r:id="rId99" ref="C52"/>
    <hyperlink r:id="rId100" ref="S52"/>
    <hyperlink r:id="rId101" ref="S53"/>
    <hyperlink r:id="rId102" ref="C54"/>
    <hyperlink r:id="rId103" ref="S54"/>
    <hyperlink r:id="rId104" ref="C55"/>
    <hyperlink r:id="rId105" ref="S55"/>
    <hyperlink r:id="rId106" ref="C56"/>
    <hyperlink r:id="rId107" ref="S56"/>
    <hyperlink r:id="rId108" ref="C57"/>
    <hyperlink r:id="rId109" ref="S57"/>
    <hyperlink r:id="rId110" ref="C58"/>
    <hyperlink r:id="rId111" ref="S58"/>
    <hyperlink r:id="rId112" ref="S59"/>
    <hyperlink r:id="rId113" ref="C60"/>
    <hyperlink r:id="rId114" ref="S60"/>
    <hyperlink r:id="rId115" ref="C61"/>
    <hyperlink r:id="rId116" ref="S61"/>
    <hyperlink r:id="rId117" ref="C62"/>
    <hyperlink r:id="rId118" ref="S62"/>
    <hyperlink r:id="rId119" ref="C63"/>
    <hyperlink r:id="rId120" ref="S63"/>
    <hyperlink r:id="rId121" ref="C64"/>
    <hyperlink r:id="rId122" ref="D64"/>
    <hyperlink r:id="rId123" ref="S64"/>
    <hyperlink r:id="rId124" ref="C65"/>
    <hyperlink r:id="rId125" ref="D65"/>
    <hyperlink r:id="rId126" ref="S65"/>
    <hyperlink r:id="rId127" ref="C66"/>
    <hyperlink r:id="rId128" ref="S66"/>
    <hyperlink r:id="rId129" ref="C67"/>
    <hyperlink r:id="rId130" ref="S67"/>
    <hyperlink r:id="rId131" ref="C68"/>
    <hyperlink r:id="rId132" ref="S68"/>
    <hyperlink r:id="rId133" ref="C69"/>
    <hyperlink r:id="rId134" ref="S69"/>
    <hyperlink r:id="rId135" ref="C70"/>
    <hyperlink r:id="rId136" ref="S70"/>
    <hyperlink r:id="rId137" ref="C71"/>
    <hyperlink r:id="rId138" ref="S71"/>
    <hyperlink r:id="rId139" ref="C72"/>
    <hyperlink r:id="rId140" ref="J72"/>
    <hyperlink r:id="rId141" ref="S72"/>
    <hyperlink r:id="rId142" ref="C73"/>
    <hyperlink r:id="rId143" ref="S73"/>
    <hyperlink r:id="rId144" ref="C74"/>
    <hyperlink r:id="rId145" ref="J74"/>
    <hyperlink r:id="rId146" ref="S74"/>
    <hyperlink r:id="rId147" ref="C75"/>
    <hyperlink r:id="rId148" ref="S75"/>
    <hyperlink r:id="rId149" ref="C76"/>
    <hyperlink r:id="rId150" ref="S76"/>
    <hyperlink r:id="rId151" ref="C77"/>
    <hyperlink r:id="rId152" ref="S77"/>
    <hyperlink r:id="rId153" ref="C78"/>
    <hyperlink r:id="rId154" ref="S78"/>
    <hyperlink r:id="rId155" ref="C79"/>
    <hyperlink r:id="rId156" ref="S79"/>
    <hyperlink r:id="rId157" ref="C80"/>
    <hyperlink r:id="rId158" ref="S80"/>
    <hyperlink r:id="rId159" ref="C81"/>
    <hyperlink r:id="rId160" ref="S81"/>
    <hyperlink r:id="rId161" ref="C82"/>
    <hyperlink r:id="rId162" ref="S82"/>
    <hyperlink r:id="rId163" ref="C83"/>
    <hyperlink r:id="rId164" ref="D83"/>
    <hyperlink r:id="rId165" ref="S83"/>
    <hyperlink r:id="rId166" ref="C84"/>
    <hyperlink r:id="rId167" ref="S84"/>
    <hyperlink r:id="rId168" ref="C85"/>
    <hyperlink r:id="rId169" ref="S85"/>
    <hyperlink r:id="rId170" ref="C86"/>
    <hyperlink r:id="rId171" ref="S86"/>
    <hyperlink r:id="rId172" ref="C87"/>
    <hyperlink r:id="rId173" ref="S87"/>
    <hyperlink r:id="rId174" ref="C88"/>
    <hyperlink r:id="rId175" ref="S88"/>
    <hyperlink r:id="rId176" ref="C89"/>
    <hyperlink r:id="rId177" ref="S89"/>
    <hyperlink r:id="rId178" ref="C90"/>
    <hyperlink r:id="rId179" ref="S90"/>
    <hyperlink r:id="rId180" ref="C91"/>
    <hyperlink r:id="rId181" ref="S91"/>
    <hyperlink r:id="rId182" ref="C92"/>
    <hyperlink r:id="rId183" ref="S92"/>
    <hyperlink r:id="rId184" ref="C93"/>
    <hyperlink r:id="rId185" ref="S93"/>
    <hyperlink r:id="rId186" ref="C94"/>
    <hyperlink r:id="rId187" ref="S94"/>
    <hyperlink r:id="rId188" ref="C95"/>
    <hyperlink r:id="rId189" ref="S95"/>
    <hyperlink r:id="rId190" ref="C96"/>
    <hyperlink r:id="rId191" ref="S96"/>
    <hyperlink r:id="rId192" ref="C97"/>
    <hyperlink r:id="rId193" ref="S97"/>
    <hyperlink r:id="rId194" ref="C98"/>
    <hyperlink r:id="rId195" ref="S98"/>
    <hyperlink r:id="rId196" ref="C99"/>
    <hyperlink r:id="rId197" ref="S99"/>
    <hyperlink r:id="rId198" ref="C100"/>
    <hyperlink r:id="rId199" ref="S100"/>
    <hyperlink r:id="rId200" ref="C101"/>
    <hyperlink r:id="rId201" ref="S101"/>
    <hyperlink r:id="rId202" ref="C102"/>
    <hyperlink r:id="rId203" ref="S102"/>
    <hyperlink r:id="rId204" ref="C103"/>
    <hyperlink r:id="rId205" ref="S103"/>
    <hyperlink r:id="rId206" ref="C104"/>
    <hyperlink r:id="rId207" ref="S104"/>
    <hyperlink r:id="rId208" ref="C105"/>
    <hyperlink r:id="rId209" ref="S105"/>
    <hyperlink r:id="rId210" ref="C106"/>
    <hyperlink r:id="rId211" ref="S106"/>
    <hyperlink r:id="rId212" ref="C107"/>
    <hyperlink r:id="rId213" ref="S107"/>
    <hyperlink r:id="rId214" ref="C108"/>
    <hyperlink r:id="rId215" ref="S108"/>
    <hyperlink r:id="rId216" ref="C109"/>
    <hyperlink r:id="rId217" ref="S109"/>
    <hyperlink r:id="rId218" ref="C110"/>
    <hyperlink r:id="rId219" ref="S110"/>
    <hyperlink r:id="rId220" ref="C111"/>
    <hyperlink r:id="rId221" ref="S111"/>
    <hyperlink r:id="rId222" ref="C112"/>
    <hyperlink r:id="rId223" ref="D112"/>
    <hyperlink r:id="rId224" ref="S112"/>
    <hyperlink r:id="rId225" ref="C113"/>
    <hyperlink r:id="rId226" ref="S113"/>
    <hyperlink r:id="rId227" ref="C114"/>
    <hyperlink r:id="rId228" ref="S114"/>
    <hyperlink r:id="rId229" ref="C115"/>
    <hyperlink r:id="rId230" ref="S115"/>
    <hyperlink r:id="rId231" ref="C116"/>
    <hyperlink r:id="rId232" ref="S116"/>
    <hyperlink r:id="rId233" ref="C117"/>
    <hyperlink r:id="rId234" ref="S117"/>
    <hyperlink r:id="rId235" ref="C118"/>
    <hyperlink r:id="rId236" ref="S118"/>
    <hyperlink r:id="rId237" ref="C119"/>
    <hyperlink r:id="rId238" ref="S119"/>
    <hyperlink r:id="rId239" ref="C120"/>
    <hyperlink r:id="rId240" ref="S120"/>
    <hyperlink r:id="rId241" ref="C121"/>
    <hyperlink r:id="rId242" ref="S121"/>
    <hyperlink r:id="rId243" ref="C122"/>
    <hyperlink r:id="rId244" ref="S122"/>
    <hyperlink r:id="rId245" ref="C123"/>
    <hyperlink r:id="rId246" ref="S123"/>
    <hyperlink r:id="rId247" ref="C124"/>
    <hyperlink r:id="rId248" ref="S124"/>
    <hyperlink r:id="rId249" ref="C125"/>
    <hyperlink r:id="rId250" ref="S125"/>
    <hyperlink r:id="rId251" ref="C126"/>
    <hyperlink r:id="rId252" ref="S126"/>
    <hyperlink r:id="rId253" ref="C127"/>
    <hyperlink r:id="rId254" ref="S127"/>
    <hyperlink r:id="rId255" ref="C128"/>
    <hyperlink r:id="rId256" ref="S128"/>
    <hyperlink r:id="rId257" ref="C129"/>
    <hyperlink r:id="rId258" ref="S129"/>
    <hyperlink r:id="rId259" ref="C130"/>
    <hyperlink r:id="rId260" ref="S130"/>
    <hyperlink r:id="rId261" ref="C131"/>
    <hyperlink r:id="rId262" ref="S131"/>
    <hyperlink r:id="rId263" ref="C132"/>
    <hyperlink r:id="rId264" ref="S132"/>
    <hyperlink r:id="rId265" ref="C133"/>
    <hyperlink r:id="rId266" ref="S133"/>
    <hyperlink r:id="rId267" ref="C134"/>
    <hyperlink r:id="rId268" ref="S134"/>
    <hyperlink r:id="rId269" ref="C135"/>
    <hyperlink r:id="rId270" ref="S135"/>
    <hyperlink r:id="rId271" ref="C136"/>
    <hyperlink r:id="rId272" ref="S136"/>
    <hyperlink r:id="rId273" ref="C137"/>
    <hyperlink r:id="rId274" ref="S137"/>
    <hyperlink r:id="rId275" ref="C138"/>
    <hyperlink r:id="rId276" ref="S138"/>
    <hyperlink r:id="rId277" ref="C139"/>
    <hyperlink r:id="rId278" ref="S139"/>
    <hyperlink r:id="rId279" ref="C140"/>
    <hyperlink r:id="rId280" ref="S140"/>
    <hyperlink r:id="rId281" ref="C141"/>
    <hyperlink r:id="rId282" ref="S141"/>
    <hyperlink r:id="rId283" ref="C142"/>
    <hyperlink r:id="rId284" ref="S142"/>
    <hyperlink r:id="rId285" ref="C143"/>
    <hyperlink r:id="rId286" ref="S143"/>
    <hyperlink r:id="rId287" ref="C144"/>
    <hyperlink r:id="rId288" ref="S144"/>
    <hyperlink r:id="rId289" ref="C145"/>
    <hyperlink r:id="rId290" ref="S145"/>
    <hyperlink r:id="rId291" ref="C146"/>
    <hyperlink r:id="rId292" ref="S146"/>
    <hyperlink r:id="rId293" ref="C147"/>
    <hyperlink r:id="rId294" ref="S147"/>
    <hyperlink r:id="rId295" ref="C148"/>
    <hyperlink r:id="rId296" ref="S148"/>
    <hyperlink r:id="rId297" ref="C149"/>
    <hyperlink r:id="rId298" ref="S149"/>
    <hyperlink r:id="rId299" ref="C150"/>
    <hyperlink r:id="rId300" ref="S150"/>
    <hyperlink r:id="rId301" ref="C151"/>
    <hyperlink r:id="rId302" ref="S151"/>
    <hyperlink r:id="rId303" ref="C152"/>
    <hyperlink r:id="rId304" ref="S152"/>
    <hyperlink r:id="rId305" ref="S153"/>
    <hyperlink r:id="rId306" ref="C154"/>
    <hyperlink r:id="rId307" ref="J154"/>
    <hyperlink r:id="rId308" ref="S154"/>
    <hyperlink r:id="rId309" ref="C155"/>
    <hyperlink r:id="rId310" ref="J155"/>
    <hyperlink r:id="rId311" ref="S155"/>
    <hyperlink r:id="rId312" ref="C156"/>
    <hyperlink r:id="rId313" ref="S156"/>
    <hyperlink r:id="rId314" ref="C157"/>
    <hyperlink r:id="rId315" ref="S157"/>
    <hyperlink r:id="rId316" ref="C158"/>
    <hyperlink r:id="rId317" ref="J158"/>
    <hyperlink r:id="rId318" ref="S158"/>
    <hyperlink r:id="rId319" ref="S159"/>
    <hyperlink r:id="rId320" ref="C160"/>
    <hyperlink r:id="rId321" ref="S160"/>
    <hyperlink r:id="rId322" ref="C161"/>
    <hyperlink r:id="rId323" ref="S161"/>
    <hyperlink r:id="rId324" ref="C162"/>
    <hyperlink r:id="rId325" ref="S162"/>
    <hyperlink r:id="rId326" ref="C163"/>
    <hyperlink r:id="rId327" ref="S163"/>
    <hyperlink r:id="rId328" ref="C164"/>
    <hyperlink r:id="rId329" ref="S164"/>
    <hyperlink r:id="rId330" ref="C165"/>
    <hyperlink r:id="rId331" ref="J165"/>
    <hyperlink r:id="rId332" ref="S165"/>
    <hyperlink r:id="rId333" ref="C166"/>
    <hyperlink r:id="rId334" ref="S166"/>
    <hyperlink r:id="rId335" ref="C167"/>
    <hyperlink r:id="rId336" ref="S167"/>
    <hyperlink r:id="rId337" ref="C168"/>
    <hyperlink r:id="rId338" ref="S168"/>
    <hyperlink r:id="rId339" ref="C169"/>
    <hyperlink r:id="rId340" ref="S169"/>
    <hyperlink r:id="rId341" ref="C170"/>
    <hyperlink r:id="rId342" ref="S170"/>
    <hyperlink r:id="rId343" ref="C171"/>
    <hyperlink r:id="rId344" ref="S171"/>
    <hyperlink r:id="rId345" ref="C172"/>
    <hyperlink r:id="rId346" ref="S172"/>
    <hyperlink r:id="rId347" ref="C173"/>
    <hyperlink r:id="rId348" ref="S173"/>
    <hyperlink r:id="rId349" ref="C174"/>
    <hyperlink r:id="rId350" ref="S174"/>
    <hyperlink r:id="rId351" ref="C175"/>
    <hyperlink r:id="rId352" ref="S175"/>
    <hyperlink r:id="rId353" ref="C176"/>
    <hyperlink r:id="rId354" ref="S176"/>
    <hyperlink r:id="rId355" ref="C177"/>
    <hyperlink r:id="rId356" ref="S177"/>
    <hyperlink r:id="rId357" ref="C178"/>
    <hyperlink r:id="rId358" ref="S178"/>
    <hyperlink r:id="rId359" ref="C179"/>
    <hyperlink r:id="rId360" ref="S179"/>
    <hyperlink r:id="rId361" ref="C180"/>
    <hyperlink r:id="rId362" ref="S180"/>
    <hyperlink r:id="rId363" ref="C181"/>
    <hyperlink r:id="rId364" ref="S181"/>
    <hyperlink r:id="rId365" ref="C182"/>
    <hyperlink r:id="rId366" ref="S182"/>
    <hyperlink r:id="rId367" ref="C183"/>
    <hyperlink r:id="rId368" ref="S183"/>
    <hyperlink r:id="rId369" ref="C184"/>
    <hyperlink r:id="rId370" ref="D184"/>
    <hyperlink r:id="rId371" ref="S184"/>
    <hyperlink r:id="rId372" ref="C185"/>
    <hyperlink r:id="rId373" ref="D185"/>
    <hyperlink r:id="rId374" ref="S185"/>
    <hyperlink r:id="rId375" ref="C186"/>
    <hyperlink r:id="rId376" ref="S186"/>
    <hyperlink r:id="rId377" ref="C187"/>
    <hyperlink r:id="rId378" ref="S187"/>
    <hyperlink r:id="rId379" ref="C188"/>
    <hyperlink r:id="rId380" ref="S188"/>
    <hyperlink r:id="rId381" ref="C189"/>
    <hyperlink r:id="rId382" ref="D189"/>
    <hyperlink r:id="rId383" ref="S189"/>
    <hyperlink r:id="rId384" ref="C190"/>
    <hyperlink r:id="rId385" ref="S190"/>
    <hyperlink r:id="rId386" ref="C191"/>
    <hyperlink r:id="rId387" ref="S191"/>
    <hyperlink r:id="rId388" ref="C192"/>
    <hyperlink r:id="rId389" ref="S192"/>
    <hyperlink r:id="rId390" ref="C193"/>
    <hyperlink r:id="rId391" ref="S193"/>
    <hyperlink r:id="rId392" ref="C194"/>
    <hyperlink r:id="rId393" ref="S194"/>
    <hyperlink r:id="rId394" ref="C195"/>
    <hyperlink r:id="rId395" ref="S195"/>
    <hyperlink r:id="rId396" ref="C196"/>
    <hyperlink r:id="rId397" ref="S196"/>
    <hyperlink r:id="rId398" ref="C197"/>
    <hyperlink r:id="rId399" ref="D197"/>
    <hyperlink r:id="rId400" ref="S197"/>
    <hyperlink r:id="rId401" ref="C198"/>
    <hyperlink r:id="rId402" ref="S198"/>
    <hyperlink r:id="rId403" ref="C199"/>
    <hyperlink r:id="rId404" ref="S199"/>
    <hyperlink r:id="rId405" ref="C200"/>
    <hyperlink r:id="rId406" ref="S200"/>
    <hyperlink r:id="rId407" ref="C201"/>
    <hyperlink r:id="rId408" ref="S201"/>
    <hyperlink r:id="rId409" ref="S202"/>
    <hyperlink r:id="rId410" ref="C203"/>
    <hyperlink r:id="rId411" ref="S203"/>
    <hyperlink r:id="rId412" ref="C204"/>
    <hyperlink r:id="rId413" ref="S204"/>
    <hyperlink r:id="rId414" ref="C205"/>
    <hyperlink r:id="rId415" ref="S205"/>
    <hyperlink r:id="rId416" ref="C206"/>
    <hyperlink r:id="rId417" ref="S206"/>
    <hyperlink r:id="rId418" ref="C207"/>
    <hyperlink r:id="rId419" ref="S207"/>
    <hyperlink r:id="rId420" ref="C208"/>
    <hyperlink r:id="rId421" ref="S208"/>
    <hyperlink r:id="rId422" ref="C209"/>
    <hyperlink r:id="rId423" ref="D209"/>
    <hyperlink r:id="rId424" ref="S209"/>
    <hyperlink r:id="rId425" ref="C210"/>
    <hyperlink r:id="rId426" ref="S210"/>
    <hyperlink r:id="rId427" ref="C211"/>
    <hyperlink r:id="rId428" ref="S211"/>
    <hyperlink r:id="rId429" ref="C212"/>
    <hyperlink r:id="rId430" ref="S212"/>
    <hyperlink r:id="rId431" ref="C213"/>
    <hyperlink r:id="rId432" ref="S213"/>
    <hyperlink r:id="rId433" ref="C214"/>
    <hyperlink r:id="rId434" ref="S214"/>
    <hyperlink r:id="rId435" ref="C215"/>
    <hyperlink r:id="rId436" ref="S215"/>
    <hyperlink r:id="rId437" ref="C216"/>
    <hyperlink r:id="rId438" ref="S216"/>
    <hyperlink r:id="rId439" ref="C217"/>
    <hyperlink r:id="rId440" ref="S217"/>
    <hyperlink r:id="rId441" ref="C218"/>
    <hyperlink r:id="rId442" ref="S218"/>
    <hyperlink r:id="rId443" ref="C219"/>
    <hyperlink r:id="rId444" ref="S219"/>
    <hyperlink r:id="rId445" ref="C220"/>
    <hyperlink r:id="rId446" ref="S220"/>
    <hyperlink r:id="rId447" ref="C221"/>
    <hyperlink r:id="rId448" ref="S221"/>
    <hyperlink r:id="rId449" ref="C222"/>
    <hyperlink r:id="rId450" ref="S222"/>
    <hyperlink r:id="rId451" ref="C223"/>
    <hyperlink r:id="rId452" ref="S223"/>
    <hyperlink r:id="rId453" ref="C224"/>
    <hyperlink r:id="rId454" ref="S224"/>
    <hyperlink r:id="rId455" ref="C225"/>
    <hyperlink r:id="rId456" ref="S225"/>
    <hyperlink r:id="rId457" ref="C226"/>
    <hyperlink r:id="rId458" ref="S226"/>
    <hyperlink r:id="rId459" ref="C227"/>
    <hyperlink r:id="rId460" ref="S227"/>
    <hyperlink r:id="rId461" ref="C228"/>
    <hyperlink r:id="rId462" ref="S228"/>
    <hyperlink r:id="rId463" ref="C229"/>
    <hyperlink r:id="rId464" ref="S229"/>
    <hyperlink r:id="rId465" ref="C230"/>
    <hyperlink r:id="rId466" ref="S230"/>
    <hyperlink r:id="rId467" ref="C231"/>
    <hyperlink r:id="rId468" ref="S231"/>
    <hyperlink r:id="rId469" ref="C232"/>
    <hyperlink r:id="rId470" ref="S232"/>
    <hyperlink r:id="rId471" ref="C233"/>
    <hyperlink r:id="rId472" ref="S233"/>
    <hyperlink r:id="rId473" ref="C234"/>
    <hyperlink r:id="rId474" ref="S234"/>
    <hyperlink r:id="rId475" ref="C235"/>
    <hyperlink r:id="rId476" ref="S235"/>
    <hyperlink r:id="rId477" ref="C236"/>
    <hyperlink r:id="rId478" ref="S236"/>
    <hyperlink r:id="rId479" ref="C237"/>
    <hyperlink r:id="rId480" ref="S237"/>
    <hyperlink r:id="rId481" ref="C238"/>
    <hyperlink r:id="rId482" ref="S238"/>
    <hyperlink r:id="rId483" ref="C239"/>
    <hyperlink r:id="rId484" ref="S239"/>
    <hyperlink r:id="rId485" ref="C240"/>
    <hyperlink r:id="rId486" ref="S240"/>
    <hyperlink r:id="rId487" ref="C241"/>
    <hyperlink r:id="rId488" ref="S241"/>
    <hyperlink r:id="rId489" ref="C242"/>
    <hyperlink r:id="rId490" ref="S242"/>
    <hyperlink r:id="rId491" ref="C243"/>
    <hyperlink r:id="rId492" ref="S243"/>
    <hyperlink r:id="rId493" ref="C244"/>
    <hyperlink r:id="rId494" ref="S244"/>
    <hyperlink r:id="rId495" ref="C245"/>
    <hyperlink r:id="rId496" ref="S245"/>
    <hyperlink r:id="rId497" ref="C246"/>
    <hyperlink r:id="rId498" ref="S246"/>
    <hyperlink r:id="rId499" ref="C247"/>
    <hyperlink r:id="rId500" ref="S247"/>
    <hyperlink r:id="rId501" ref="C248"/>
    <hyperlink r:id="rId502" ref="S248"/>
    <hyperlink r:id="rId503" ref="C249"/>
    <hyperlink r:id="rId504" ref="S249"/>
    <hyperlink r:id="rId505" ref="C250"/>
    <hyperlink r:id="rId506" ref="S250"/>
    <hyperlink r:id="rId507" ref="C251"/>
    <hyperlink r:id="rId508" ref="S251"/>
    <hyperlink r:id="rId509" ref="C252"/>
    <hyperlink r:id="rId510" ref="S252"/>
    <hyperlink r:id="rId511" ref="C253"/>
    <hyperlink r:id="rId512" ref="S253"/>
    <hyperlink r:id="rId513" ref="C254"/>
    <hyperlink r:id="rId514" ref="S254"/>
    <hyperlink r:id="rId515" ref="C255"/>
    <hyperlink r:id="rId516" ref="S255"/>
    <hyperlink r:id="rId517" ref="C256"/>
    <hyperlink r:id="rId518" ref="S256"/>
    <hyperlink r:id="rId519" ref="C257"/>
    <hyperlink r:id="rId520" ref="S257"/>
    <hyperlink r:id="rId521" ref="C258"/>
    <hyperlink r:id="rId522" ref="S258"/>
    <hyperlink r:id="rId523" ref="S259"/>
    <hyperlink r:id="rId524" ref="C260"/>
    <hyperlink r:id="rId525" ref="D260"/>
    <hyperlink r:id="rId526" ref="S260"/>
    <hyperlink r:id="rId527" ref="C261"/>
    <hyperlink r:id="rId528" ref="S261"/>
    <hyperlink r:id="rId529" ref="C262"/>
    <hyperlink r:id="rId530" ref="S262"/>
    <hyperlink r:id="rId531" ref="C263"/>
    <hyperlink r:id="rId532" ref="S263"/>
    <hyperlink r:id="rId533" ref="C264"/>
    <hyperlink r:id="rId534" ref="S264"/>
    <hyperlink r:id="rId535" ref="C265"/>
    <hyperlink r:id="rId536" ref="S265"/>
    <hyperlink r:id="rId537" ref="C266"/>
    <hyperlink r:id="rId538" ref="S266"/>
    <hyperlink r:id="rId539" ref="C267"/>
    <hyperlink r:id="rId540" ref="S267"/>
    <hyperlink r:id="rId541" ref="C268"/>
    <hyperlink r:id="rId542" ref="S268"/>
    <hyperlink r:id="rId543" ref="C269"/>
    <hyperlink r:id="rId544" ref="S269"/>
    <hyperlink r:id="rId545" ref="C270"/>
    <hyperlink r:id="rId546" ref="S270"/>
    <hyperlink r:id="rId547" ref="C271"/>
    <hyperlink r:id="rId548" ref="S271"/>
    <hyperlink r:id="rId549" ref="C272"/>
    <hyperlink r:id="rId550" ref="S272"/>
    <hyperlink r:id="rId551" ref="C273"/>
    <hyperlink r:id="rId552" ref="S273"/>
    <hyperlink r:id="rId553" ref="C274"/>
    <hyperlink r:id="rId554" ref="S274"/>
    <hyperlink r:id="rId555" ref="C275"/>
    <hyperlink r:id="rId556" ref="S275"/>
    <hyperlink r:id="rId557" ref="C276"/>
    <hyperlink r:id="rId558" ref="S276"/>
    <hyperlink r:id="rId559" ref="C277"/>
    <hyperlink r:id="rId560" ref="S277"/>
    <hyperlink r:id="rId561" ref="C278"/>
    <hyperlink r:id="rId562" ref="S278"/>
    <hyperlink r:id="rId563" ref="C279"/>
    <hyperlink r:id="rId564" ref="S279"/>
    <hyperlink r:id="rId565" ref="S280"/>
    <hyperlink r:id="rId566" ref="C281"/>
    <hyperlink r:id="rId567" ref="S281"/>
    <hyperlink r:id="rId568" ref="C282"/>
    <hyperlink r:id="rId569" ref="S282"/>
    <hyperlink r:id="rId570" ref="S283"/>
    <hyperlink r:id="rId571" ref="C284"/>
    <hyperlink r:id="rId572" ref="S284"/>
    <hyperlink r:id="rId573" ref="C285"/>
    <hyperlink r:id="rId574" ref="S285"/>
    <hyperlink r:id="rId575" ref="C286"/>
    <hyperlink r:id="rId576" ref="S286"/>
    <hyperlink r:id="rId577" ref="C287"/>
    <hyperlink r:id="rId578" ref="S287"/>
    <hyperlink r:id="rId579" ref="C288"/>
    <hyperlink r:id="rId580" ref="S288"/>
    <hyperlink r:id="rId581" ref="C289"/>
    <hyperlink r:id="rId582" ref="S289"/>
    <hyperlink r:id="rId583" ref="C290"/>
    <hyperlink r:id="rId584" ref="S290"/>
    <hyperlink r:id="rId585" ref="C291"/>
    <hyperlink r:id="rId586" ref="S291"/>
    <hyperlink r:id="rId587" ref="C292"/>
    <hyperlink r:id="rId588" ref="J292"/>
    <hyperlink r:id="rId589" ref="S292"/>
    <hyperlink r:id="rId590" ref="C293"/>
    <hyperlink r:id="rId591" ref="S293"/>
    <hyperlink r:id="rId592" ref="S294"/>
    <hyperlink r:id="rId593" ref="C295"/>
    <hyperlink r:id="rId594" ref="S296"/>
    <hyperlink r:id="rId595" ref="C297"/>
    <hyperlink r:id="rId596" ref="S297"/>
    <hyperlink r:id="rId597" ref="C298"/>
    <hyperlink r:id="rId598" ref="S298"/>
    <hyperlink r:id="rId599" ref="S299"/>
    <hyperlink r:id="rId600" ref="C300"/>
    <hyperlink r:id="rId601" ref="S300"/>
    <hyperlink r:id="rId602" ref="C301"/>
    <hyperlink r:id="rId603" ref="S301"/>
    <hyperlink r:id="rId604" ref="C302"/>
    <hyperlink r:id="rId605" ref="S302"/>
    <hyperlink r:id="rId606" ref="C303"/>
    <hyperlink r:id="rId607" ref="S303"/>
    <hyperlink r:id="rId608" ref="C304"/>
    <hyperlink r:id="rId609" ref="S304"/>
    <hyperlink r:id="rId610" ref="C305"/>
    <hyperlink r:id="rId611" ref="S305"/>
    <hyperlink r:id="rId612" ref="C306"/>
    <hyperlink r:id="rId613" ref="S306"/>
    <hyperlink r:id="rId614" ref="C307"/>
    <hyperlink r:id="rId615" ref="S307"/>
    <hyperlink r:id="rId616" ref="C308"/>
    <hyperlink r:id="rId617" ref="S308"/>
    <hyperlink r:id="rId618" ref="C309"/>
    <hyperlink r:id="rId619" ref="S309"/>
    <hyperlink r:id="rId620" ref="C310"/>
    <hyperlink r:id="rId621" ref="S310"/>
    <hyperlink r:id="rId622" ref="C311"/>
    <hyperlink r:id="rId623" ref="S311"/>
    <hyperlink r:id="rId624" ref="C312"/>
    <hyperlink r:id="rId625" ref="S312"/>
    <hyperlink r:id="rId626" ref="C313"/>
    <hyperlink r:id="rId627" ref="S313"/>
    <hyperlink r:id="rId628" ref="C314"/>
    <hyperlink r:id="rId629" ref="S314"/>
    <hyperlink r:id="rId630" ref="C315"/>
    <hyperlink r:id="rId631" ref="S315"/>
    <hyperlink r:id="rId632" ref="C316"/>
    <hyperlink r:id="rId633" ref="S316"/>
    <hyperlink r:id="rId634" ref="C317"/>
    <hyperlink r:id="rId635" ref="S317"/>
    <hyperlink r:id="rId636" ref="C318"/>
    <hyperlink r:id="rId637" ref="S318"/>
    <hyperlink r:id="rId638" ref="C319"/>
    <hyperlink r:id="rId639" ref="S319"/>
    <hyperlink r:id="rId640" ref="C320"/>
    <hyperlink r:id="rId641" ref="S320"/>
    <hyperlink r:id="rId642" ref="C321"/>
    <hyperlink r:id="rId643" ref="S321"/>
    <hyperlink r:id="rId644" ref="C322"/>
    <hyperlink r:id="rId645" ref="S322"/>
    <hyperlink r:id="rId646" ref="S323"/>
    <hyperlink r:id="rId647" ref="C324"/>
    <hyperlink r:id="rId648" ref="S324"/>
    <hyperlink r:id="rId649" ref="S325"/>
    <hyperlink r:id="rId650" ref="C326"/>
    <hyperlink r:id="rId651" ref="S326"/>
    <hyperlink r:id="rId652" ref="C327"/>
    <hyperlink r:id="rId653" ref="S327"/>
    <hyperlink r:id="rId654" ref="C328"/>
    <hyperlink r:id="rId655" ref="S328"/>
    <hyperlink r:id="rId656" ref="C329"/>
    <hyperlink r:id="rId657" ref="S329"/>
    <hyperlink r:id="rId658" ref="C330"/>
    <hyperlink r:id="rId659" ref="S330"/>
    <hyperlink r:id="rId660" ref="C331"/>
    <hyperlink r:id="rId661" ref="C332"/>
    <hyperlink r:id="rId662" ref="C333"/>
    <hyperlink r:id="rId663" ref="C334"/>
    <hyperlink r:id="rId664" ref="S334"/>
    <hyperlink r:id="rId665" ref="C335"/>
    <hyperlink r:id="rId666" ref="S335"/>
    <hyperlink r:id="rId667" ref="C336"/>
    <hyperlink r:id="rId668" ref="J336"/>
    <hyperlink r:id="rId669" ref="S336"/>
    <hyperlink r:id="rId670" ref="C337"/>
    <hyperlink r:id="rId671" ref="S337"/>
    <hyperlink r:id="rId672" ref="C338"/>
    <hyperlink r:id="rId673" ref="S338"/>
    <hyperlink r:id="rId674" ref="C339"/>
    <hyperlink r:id="rId675" ref="S339"/>
    <hyperlink r:id="rId676" ref="C340"/>
    <hyperlink r:id="rId677" ref="S340"/>
    <hyperlink r:id="rId678" ref="C341"/>
    <hyperlink r:id="rId679" ref="S341"/>
    <hyperlink r:id="rId680" ref="C342"/>
    <hyperlink r:id="rId681" ref="S342"/>
    <hyperlink r:id="rId682" ref="C343"/>
    <hyperlink r:id="rId683" ref="S343"/>
    <hyperlink r:id="rId684" ref="C344"/>
    <hyperlink r:id="rId685" ref="S344"/>
    <hyperlink r:id="rId686" ref="C345"/>
    <hyperlink r:id="rId687" ref="S345"/>
    <hyperlink r:id="rId688" ref="C346"/>
    <hyperlink r:id="rId689" ref="S346"/>
    <hyperlink r:id="rId690" ref="C347"/>
    <hyperlink r:id="rId691" ref="S347"/>
    <hyperlink r:id="rId692" ref="C348"/>
    <hyperlink r:id="rId693" ref="S348"/>
    <hyperlink r:id="rId694" ref="C349"/>
    <hyperlink r:id="rId695" ref="S349"/>
    <hyperlink r:id="rId696" ref="C350"/>
    <hyperlink r:id="rId697" ref="S350"/>
    <hyperlink r:id="rId698" ref="C351"/>
    <hyperlink r:id="rId699" ref="S351"/>
    <hyperlink r:id="rId700" ref="C352"/>
    <hyperlink r:id="rId701" ref="S352"/>
    <hyperlink r:id="rId702" ref="C353"/>
    <hyperlink r:id="rId703" ref="S353"/>
    <hyperlink r:id="rId704" ref="C354"/>
    <hyperlink r:id="rId705" ref="S354"/>
    <hyperlink r:id="rId706" ref="C355"/>
    <hyperlink r:id="rId707" ref="S355"/>
    <hyperlink r:id="rId708" ref="C356"/>
    <hyperlink r:id="rId709" ref="S356"/>
    <hyperlink r:id="rId710" ref="C357"/>
    <hyperlink r:id="rId711" ref="S357"/>
    <hyperlink r:id="rId712" ref="S358"/>
    <hyperlink r:id="rId713" ref="C359"/>
    <hyperlink r:id="rId714" ref="S359"/>
    <hyperlink r:id="rId715" ref="C360"/>
    <hyperlink r:id="rId716" ref="S360"/>
    <hyperlink r:id="rId717" ref="C361"/>
    <hyperlink r:id="rId718" ref="S361"/>
    <hyperlink r:id="rId719" ref="C362"/>
    <hyperlink r:id="rId720" ref="S362"/>
    <hyperlink r:id="rId721" ref="C363"/>
    <hyperlink r:id="rId722" ref="S363"/>
    <hyperlink r:id="rId723" ref="C364"/>
    <hyperlink r:id="rId724" ref="S364"/>
    <hyperlink r:id="rId725" ref="C365"/>
    <hyperlink r:id="rId726" ref="S365"/>
    <hyperlink r:id="rId727" ref="C366"/>
    <hyperlink r:id="rId728" ref="S366"/>
    <hyperlink r:id="rId729" ref="C367"/>
    <hyperlink r:id="rId730" ref="C368"/>
    <hyperlink r:id="rId731" ref="C369"/>
    <hyperlink r:id="rId732" ref="C370"/>
    <hyperlink r:id="rId733" ref="S370"/>
    <hyperlink r:id="rId734" ref="C371"/>
    <hyperlink r:id="rId735" ref="S371"/>
    <hyperlink r:id="rId736" ref="C372"/>
    <hyperlink r:id="rId737" ref="S372"/>
    <hyperlink r:id="rId738" ref="S373"/>
    <hyperlink r:id="rId739" ref="S374"/>
    <hyperlink r:id="rId740" ref="S375"/>
    <hyperlink r:id="rId741" ref="S376"/>
    <hyperlink r:id="rId742" ref="S377"/>
    <hyperlink r:id="rId743" ref="C378"/>
    <hyperlink r:id="rId744" ref="S378"/>
    <hyperlink r:id="rId745" ref="C379"/>
    <hyperlink r:id="rId746" ref="S379"/>
    <hyperlink r:id="rId747" ref="C380"/>
    <hyperlink r:id="rId748" ref="S380"/>
    <hyperlink r:id="rId749" ref="C381"/>
    <hyperlink r:id="rId750" ref="S381"/>
    <hyperlink r:id="rId751" ref="C382"/>
    <hyperlink r:id="rId752" ref="C383"/>
    <hyperlink r:id="rId753" ref="C384"/>
    <hyperlink r:id="rId754" ref="C385"/>
    <hyperlink r:id="rId755" ref="C386"/>
    <hyperlink r:id="rId756" ref="C387"/>
    <hyperlink r:id="rId757" ref="S387"/>
    <hyperlink r:id="rId758" ref="C388"/>
    <hyperlink r:id="rId759" ref="S388"/>
  </hyperlinks>
  <drawing r:id="rId76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71"/>
    <col customWidth="1" min="5" max="5" width="16.86"/>
    <col customWidth="1" min="6" max="6" width="19.0"/>
    <col customWidth="1" min="7" max="7" width="16.71"/>
  </cols>
  <sheetData>
    <row r="1">
      <c r="A1" s="135"/>
      <c r="B1" s="136"/>
      <c r="C1" s="137" t="s">
        <v>406</v>
      </c>
      <c r="D1" s="136"/>
      <c r="E1" s="138"/>
      <c r="F1" s="139"/>
      <c r="G1" s="139" t="s">
        <v>407</v>
      </c>
      <c r="H1" s="137" t="s">
        <v>408</v>
      </c>
      <c r="I1" s="137" t="s">
        <v>408</v>
      </c>
    </row>
    <row r="2">
      <c r="A2" s="140" t="s">
        <v>409</v>
      </c>
      <c r="B2" s="141" t="s">
        <v>410</v>
      </c>
      <c r="C2" s="141" t="s">
        <v>411</v>
      </c>
      <c r="D2" s="141" t="s">
        <v>412</v>
      </c>
      <c r="E2" s="142" t="s">
        <v>413</v>
      </c>
      <c r="F2" s="143" t="s">
        <v>13</v>
      </c>
      <c r="G2" s="143" t="s">
        <v>414</v>
      </c>
      <c r="H2" s="144" t="s">
        <v>415</v>
      </c>
      <c r="I2" s="144" t="s">
        <v>416</v>
      </c>
    </row>
    <row r="3">
      <c r="A3" s="145"/>
      <c r="B3" s="137"/>
      <c r="C3" s="137"/>
      <c r="D3" s="146"/>
      <c r="E3" s="147"/>
      <c r="F3" s="148"/>
      <c r="G3" s="149">
        <f>SUM(G4:G927)</f>
        <v>104500000</v>
      </c>
      <c r="H3" s="136"/>
      <c r="I3" s="136"/>
    </row>
    <row r="4">
      <c r="A4" s="145" t="s">
        <v>417</v>
      </c>
      <c r="B4" s="137" t="s">
        <v>418</v>
      </c>
      <c r="C4" s="137">
        <v>93.0</v>
      </c>
      <c r="D4" s="146">
        <v>44383.0</v>
      </c>
      <c r="E4" s="150" t="s">
        <v>419</v>
      </c>
      <c r="F4" s="148" t="str">
        <f t="array" ref="F4:F927">iferror(VLOOKUP(A4:A927,data!A:P,16,0),"")</f>
        <v>Trâm</v>
      </c>
      <c r="G4" s="148">
        <f t="shared" ref="G4:G208" si="1">if(and(or(B4="Facebook",B4="instagram",B4="YouTube"),C4&gt;50,D4&gt;0),1000000,if(and(or(B4="Facebook",B4="instagram",B4="YouTube"),C4&lt;=50,D4&gt;0),500000,0))+if(and(B4="tiktok",C4&gt;300,D4&gt;0),1000000,if(and(B4="tiktok",C4&lt;=300,D4&gt;0),500000,0))</f>
        <v>1000000</v>
      </c>
      <c r="H4" s="136">
        <f t="array" ref="H4:H927">if(D4:D927="","", month(D4:D927))</f>
        <v>7</v>
      </c>
      <c r="I4" s="136">
        <f t="array" ref="I4:I927">if(D4:D927="","", year(D4:D927))</f>
        <v>2021</v>
      </c>
    </row>
    <row r="5">
      <c r="A5" s="145" t="s">
        <v>417</v>
      </c>
      <c r="B5" s="137" t="s">
        <v>418</v>
      </c>
      <c r="C5" s="137">
        <v>93.0</v>
      </c>
      <c r="D5" s="146">
        <v>44400.0</v>
      </c>
      <c r="E5" s="150" t="s">
        <v>420</v>
      </c>
      <c r="F5" s="148" t="s">
        <v>92</v>
      </c>
      <c r="G5" s="148">
        <f t="shared" si="1"/>
        <v>1000000</v>
      </c>
      <c r="H5" s="136">
        <v>7.0</v>
      </c>
      <c r="I5" s="136">
        <v>2021.0</v>
      </c>
    </row>
    <row r="6">
      <c r="A6" s="145" t="s">
        <v>421</v>
      </c>
      <c r="B6" s="137" t="s">
        <v>422</v>
      </c>
      <c r="C6" s="137">
        <v>508.0</v>
      </c>
      <c r="D6" s="146">
        <v>44383.0</v>
      </c>
      <c r="E6" s="150" t="s">
        <v>423</v>
      </c>
      <c r="F6" s="148" t="s">
        <v>92</v>
      </c>
      <c r="G6" s="148">
        <f t="shared" si="1"/>
        <v>1000000</v>
      </c>
      <c r="H6" s="136">
        <v>7.0</v>
      </c>
      <c r="I6" s="136">
        <v>2021.0</v>
      </c>
    </row>
    <row r="7">
      <c r="A7" s="145" t="s">
        <v>424</v>
      </c>
      <c r="B7" s="137" t="s">
        <v>422</v>
      </c>
      <c r="C7" s="137">
        <v>67.0</v>
      </c>
      <c r="D7" s="146">
        <v>44383.0</v>
      </c>
      <c r="E7" s="150" t="s">
        <v>425</v>
      </c>
      <c r="F7" s="148" t="s">
        <v>92</v>
      </c>
      <c r="G7" s="148">
        <f t="shared" si="1"/>
        <v>500000</v>
      </c>
      <c r="H7" s="136">
        <v>7.0</v>
      </c>
      <c r="I7" s="136">
        <v>2021.0</v>
      </c>
    </row>
    <row r="8">
      <c r="A8" s="145" t="s">
        <v>426</v>
      </c>
      <c r="B8" s="137" t="s">
        <v>422</v>
      </c>
      <c r="C8" s="137">
        <v>108.0</v>
      </c>
      <c r="D8" s="146">
        <v>44383.0</v>
      </c>
      <c r="E8" s="150" t="s">
        <v>427</v>
      </c>
      <c r="F8" s="148" t="s">
        <v>92</v>
      </c>
      <c r="G8" s="148">
        <f t="shared" si="1"/>
        <v>500000</v>
      </c>
      <c r="H8" s="136">
        <v>7.0</v>
      </c>
      <c r="I8" s="136">
        <v>2021.0</v>
      </c>
    </row>
    <row r="9">
      <c r="A9" s="145" t="s">
        <v>428</v>
      </c>
      <c r="B9" s="137" t="s">
        <v>422</v>
      </c>
      <c r="C9" s="137">
        <v>77.0</v>
      </c>
      <c r="D9" s="146">
        <v>44748.0</v>
      </c>
      <c r="E9" s="150" t="s">
        <v>429</v>
      </c>
      <c r="F9" s="148" t="s">
        <v>92</v>
      </c>
      <c r="G9" s="148">
        <f t="shared" si="1"/>
        <v>500000</v>
      </c>
      <c r="H9" s="136">
        <v>7.0</v>
      </c>
      <c r="I9" s="136">
        <v>2022.0</v>
      </c>
    </row>
    <row r="10">
      <c r="A10" s="145" t="s">
        <v>428</v>
      </c>
      <c r="B10" s="137" t="s">
        <v>418</v>
      </c>
      <c r="C10" s="137">
        <v>63.0</v>
      </c>
      <c r="D10" s="146">
        <v>44383.0</v>
      </c>
      <c r="E10" s="150" t="s">
        <v>430</v>
      </c>
      <c r="F10" s="148" t="s">
        <v>92</v>
      </c>
      <c r="G10" s="148">
        <f t="shared" si="1"/>
        <v>1000000</v>
      </c>
      <c r="H10" s="136">
        <v>7.0</v>
      </c>
      <c r="I10" s="136">
        <v>2021.0</v>
      </c>
    </row>
    <row r="11">
      <c r="A11" s="145" t="s">
        <v>431</v>
      </c>
      <c r="B11" s="137" t="s">
        <v>422</v>
      </c>
      <c r="C11" s="137">
        <v>73.0</v>
      </c>
      <c r="D11" s="146">
        <v>44383.0</v>
      </c>
      <c r="E11" s="150" t="s">
        <v>432</v>
      </c>
      <c r="F11" s="148" t="s">
        <v>92</v>
      </c>
      <c r="G11" s="148">
        <f t="shared" si="1"/>
        <v>500000</v>
      </c>
      <c r="H11" s="136">
        <v>7.0</v>
      </c>
      <c r="I11" s="136">
        <v>2021.0</v>
      </c>
    </row>
    <row r="12">
      <c r="A12" s="145" t="s">
        <v>433</v>
      </c>
      <c r="B12" s="137" t="s">
        <v>422</v>
      </c>
      <c r="C12" s="137">
        <v>100.0</v>
      </c>
      <c r="D12" s="146">
        <v>44383.0</v>
      </c>
      <c r="E12" s="150" t="s">
        <v>434</v>
      </c>
      <c r="F12" s="148" t="s">
        <v>92</v>
      </c>
      <c r="G12" s="148">
        <f t="shared" si="1"/>
        <v>500000</v>
      </c>
      <c r="H12" s="136">
        <v>7.0</v>
      </c>
      <c r="I12" s="136">
        <v>2021.0</v>
      </c>
    </row>
    <row r="13">
      <c r="A13" s="145" t="s">
        <v>435</v>
      </c>
      <c r="B13" s="137" t="s">
        <v>422</v>
      </c>
      <c r="C13" s="137">
        <v>81.0</v>
      </c>
      <c r="D13" s="146">
        <v>44385.0</v>
      </c>
      <c r="E13" s="150" t="s">
        <v>436</v>
      </c>
      <c r="F13" s="148" t="s">
        <v>92</v>
      </c>
      <c r="G13" s="148">
        <f t="shared" si="1"/>
        <v>500000</v>
      </c>
      <c r="H13" s="136">
        <v>7.0</v>
      </c>
      <c r="I13" s="136">
        <v>2021.0</v>
      </c>
    </row>
    <row r="14">
      <c r="A14" s="145" t="s">
        <v>437</v>
      </c>
      <c r="B14" s="137" t="s">
        <v>422</v>
      </c>
      <c r="C14" s="137">
        <v>137.0</v>
      </c>
      <c r="D14" s="146">
        <v>44385.0</v>
      </c>
      <c r="E14" s="150" t="s">
        <v>438</v>
      </c>
      <c r="F14" s="148" t="s">
        <v>92</v>
      </c>
      <c r="G14" s="148">
        <f t="shared" si="1"/>
        <v>500000</v>
      </c>
      <c r="H14" s="136">
        <v>7.0</v>
      </c>
      <c r="I14" s="136">
        <v>2021.0</v>
      </c>
    </row>
    <row r="15">
      <c r="A15" s="145" t="s">
        <v>439</v>
      </c>
      <c r="B15" s="137" t="s">
        <v>422</v>
      </c>
      <c r="C15" s="137">
        <v>110.0</v>
      </c>
      <c r="D15" s="146">
        <v>44383.0</v>
      </c>
      <c r="E15" s="151" t="s">
        <v>440</v>
      </c>
      <c r="F15" s="148" t="s">
        <v>92</v>
      </c>
      <c r="G15" s="148">
        <f t="shared" si="1"/>
        <v>500000</v>
      </c>
      <c r="H15" s="136">
        <v>7.0</v>
      </c>
      <c r="I15" s="136">
        <v>2021.0</v>
      </c>
    </row>
    <row r="16">
      <c r="A16" s="145" t="s">
        <v>441</v>
      </c>
      <c r="B16" s="137" t="s">
        <v>422</v>
      </c>
      <c r="C16" s="137">
        <v>141.0</v>
      </c>
      <c r="D16" s="146">
        <v>44383.0</v>
      </c>
      <c r="E16" s="150" t="s">
        <v>442</v>
      </c>
      <c r="F16" s="148" t="s">
        <v>92</v>
      </c>
      <c r="G16" s="148">
        <f t="shared" si="1"/>
        <v>500000</v>
      </c>
      <c r="H16" s="136">
        <v>7.0</v>
      </c>
      <c r="I16" s="136">
        <v>2021.0</v>
      </c>
    </row>
    <row r="17">
      <c r="A17" s="145" t="s">
        <v>443</v>
      </c>
      <c r="B17" s="137" t="s">
        <v>422</v>
      </c>
      <c r="C17" s="137">
        <v>888.0</v>
      </c>
      <c r="D17" s="146">
        <v>44383.0</v>
      </c>
      <c r="E17" s="150" t="s">
        <v>444</v>
      </c>
      <c r="F17" s="148" t="s">
        <v>445</v>
      </c>
      <c r="G17" s="148">
        <f t="shared" si="1"/>
        <v>1000000</v>
      </c>
      <c r="H17" s="136">
        <v>7.0</v>
      </c>
      <c r="I17" s="136">
        <v>2021.0</v>
      </c>
    </row>
    <row r="18">
      <c r="A18" s="145" t="s">
        <v>446</v>
      </c>
      <c r="B18" s="137" t="s">
        <v>422</v>
      </c>
      <c r="C18" s="137">
        <v>70.0</v>
      </c>
      <c r="D18" s="146">
        <v>44383.0</v>
      </c>
      <c r="E18" s="150" t="s">
        <v>447</v>
      </c>
      <c r="F18" s="148" t="s">
        <v>92</v>
      </c>
      <c r="G18" s="148">
        <f t="shared" si="1"/>
        <v>500000</v>
      </c>
      <c r="H18" s="136">
        <v>7.0</v>
      </c>
      <c r="I18" s="136">
        <v>2021.0</v>
      </c>
    </row>
    <row r="19">
      <c r="A19" s="145" t="s">
        <v>448</v>
      </c>
      <c r="B19" s="137" t="s">
        <v>422</v>
      </c>
      <c r="C19" s="137">
        <v>85.0</v>
      </c>
      <c r="D19" s="146">
        <v>44383.0</v>
      </c>
      <c r="E19" s="150" t="s">
        <v>449</v>
      </c>
      <c r="F19" s="148" t="s">
        <v>92</v>
      </c>
      <c r="G19" s="148">
        <f t="shared" si="1"/>
        <v>500000</v>
      </c>
      <c r="H19" s="136">
        <v>7.0</v>
      </c>
      <c r="I19" s="136">
        <v>2021.0</v>
      </c>
    </row>
    <row r="20">
      <c r="A20" s="145" t="s">
        <v>450</v>
      </c>
      <c r="B20" s="137" t="s">
        <v>422</v>
      </c>
      <c r="C20" s="137">
        <v>436.0</v>
      </c>
      <c r="D20" s="146">
        <v>44383.0</v>
      </c>
      <c r="E20" s="150" t="s">
        <v>451</v>
      </c>
      <c r="F20" s="148" t="s">
        <v>92</v>
      </c>
      <c r="G20" s="148">
        <f t="shared" si="1"/>
        <v>1000000</v>
      </c>
      <c r="H20" s="136">
        <v>7.0</v>
      </c>
      <c r="I20" s="136">
        <v>2021.0</v>
      </c>
    </row>
    <row r="21">
      <c r="A21" s="145" t="s">
        <v>452</v>
      </c>
      <c r="B21" s="137" t="s">
        <v>422</v>
      </c>
      <c r="C21" s="137">
        <v>144.0</v>
      </c>
      <c r="D21" s="146">
        <v>44386.0</v>
      </c>
      <c r="E21" s="150" t="s">
        <v>453</v>
      </c>
      <c r="F21" s="148" t="s">
        <v>92</v>
      </c>
      <c r="G21" s="148">
        <f t="shared" si="1"/>
        <v>500000</v>
      </c>
      <c r="H21" s="136">
        <v>7.0</v>
      </c>
      <c r="I21" s="136">
        <v>2021.0</v>
      </c>
    </row>
    <row r="22">
      <c r="A22" s="145" t="s">
        <v>454</v>
      </c>
      <c r="B22" s="137" t="s">
        <v>422</v>
      </c>
      <c r="C22" s="137">
        <v>495.0</v>
      </c>
      <c r="D22" s="146">
        <v>44386.0</v>
      </c>
      <c r="E22" s="150" t="s">
        <v>455</v>
      </c>
      <c r="F22" s="148" t="s">
        <v>92</v>
      </c>
      <c r="G22" s="148">
        <f t="shared" si="1"/>
        <v>1000000</v>
      </c>
      <c r="H22" s="136">
        <v>7.0</v>
      </c>
      <c r="I22" s="136">
        <v>2021.0</v>
      </c>
    </row>
    <row r="23">
      <c r="A23" s="145" t="s">
        <v>456</v>
      </c>
      <c r="B23" s="137" t="s">
        <v>422</v>
      </c>
      <c r="C23" s="137">
        <v>546.0</v>
      </c>
      <c r="D23" s="146">
        <v>44386.0</v>
      </c>
      <c r="E23" s="150" t="s">
        <v>457</v>
      </c>
      <c r="F23" s="148" t="s">
        <v>92</v>
      </c>
      <c r="G23" s="148">
        <f t="shared" si="1"/>
        <v>1000000</v>
      </c>
      <c r="H23" s="136">
        <v>7.0</v>
      </c>
      <c r="I23" s="136">
        <v>2021.0</v>
      </c>
    </row>
    <row r="24">
      <c r="A24" s="145" t="s">
        <v>458</v>
      </c>
      <c r="B24" s="137" t="s">
        <v>422</v>
      </c>
      <c r="C24" s="137">
        <v>119.0</v>
      </c>
      <c r="D24" s="146">
        <v>44386.0</v>
      </c>
      <c r="E24" s="150" t="s">
        <v>459</v>
      </c>
      <c r="F24" s="148" t="s">
        <v>92</v>
      </c>
      <c r="G24" s="148">
        <f t="shared" si="1"/>
        <v>500000</v>
      </c>
      <c r="H24" s="136">
        <v>7.0</v>
      </c>
      <c r="I24" s="136">
        <v>2021.0</v>
      </c>
    </row>
    <row r="25">
      <c r="A25" s="145" t="s">
        <v>460</v>
      </c>
      <c r="B25" s="137" t="s">
        <v>422</v>
      </c>
      <c r="C25" s="137">
        <v>538.0</v>
      </c>
      <c r="D25" s="146">
        <v>44386.0</v>
      </c>
      <c r="E25" s="150" t="s">
        <v>461</v>
      </c>
      <c r="F25" s="148" t="s">
        <v>92</v>
      </c>
      <c r="G25" s="148">
        <f t="shared" si="1"/>
        <v>1000000</v>
      </c>
      <c r="H25" s="136">
        <v>7.0</v>
      </c>
      <c r="I25" s="136">
        <v>2021.0</v>
      </c>
    </row>
    <row r="26">
      <c r="A26" s="145" t="s">
        <v>462</v>
      </c>
      <c r="B26" s="137" t="s">
        <v>422</v>
      </c>
      <c r="C26" s="137">
        <v>149.0</v>
      </c>
      <c r="D26" s="146">
        <v>44386.0</v>
      </c>
      <c r="E26" s="151" t="s">
        <v>463</v>
      </c>
      <c r="F26" s="148" t="s">
        <v>92</v>
      </c>
      <c r="G26" s="148">
        <f t="shared" si="1"/>
        <v>500000</v>
      </c>
      <c r="H26" s="136">
        <v>7.0</v>
      </c>
      <c r="I26" s="136">
        <v>2021.0</v>
      </c>
    </row>
    <row r="27">
      <c r="A27" s="145" t="s">
        <v>464</v>
      </c>
      <c r="B27" s="137" t="s">
        <v>422</v>
      </c>
      <c r="C27" s="137">
        <v>234.0</v>
      </c>
      <c r="D27" s="146">
        <v>44386.0</v>
      </c>
      <c r="E27" s="150" t="s">
        <v>465</v>
      </c>
      <c r="F27" s="148" t="s">
        <v>466</v>
      </c>
      <c r="G27" s="148">
        <f t="shared" si="1"/>
        <v>500000</v>
      </c>
      <c r="H27" s="136">
        <v>7.0</v>
      </c>
      <c r="I27" s="136">
        <v>2021.0</v>
      </c>
    </row>
    <row r="28">
      <c r="A28" s="145" t="s">
        <v>467</v>
      </c>
      <c r="B28" s="137" t="s">
        <v>422</v>
      </c>
      <c r="C28" s="137">
        <v>106.0</v>
      </c>
      <c r="D28" s="146">
        <v>44401.0</v>
      </c>
      <c r="E28" s="150" t="s">
        <v>468</v>
      </c>
      <c r="F28" s="148" t="s">
        <v>92</v>
      </c>
      <c r="G28" s="148">
        <f t="shared" si="1"/>
        <v>500000</v>
      </c>
      <c r="H28" s="136">
        <v>7.0</v>
      </c>
      <c r="I28" s="136">
        <v>2021.0</v>
      </c>
    </row>
    <row r="29">
      <c r="A29" s="145" t="s">
        <v>469</v>
      </c>
      <c r="B29" s="137" t="s">
        <v>418</v>
      </c>
      <c r="C29" s="137">
        <v>106.0</v>
      </c>
      <c r="D29" s="146">
        <v>44384.0</v>
      </c>
      <c r="E29" s="150" t="s">
        <v>470</v>
      </c>
      <c r="F29" s="148" t="s">
        <v>92</v>
      </c>
      <c r="G29" s="148">
        <f t="shared" si="1"/>
        <v>1000000</v>
      </c>
      <c r="H29" s="136">
        <v>7.0</v>
      </c>
      <c r="I29" s="136">
        <v>2021.0</v>
      </c>
    </row>
    <row r="30">
      <c r="A30" s="145" t="s">
        <v>471</v>
      </c>
      <c r="B30" s="137" t="s">
        <v>418</v>
      </c>
      <c r="C30" s="137">
        <v>55.0</v>
      </c>
      <c r="D30" s="146">
        <v>44384.0</v>
      </c>
      <c r="E30" s="150" t="s">
        <v>472</v>
      </c>
      <c r="F30" s="148" t="s">
        <v>92</v>
      </c>
      <c r="G30" s="148">
        <f t="shared" si="1"/>
        <v>1000000</v>
      </c>
      <c r="H30" s="136">
        <v>7.0</v>
      </c>
      <c r="I30" s="136">
        <v>2021.0</v>
      </c>
    </row>
    <row r="31">
      <c r="A31" s="145" t="s">
        <v>473</v>
      </c>
      <c r="B31" s="137" t="s">
        <v>418</v>
      </c>
      <c r="C31" s="137">
        <v>50.0</v>
      </c>
      <c r="D31" s="146">
        <v>44384.0</v>
      </c>
      <c r="E31" s="151" t="s">
        <v>474</v>
      </c>
      <c r="F31" s="148" t="s">
        <v>92</v>
      </c>
      <c r="G31" s="148">
        <f t="shared" si="1"/>
        <v>500000</v>
      </c>
      <c r="H31" s="136">
        <v>7.0</v>
      </c>
      <c r="I31" s="136">
        <v>2021.0</v>
      </c>
    </row>
    <row r="32">
      <c r="A32" s="145" t="s">
        <v>475</v>
      </c>
      <c r="B32" s="137" t="s">
        <v>422</v>
      </c>
      <c r="C32" s="137">
        <v>90.0</v>
      </c>
      <c r="D32" s="146">
        <v>44384.0</v>
      </c>
      <c r="E32" s="150" t="s">
        <v>476</v>
      </c>
      <c r="F32" s="148" t="s">
        <v>92</v>
      </c>
      <c r="G32" s="148">
        <f t="shared" si="1"/>
        <v>500000</v>
      </c>
      <c r="H32" s="136">
        <v>7.0</v>
      </c>
      <c r="I32" s="136">
        <v>2021.0</v>
      </c>
    </row>
    <row r="33">
      <c r="A33" s="145" t="s">
        <v>477</v>
      </c>
      <c r="B33" s="137" t="s">
        <v>418</v>
      </c>
      <c r="C33" s="137">
        <v>100.0</v>
      </c>
      <c r="D33" s="146">
        <v>44384.0</v>
      </c>
      <c r="E33" s="151" t="s">
        <v>478</v>
      </c>
      <c r="F33" s="148" t="s">
        <v>92</v>
      </c>
      <c r="G33" s="148">
        <f t="shared" si="1"/>
        <v>1000000</v>
      </c>
      <c r="H33" s="136">
        <v>7.0</v>
      </c>
      <c r="I33" s="136">
        <v>2021.0</v>
      </c>
    </row>
    <row r="34">
      <c r="A34" s="145" t="s">
        <v>479</v>
      </c>
      <c r="B34" s="137" t="s">
        <v>418</v>
      </c>
      <c r="C34" s="137">
        <v>37.0</v>
      </c>
      <c r="D34" s="146">
        <v>44384.0</v>
      </c>
      <c r="E34" s="150" t="s">
        <v>480</v>
      </c>
      <c r="F34" s="148" t="s">
        <v>92</v>
      </c>
      <c r="G34" s="148">
        <f t="shared" si="1"/>
        <v>500000</v>
      </c>
      <c r="H34" s="136">
        <v>7.0</v>
      </c>
      <c r="I34" s="136">
        <v>2021.0</v>
      </c>
    </row>
    <row r="35">
      <c r="A35" s="145" t="s">
        <v>481</v>
      </c>
      <c r="B35" s="137" t="s">
        <v>418</v>
      </c>
      <c r="C35" s="137">
        <v>65.0</v>
      </c>
      <c r="D35" s="146">
        <v>44384.0</v>
      </c>
      <c r="E35" s="150" t="s">
        <v>482</v>
      </c>
      <c r="F35" s="148" t="s">
        <v>92</v>
      </c>
      <c r="G35" s="148">
        <f t="shared" si="1"/>
        <v>1000000</v>
      </c>
      <c r="H35" s="136">
        <v>7.0</v>
      </c>
      <c r="I35" s="136">
        <v>2021.0</v>
      </c>
    </row>
    <row r="36">
      <c r="A36" s="145" t="s">
        <v>483</v>
      </c>
      <c r="B36" s="137" t="s">
        <v>418</v>
      </c>
      <c r="C36" s="137">
        <v>94.0</v>
      </c>
      <c r="D36" s="146">
        <v>44384.0</v>
      </c>
      <c r="E36" s="150" t="s">
        <v>484</v>
      </c>
      <c r="F36" s="148" t="s">
        <v>92</v>
      </c>
      <c r="G36" s="148">
        <f t="shared" si="1"/>
        <v>1000000</v>
      </c>
      <c r="H36" s="136">
        <v>7.0</v>
      </c>
      <c r="I36" s="136">
        <v>2021.0</v>
      </c>
    </row>
    <row r="37">
      <c r="A37" s="145" t="s">
        <v>485</v>
      </c>
      <c r="B37" s="137" t="s">
        <v>418</v>
      </c>
      <c r="C37" s="137">
        <v>13.0</v>
      </c>
      <c r="D37" s="146">
        <v>44384.0</v>
      </c>
      <c r="E37" s="150" t="s">
        <v>486</v>
      </c>
      <c r="F37" s="148" t="s">
        <v>92</v>
      </c>
      <c r="G37" s="148">
        <f t="shared" si="1"/>
        <v>500000</v>
      </c>
      <c r="H37" s="136">
        <v>7.0</v>
      </c>
      <c r="I37" s="136">
        <v>2021.0</v>
      </c>
    </row>
    <row r="38">
      <c r="A38" s="145" t="s">
        <v>487</v>
      </c>
      <c r="B38" s="152" t="s">
        <v>422</v>
      </c>
      <c r="C38" s="152">
        <v>163.0</v>
      </c>
      <c r="D38" s="146">
        <v>44384.0</v>
      </c>
      <c r="E38" s="153" t="s">
        <v>488</v>
      </c>
      <c r="F38" s="148" t="s">
        <v>489</v>
      </c>
      <c r="G38" s="148">
        <f t="shared" si="1"/>
        <v>500000</v>
      </c>
      <c r="H38" s="154">
        <v>7.0</v>
      </c>
      <c r="I38" s="154">
        <v>2021.0</v>
      </c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</row>
    <row r="39">
      <c r="A39" s="145" t="s">
        <v>490</v>
      </c>
      <c r="B39" s="137" t="s">
        <v>422</v>
      </c>
      <c r="C39" s="137">
        <v>96.0</v>
      </c>
      <c r="D39" s="146">
        <v>44384.0</v>
      </c>
      <c r="E39" s="150" t="s">
        <v>491</v>
      </c>
      <c r="F39" s="148" t="s">
        <v>92</v>
      </c>
      <c r="G39" s="148">
        <f t="shared" si="1"/>
        <v>500000</v>
      </c>
      <c r="H39" s="136">
        <v>7.0</v>
      </c>
      <c r="I39" s="136">
        <v>2021.0</v>
      </c>
    </row>
    <row r="40">
      <c r="A40" s="145" t="s">
        <v>492</v>
      </c>
      <c r="B40" s="137" t="s">
        <v>422</v>
      </c>
      <c r="C40" s="137">
        <v>323.0</v>
      </c>
      <c r="D40" s="146">
        <v>44384.0</v>
      </c>
      <c r="E40" s="150" t="s">
        <v>493</v>
      </c>
      <c r="F40" s="148" t="s">
        <v>92</v>
      </c>
      <c r="G40" s="148">
        <f t="shared" si="1"/>
        <v>1000000</v>
      </c>
      <c r="H40" s="136">
        <v>7.0</v>
      </c>
      <c r="I40" s="136">
        <v>2021.0</v>
      </c>
    </row>
    <row r="41">
      <c r="A41" s="145" t="s">
        <v>494</v>
      </c>
      <c r="B41" s="137" t="s">
        <v>422</v>
      </c>
      <c r="C41" s="137">
        <v>301.0</v>
      </c>
      <c r="D41" s="146">
        <v>44386.0</v>
      </c>
      <c r="E41" s="151" t="s">
        <v>495</v>
      </c>
      <c r="F41" s="148" t="s">
        <v>92</v>
      </c>
      <c r="G41" s="148">
        <f t="shared" si="1"/>
        <v>1000000</v>
      </c>
      <c r="H41" s="136">
        <v>7.0</v>
      </c>
      <c r="I41" s="136">
        <v>2021.0</v>
      </c>
    </row>
    <row r="42">
      <c r="A42" s="145" t="s">
        <v>496</v>
      </c>
      <c r="B42" s="137" t="s">
        <v>418</v>
      </c>
      <c r="C42" s="137">
        <v>50.4</v>
      </c>
      <c r="D42" s="146">
        <v>44385.0</v>
      </c>
      <c r="E42" s="156" t="s">
        <v>191</v>
      </c>
      <c r="F42" s="148" t="s">
        <v>194</v>
      </c>
      <c r="G42" s="148">
        <f t="shared" si="1"/>
        <v>1000000</v>
      </c>
      <c r="H42" s="136">
        <v>7.0</v>
      </c>
      <c r="I42" s="136">
        <v>2021.0</v>
      </c>
    </row>
    <row r="43">
      <c r="A43" s="145" t="s">
        <v>497</v>
      </c>
      <c r="B43" s="137" t="s">
        <v>418</v>
      </c>
      <c r="C43" s="137">
        <v>107.0</v>
      </c>
      <c r="D43" s="146">
        <v>44385.0</v>
      </c>
      <c r="E43" s="157" t="s">
        <v>191</v>
      </c>
      <c r="F43" s="148" t="s">
        <v>194</v>
      </c>
      <c r="G43" s="148">
        <f t="shared" si="1"/>
        <v>1000000</v>
      </c>
      <c r="H43" s="136">
        <v>7.0</v>
      </c>
      <c r="I43" s="136">
        <v>2021.0</v>
      </c>
    </row>
    <row r="44">
      <c r="A44" s="145" t="s">
        <v>498</v>
      </c>
      <c r="B44" s="137" t="s">
        <v>418</v>
      </c>
      <c r="C44" s="137">
        <v>100.0</v>
      </c>
      <c r="D44" s="146">
        <v>44387.0</v>
      </c>
      <c r="E44" s="158" t="s">
        <v>191</v>
      </c>
      <c r="F44" s="148" t="s">
        <v>194</v>
      </c>
      <c r="G44" s="148">
        <f t="shared" si="1"/>
        <v>1000000</v>
      </c>
      <c r="H44" s="136">
        <v>7.0</v>
      </c>
      <c r="I44" s="136">
        <v>2021.0</v>
      </c>
    </row>
    <row r="45">
      <c r="A45" s="145" t="s">
        <v>499</v>
      </c>
      <c r="B45" s="137" t="s">
        <v>418</v>
      </c>
      <c r="C45" s="137">
        <v>111.0</v>
      </c>
      <c r="D45" s="146">
        <v>44387.0</v>
      </c>
      <c r="E45" s="159" t="s">
        <v>191</v>
      </c>
      <c r="F45" s="148" t="s">
        <v>194</v>
      </c>
      <c r="G45" s="148">
        <f t="shared" si="1"/>
        <v>1000000</v>
      </c>
      <c r="H45" s="136">
        <v>7.0</v>
      </c>
      <c r="I45" s="136">
        <v>2021.0</v>
      </c>
    </row>
    <row r="46">
      <c r="A46" s="145" t="s">
        <v>499</v>
      </c>
      <c r="B46" s="137" t="s">
        <v>422</v>
      </c>
      <c r="C46" s="137">
        <v>60.0</v>
      </c>
      <c r="D46" s="146">
        <v>44387.0</v>
      </c>
      <c r="E46" s="159" t="s">
        <v>191</v>
      </c>
      <c r="F46" s="148" t="s">
        <v>194</v>
      </c>
      <c r="G46" s="148">
        <f t="shared" si="1"/>
        <v>500000</v>
      </c>
      <c r="H46" s="136">
        <v>7.0</v>
      </c>
      <c r="I46" s="136">
        <v>2021.0</v>
      </c>
    </row>
    <row r="47">
      <c r="A47" s="145" t="s">
        <v>500</v>
      </c>
      <c r="B47" s="137" t="s">
        <v>422</v>
      </c>
      <c r="C47" s="137">
        <v>310.0</v>
      </c>
      <c r="D47" s="146">
        <v>44388.0</v>
      </c>
      <c r="E47" s="159" t="s">
        <v>191</v>
      </c>
      <c r="F47" s="148" t="s">
        <v>194</v>
      </c>
      <c r="G47" s="148">
        <f t="shared" si="1"/>
        <v>1000000</v>
      </c>
      <c r="H47" s="136">
        <v>7.0</v>
      </c>
      <c r="I47" s="136">
        <v>2021.0</v>
      </c>
    </row>
    <row r="48">
      <c r="A48" s="145" t="s">
        <v>501</v>
      </c>
      <c r="B48" s="137" t="s">
        <v>418</v>
      </c>
      <c r="C48" s="137">
        <v>41.0</v>
      </c>
      <c r="D48" s="146">
        <v>44388.0</v>
      </c>
      <c r="E48" s="158" t="s">
        <v>191</v>
      </c>
      <c r="F48" s="148" t="s">
        <v>194</v>
      </c>
      <c r="G48" s="148">
        <f t="shared" si="1"/>
        <v>500000</v>
      </c>
      <c r="H48" s="136">
        <v>7.0</v>
      </c>
      <c r="I48" s="136">
        <v>2021.0</v>
      </c>
    </row>
    <row r="49">
      <c r="A49" s="145" t="s">
        <v>502</v>
      </c>
      <c r="B49" s="137" t="s">
        <v>418</v>
      </c>
      <c r="C49" s="137">
        <v>165.0</v>
      </c>
      <c r="D49" s="146">
        <v>44388.0</v>
      </c>
      <c r="E49" s="156" t="s">
        <v>191</v>
      </c>
      <c r="F49" s="148" t="s">
        <v>194</v>
      </c>
      <c r="G49" s="148">
        <f t="shared" si="1"/>
        <v>1000000</v>
      </c>
      <c r="H49" s="136">
        <v>7.0</v>
      </c>
      <c r="I49" s="136">
        <v>2021.0</v>
      </c>
    </row>
    <row r="50">
      <c r="A50" s="145" t="s">
        <v>503</v>
      </c>
      <c r="B50" s="137" t="s">
        <v>422</v>
      </c>
      <c r="C50" s="137">
        <v>223.0</v>
      </c>
      <c r="D50" s="146">
        <v>44388.0</v>
      </c>
      <c r="E50" s="156" t="s">
        <v>191</v>
      </c>
      <c r="F50" s="148" t="s">
        <v>194</v>
      </c>
      <c r="G50" s="148">
        <f t="shared" si="1"/>
        <v>500000</v>
      </c>
      <c r="H50" s="136">
        <v>7.0</v>
      </c>
      <c r="I50" s="136">
        <v>2021.0</v>
      </c>
    </row>
    <row r="51">
      <c r="A51" s="145" t="s">
        <v>504</v>
      </c>
      <c r="B51" s="137" t="s">
        <v>418</v>
      </c>
      <c r="C51" s="137">
        <v>219.0</v>
      </c>
      <c r="D51" s="146">
        <v>44388.0</v>
      </c>
      <c r="E51" s="157" t="s">
        <v>191</v>
      </c>
      <c r="F51" s="148" t="s">
        <v>194</v>
      </c>
      <c r="G51" s="148">
        <f t="shared" si="1"/>
        <v>1000000</v>
      </c>
      <c r="H51" s="136">
        <v>7.0</v>
      </c>
      <c r="I51" s="136">
        <v>2021.0</v>
      </c>
    </row>
    <row r="52">
      <c r="A52" s="145" t="s">
        <v>505</v>
      </c>
      <c r="B52" s="137" t="s">
        <v>418</v>
      </c>
      <c r="C52" s="137">
        <v>155.0</v>
      </c>
      <c r="D52" s="146">
        <v>44389.0</v>
      </c>
      <c r="E52" s="156" t="s">
        <v>191</v>
      </c>
      <c r="F52" s="148" t="s">
        <v>194</v>
      </c>
      <c r="G52" s="148">
        <f t="shared" si="1"/>
        <v>1000000</v>
      </c>
      <c r="H52" s="136">
        <v>7.0</v>
      </c>
      <c r="I52" s="136">
        <v>2021.0</v>
      </c>
    </row>
    <row r="53">
      <c r="A53" s="145" t="s">
        <v>506</v>
      </c>
      <c r="B53" s="137" t="s">
        <v>418</v>
      </c>
      <c r="C53" s="137">
        <v>156.0</v>
      </c>
      <c r="D53" s="146">
        <v>44389.0</v>
      </c>
      <c r="E53" s="158" t="s">
        <v>191</v>
      </c>
      <c r="F53" s="148" t="s">
        <v>194</v>
      </c>
      <c r="G53" s="148">
        <f t="shared" si="1"/>
        <v>1000000</v>
      </c>
      <c r="H53" s="136">
        <v>7.0</v>
      </c>
      <c r="I53" s="136">
        <v>2021.0</v>
      </c>
    </row>
    <row r="54">
      <c r="A54" s="145" t="s">
        <v>507</v>
      </c>
      <c r="B54" s="137" t="s">
        <v>422</v>
      </c>
      <c r="C54" s="137">
        <v>227.8</v>
      </c>
      <c r="D54" s="146">
        <v>44391.0</v>
      </c>
      <c r="E54" s="160" t="s">
        <v>191</v>
      </c>
      <c r="F54" s="148" t="s">
        <v>194</v>
      </c>
      <c r="G54" s="148">
        <f t="shared" si="1"/>
        <v>500000</v>
      </c>
      <c r="H54" s="136">
        <v>7.0</v>
      </c>
      <c r="I54" s="136">
        <v>2021.0</v>
      </c>
    </row>
    <row r="55">
      <c r="A55" s="145" t="s">
        <v>508</v>
      </c>
      <c r="B55" s="137" t="s">
        <v>422</v>
      </c>
      <c r="C55" s="137">
        <v>335.3</v>
      </c>
      <c r="D55" s="146">
        <v>44391.0</v>
      </c>
      <c r="E55" s="160" t="s">
        <v>191</v>
      </c>
      <c r="F55" s="148" t="s">
        <v>194</v>
      </c>
      <c r="G55" s="148">
        <f t="shared" si="1"/>
        <v>1000000</v>
      </c>
      <c r="H55" s="136">
        <v>7.0</v>
      </c>
      <c r="I55" s="136">
        <v>2021.0</v>
      </c>
    </row>
    <row r="56">
      <c r="A56" s="145" t="s">
        <v>508</v>
      </c>
      <c r="B56" s="137" t="s">
        <v>418</v>
      </c>
      <c r="C56" s="137">
        <v>55.2</v>
      </c>
      <c r="D56" s="146">
        <v>44391.0</v>
      </c>
      <c r="E56" s="157" t="s">
        <v>201</v>
      </c>
      <c r="F56" s="148" t="s">
        <v>194</v>
      </c>
      <c r="G56" s="148">
        <f t="shared" si="1"/>
        <v>1000000</v>
      </c>
      <c r="H56" s="136">
        <v>7.0</v>
      </c>
      <c r="I56" s="136">
        <v>2021.0</v>
      </c>
    </row>
    <row r="57">
      <c r="A57" s="145" t="s">
        <v>509</v>
      </c>
      <c r="B57" s="137" t="s">
        <v>510</v>
      </c>
      <c r="C57" s="137">
        <v>13.3</v>
      </c>
      <c r="D57" s="146">
        <v>44389.0</v>
      </c>
      <c r="E57" s="161" t="s">
        <v>201</v>
      </c>
      <c r="F57" s="148" t="s">
        <v>194</v>
      </c>
      <c r="G57" s="148">
        <f t="shared" si="1"/>
        <v>500000</v>
      </c>
      <c r="H57" s="136">
        <v>7.0</v>
      </c>
      <c r="I57" s="136">
        <v>2021.0</v>
      </c>
    </row>
    <row r="58" ht="17.25" customHeight="1">
      <c r="A58" s="145" t="s">
        <v>511</v>
      </c>
      <c r="B58" s="137" t="s">
        <v>422</v>
      </c>
      <c r="C58" s="137">
        <v>97.2</v>
      </c>
      <c r="D58" s="146">
        <v>44391.0</v>
      </c>
      <c r="E58" s="160" t="s">
        <v>206</v>
      </c>
      <c r="F58" s="148" t="s">
        <v>194</v>
      </c>
      <c r="G58" s="148">
        <f t="shared" si="1"/>
        <v>500000</v>
      </c>
      <c r="H58" s="136">
        <v>7.0</v>
      </c>
      <c r="I58" s="136">
        <v>2021.0</v>
      </c>
    </row>
    <row r="59">
      <c r="A59" s="145" t="s">
        <v>512</v>
      </c>
      <c r="B59" s="137" t="s">
        <v>418</v>
      </c>
      <c r="C59" s="137">
        <v>258.0</v>
      </c>
      <c r="D59" s="146">
        <v>44392.0</v>
      </c>
      <c r="E59" s="160" t="s">
        <v>191</v>
      </c>
      <c r="F59" s="148" t="s">
        <v>194</v>
      </c>
      <c r="G59" s="148">
        <f t="shared" si="1"/>
        <v>1000000</v>
      </c>
      <c r="H59" s="136">
        <v>7.0</v>
      </c>
      <c r="I59" s="136">
        <v>2021.0</v>
      </c>
    </row>
    <row r="60">
      <c r="A60" s="145" t="s">
        <v>513</v>
      </c>
      <c r="B60" s="137" t="s">
        <v>422</v>
      </c>
      <c r="C60" s="162">
        <v>50.3</v>
      </c>
      <c r="D60" s="146">
        <v>44392.0</v>
      </c>
      <c r="E60" s="160" t="s">
        <v>191</v>
      </c>
      <c r="F60" s="148" t="s">
        <v>194</v>
      </c>
      <c r="G60" s="148">
        <f t="shared" si="1"/>
        <v>500000</v>
      </c>
      <c r="H60" s="136">
        <v>7.0</v>
      </c>
      <c r="I60" s="136">
        <v>2021.0</v>
      </c>
    </row>
    <row r="61">
      <c r="A61" s="145" t="s">
        <v>514</v>
      </c>
      <c r="B61" s="137" t="s">
        <v>422</v>
      </c>
      <c r="C61" s="137">
        <v>1200.0</v>
      </c>
      <c r="D61" s="146">
        <v>44392.0</v>
      </c>
      <c r="E61" s="160" t="s">
        <v>191</v>
      </c>
      <c r="F61" s="148" t="s">
        <v>194</v>
      </c>
      <c r="G61" s="148">
        <f t="shared" si="1"/>
        <v>1000000</v>
      </c>
      <c r="H61" s="136">
        <v>7.0</v>
      </c>
      <c r="I61" s="136">
        <v>2021.0</v>
      </c>
    </row>
    <row r="62">
      <c r="A62" s="145" t="s">
        <v>515</v>
      </c>
      <c r="B62" s="137" t="s">
        <v>422</v>
      </c>
      <c r="C62" s="137">
        <v>565.7</v>
      </c>
      <c r="D62" s="146">
        <v>44392.0</v>
      </c>
      <c r="E62" s="160" t="s">
        <v>191</v>
      </c>
      <c r="F62" s="148" t="s">
        <v>194</v>
      </c>
      <c r="G62" s="148">
        <f t="shared" si="1"/>
        <v>1000000</v>
      </c>
      <c r="H62" s="136">
        <v>7.0</v>
      </c>
      <c r="I62" s="136">
        <v>2021.0</v>
      </c>
    </row>
    <row r="63">
      <c r="A63" s="145" t="s">
        <v>516</v>
      </c>
      <c r="B63" s="137" t="s">
        <v>422</v>
      </c>
      <c r="C63" s="137">
        <v>122.6</v>
      </c>
      <c r="D63" s="146">
        <v>44392.0</v>
      </c>
      <c r="E63" s="160" t="s">
        <v>191</v>
      </c>
      <c r="F63" s="148" t="s">
        <v>194</v>
      </c>
      <c r="G63" s="148">
        <f t="shared" si="1"/>
        <v>500000</v>
      </c>
      <c r="H63" s="136">
        <v>7.0</v>
      </c>
      <c r="I63" s="136">
        <v>2021.0</v>
      </c>
    </row>
    <row r="64">
      <c r="A64" s="145" t="s">
        <v>516</v>
      </c>
      <c r="B64" s="137" t="s">
        <v>418</v>
      </c>
      <c r="C64" s="137">
        <v>49.6</v>
      </c>
      <c r="D64" s="146">
        <v>44392.0</v>
      </c>
      <c r="E64" s="157" t="s">
        <v>201</v>
      </c>
      <c r="F64" s="148" t="s">
        <v>194</v>
      </c>
      <c r="G64" s="148">
        <f t="shared" si="1"/>
        <v>500000</v>
      </c>
      <c r="H64" s="136">
        <v>7.0</v>
      </c>
      <c r="I64" s="136">
        <v>2021.0</v>
      </c>
    </row>
    <row r="65">
      <c r="A65" s="145" t="s">
        <v>517</v>
      </c>
      <c r="B65" s="137" t="s">
        <v>422</v>
      </c>
      <c r="C65" s="137">
        <v>355.7</v>
      </c>
      <c r="D65" s="146">
        <v>44392.0</v>
      </c>
      <c r="E65" s="160" t="s">
        <v>191</v>
      </c>
      <c r="F65" s="148" t="s">
        <v>194</v>
      </c>
      <c r="G65" s="148">
        <f t="shared" si="1"/>
        <v>1000000</v>
      </c>
      <c r="H65" s="136">
        <v>7.0</v>
      </c>
      <c r="I65" s="136">
        <v>2021.0</v>
      </c>
    </row>
    <row r="66">
      <c r="A66" s="145" t="s">
        <v>518</v>
      </c>
      <c r="B66" s="137" t="s">
        <v>422</v>
      </c>
      <c r="C66" s="137">
        <v>119.0</v>
      </c>
      <c r="D66" s="146">
        <v>44392.0</v>
      </c>
      <c r="E66" s="160" t="s">
        <v>191</v>
      </c>
      <c r="F66" s="148" t="s">
        <v>194</v>
      </c>
      <c r="G66" s="148">
        <f t="shared" si="1"/>
        <v>500000</v>
      </c>
      <c r="H66" s="136">
        <v>7.0</v>
      </c>
      <c r="I66" s="136">
        <v>2021.0</v>
      </c>
    </row>
    <row r="67">
      <c r="A67" s="145" t="s">
        <v>519</v>
      </c>
      <c r="B67" s="137" t="s">
        <v>422</v>
      </c>
      <c r="C67" s="137">
        <v>618.3</v>
      </c>
      <c r="D67" s="146">
        <v>44392.0</v>
      </c>
      <c r="E67" s="160" t="s">
        <v>191</v>
      </c>
      <c r="F67" s="148" t="s">
        <v>194</v>
      </c>
      <c r="G67" s="148">
        <f t="shared" si="1"/>
        <v>1000000</v>
      </c>
      <c r="H67" s="136">
        <v>7.0</v>
      </c>
      <c r="I67" s="136">
        <v>2021.0</v>
      </c>
    </row>
    <row r="68">
      <c r="A68" s="145" t="s">
        <v>520</v>
      </c>
      <c r="B68" s="137" t="s">
        <v>422</v>
      </c>
      <c r="C68" s="137">
        <v>658.0</v>
      </c>
      <c r="D68" s="146">
        <v>44392.0</v>
      </c>
      <c r="E68" s="160" t="s">
        <v>191</v>
      </c>
      <c r="F68" s="148" t="s">
        <v>194</v>
      </c>
      <c r="G68" s="148">
        <f t="shared" si="1"/>
        <v>1000000</v>
      </c>
      <c r="H68" s="136">
        <v>7.0</v>
      </c>
      <c r="I68" s="136">
        <v>2021.0</v>
      </c>
    </row>
    <row r="69">
      <c r="A69" s="145" t="s">
        <v>521</v>
      </c>
      <c r="B69" s="137" t="s">
        <v>422</v>
      </c>
      <c r="C69" s="137">
        <v>271.0</v>
      </c>
      <c r="D69" s="146">
        <v>44393.0</v>
      </c>
      <c r="E69" s="163" t="s">
        <v>191</v>
      </c>
      <c r="F69" s="148" t="s">
        <v>489</v>
      </c>
      <c r="G69" s="148">
        <f t="shared" si="1"/>
        <v>500000</v>
      </c>
      <c r="H69" s="136">
        <v>7.0</v>
      </c>
      <c r="I69" s="136">
        <v>2021.0</v>
      </c>
    </row>
    <row r="70">
      <c r="A70" s="145" t="s">
        <v>522</v>
      </c>
      <c r="B70" s="137" t="s">
        <v>422</v>
      </c>
      <c r="C70" s="137">
        <v>5600.0</v>
      </c>
      <c r="D70" s="146">
        <v>44393.0</v>
      </c>
      <c r="E70" s="160" t="s">
        <v>191</v>
      </c>
      <c r="F70" s="148" t="s">
        <v>194</v>
      </c>
      <c r="G70" s="148">
        <f t="shared" si="1"/>
        <v>1000000</v>
      </c>
      <c r="H70" s="136">
        <v>7.0</v>
      </c>
      <c r="I70" s="136">
        <v>2021.0</v>
      </c>
    </row>
    <row r="71">
      <c r="A71" s="145" t="s">
        <v>522</v>
      </c>
      <c r="B71" s="137" t="s">
        <v>418</v>
      </c>
      <c r="C71" s="137">
        <v>104.6</v>
      </c>
      <c r="D71" s="146">
        <v>44393.0</v>
      </c>
      <c r="E71" s="156" t="s">
        <v>201</v>
      </c>
      <c r="F71" s="148" t="s">
        <v>194</v>
      </c>
      <c r="G71" s="148">
        <f t="shared" si="1"/>
        <v>1000000</v>
      </c>
      <c r="H71" s="136">
        <v>7.0</v>
      </c>
      <c r="I71" s="136">
        <v>2021.0</v>
      </c>
    </row>
    <row r="72">
      <c r="A72" s="145" t="s">
        <v>522</v>
      </c>
      <c r="B72" s="137" t="s">
        <v>510</v>
      </c>
      <c r="C72" s="137">
        <v>911.0</v>
      </c>
      <c r="D72" s="146">
        <v>44393.0</v>
      </c>
      <c r="E72" s="161" t="s">
        <v>201</v>
      </c>
      <c r="F72" s="148" t="s">
        <v>194</v>
      </c>
      <c r="G72" s="148">
        <f t="shared" si="1"/>
        <v>1000000</v>
      </c>
      <c r="H72" s="136">
        <v>7.0</v>
      </c>
      <c r="I72" s="136">
        <v>2021.0</v>
      </c>
    </row>
    <row r="73">
      <c r="A73" s="145" t="s">
        <v>523</v>
      </c>
      <c r="B73" s="137" t="s">
        <v>422</v>
      </c>
      <c r="C73" s="137">
        <v>239.0</v>
      </c>
      <c r="D73" s="146">
        <v>44394.0</v>
      </c>
      <c r="E73" s="160" t="s">
        <v>191</v>
      </c>
      <c r="F73" s="148" t="s">
        <v>194</v>
      </c>
      <c r="G73" s="148">
        <f t="shared" si="1"/>
        <v>500000</v>
      </c>
      <c r="H73" s="136">
        <v>7.0</v>
      </c>
      <c r="I73" s="136">
        <v>2021.0</v>
      </c>
    </row>
    <row r="74">
      <c r="A74" s="145" t="s">
        <v>524</v>
      </c>
      <c r="B74" s="137" t="s">
        <v>418</v>
      </c>
      <c r="C74" s="137">
        <v>224.0</v>
      </c>
      <c r="D74" s="146">
        <v>44397.0</v>
      </c>
      <c r="E74" s="158" t="s">
        <v>191</v>
      </c>
      <c r="F74" s="148" t="s">
        <v>194</v>
      </c>
      <c r="G74" s="148">
        <f t="shared" si="1"/>
        <v>1000000</v>
      </c>
      <c r="H74" s="136">
        <v>7.0</v>
      </c>
      <c r="I74" s="136">
        <v>2021.0</v>
      </c>
    </row>
    <row r="75">
      <c r="A75" s="145" t="s">
        <v>525</v>
      </c>
      <c r="B75" s="137" t="s">
        <v>418</v>
      </c>
      <c r="C75" s="137">
        <v>98.4</v>
      </c>
      <c r="D75" s="146">
        <v>44398.0</v>
      </c>
      <c r="E75" s="157" t="s">
        <v>201</v>
      </c>
      <c r="F75" s="148" t="s">
        <v>194</v>
      </c>
      <c r="G75" s="148">
        <f t="shared" si="1"/>
        <v>1000000</v>
      </c>
      <c r="H75" s="136">
        <v>7.0</v>
      </c>
      <c r="I75" s="136">
        <v>2021.0</v>
      </c>
    </row>
    <row r="76">
      <c r="A76" s="145" t="s">
        <v>526</v>
      </c>
      <c r="B76" s="137" t="s">
        <v>418</v>
      </c>
      <c r="C76" s="137">
        <v>102.4</v>
      </c>
      <c r="D76" s="146">
        <v>44399.0</v>
      </c>
      <c r="E76" s="156" t="s">
        <v>191</v>
      </c>
      <c r="F76" s="148" t="s">
        <v>194</v>
      </c>
      <c r="G76" s="148">
        <f t="shared" si="1"/>
        <v>1000000</v>
      </c>
      <c r="H76" s="136">
        <v>7.0</v>
      </c>
      <c r="I76" s="136">
        <v>2021.0</v>
      </c>
    </row>
    <row r="77">
      <c r="A77" s="145" t="s">
        <v>527</v>
      </c>
      <c r="B77" s="137" t="s">
        <v>418</v>
      </c>
      <c r="C77" s="137">
        <v>102.9</v>
      </c>
      <c r="D77" s="146">
        <v>44399.0</v>
      </c>
      <c r="E77" s="156" t="s">
        <v>201</v>
      </c>
      <c r="F77" s="148" t="s">
        <v>194</v>
      </c>
      <c r="G77" s="148">
        <f t="shared" si="1"/>
        <v>1000000</v>
      </c>
      <c r="H77" s="136">
        <v>7.0</v>
      </c>
      <c r="I77" s="136">
        <v>2021.0</v>
      </c>
    </row>
    <row r="78">
      <c r="A78" s="145" t="s">
        <v>528</v>
      </c>
      <c r="B78" s="137" t="s">
        <v>418</v>
      </c>
      <c r="C78" s="137">
        <v>228.0</v>
      </c>
      <c r="D78" s="146">
        <v>44400.0</v>
      </c>
      <c r="E78" s="164" t="s">
        <v>191</v>
      </c>
      <c r="F78" s="148" t="s">
        <v>194</v>
      </c>
      <c r="G78" s="148">
        <f t="shared" si="1"/>
        <v>1000000</v>
      </c>
      <c r="H78" s="136">
        <v>7.0</v>
      </c>
      <c r="I78" s="136">
        <v>2021.0</v>
      </c>
    </row>
    <row r="79">
      <c r="A79" s="145" t="s">
        <v>529</v>
      </c>
      <c r="B79" s="137" t="s">
        <v>418</v>
      </c>
      <c r="C79" s="137">
        <v>74.8</v>
      </c>
      <c r="D79" s="146">
        <v>44394.0</v>
      </c>
      <c r="E79" s="163" t="s">
        <v>201</v>
      </c>
      <c r="F79" s="148" t="s">
        <v>194</v>
      </c>
      <c r="G79" s="148">
        <f t="shared" si="1"/>
        <v>1000000</v>
      </c>
      <c r="H79" s="136">
        <v>7.0</v>
      </c>
      <c r="I79" s="136">
        <v>2021.0</v>
      </c>
    </row>
    <row r="80">
      <c r="A80" s="165" t="s">
        <v>15</v>
      </c>
      <c r="B80" s="137" t="s">
        <v>422</v>
      </c>
      <c r="C80" s="137">
        <v>154.0</v>
      </c>
      <c r="D80" s="146">
        <v>44383.0</v>
      </c>
      <c r="E80" s="150" t="s">
        <v>530</v>
      </c>
      <c r="F80" s="148" t="s">
        <v>21</v>
      </c>
      <c r="G80" s="148">
        <f t="shared" si="1"/>
        <v>500000</v>
      </c>
      <c r="H80" s="136">
        <v>7.0</v>
      </c>
      <c r="I80" s="136">
        <v>2021.0</v>
      </c>
    </row>
    <row r="81">
      <c r="A81" s="166" t="s">
        <v>531</v>
      </c>
      <c r="B81" s="137" t="s">
        <v>422</v>
      </c>
      <c r="C81" s="137">
        <v>236.0</v>
      </c>
      <c r="D81" s="146">
        <v>44384.0</v>
      </c>
      <c r="E81" s="150" t="s">
        <v>532</v>
      </c>
      <c r="F81" s="148" t="s">
        <v>21</v>
      </c>
      <c r="G81" s="148">
        <f t="shared" si="1"/>
        <v>500000</v>
      </c>
      <c r="H81" s="136">
        <v>7.0</v>
      </c>
      <c r="I81" s="136">
        <v>2021.0</v>
      </c>
      <c r="J81" s="167" t="s">
        <v>533</v>
      </c>
    </row>
    <row r="82">
      <c r="A82" s="145" t="s">
        <v>534</v>
      </c>
      <c r="B82" s="137" t="s">
        <v>418</v>
      </c>
      <c r="C82" s="137">
        <v>35.0</v>
      </c>
      <c r="D82" s="146">
        <v>44384.0</v>
      </c>
      <c r="E82" s="150" t="s">
        <v>535</v>
      </c>
      <c r="F82" s="148" t="s">
        <v>21</v>
      </c>
      <c r="G82" s="148">
        <f t="shared" si="1"/>
        <v>500000</v>
      </c>
      <c r="H82" s="136">
        <v>7.0</v>
      </c>
      <c r="I82" s="136">
        <v>2021.0</v>
      </c>
    </row>
    <row r="83">
      <c r="A83" s="145" t="s">
        <v>534</v>
      </c>
      <c r="B83" s="137" t="s">
        <v>422</v>
      </c>
      <c r="C83" s="137">
        <v>85.0</v>
      </c>
      <c r="D83" s="146">
        <v>44384.0</v>
      </c>
      <c r="E83" s="150" t="s">
        <v>536</v>
      </c>
      <c r="F83" s="148" t="s">
        <v>21</v>
      </c>
      <c r="G83" s="148">
        <f t="shared" si="1"/>
        <v>500000</v>
      </c>
      <c r="H83" s="136">
        <v>7.0</v>
      </c>
      <c r="I83" s="136">
        <v>2021.0</v>
      </c>
    </row>
    <row r="84">
      <c r="A84" s="145" t="s">
        <v>537</v>
      </c>
      <c r="B84" s="137" t="s">
        <v>418</v>
      </c>
      <c r="C84" s="137">
        <v>12.8</v>
      </c>
      <c r="D84" s="146">
        <v>44384.0</v>
      </c>
      <c r="E84" s="150" t="s">
        <v>538</v>
      </c>
      <c r="F84" s="148" t="s">
        <v>21</v>
      </c>
      <c r="G84" s="148">
        <f t="shared" si="1"/>
        <v>500000</v>
      </c>
      <c r="H84" s="136">
        <v>7.0</v>
      </c>
      <c r="I84" s="136">
        <v>2021.0</v>
      </c>
    </row>
    <row r="85">
      <c r="A85" s="145" t="s">
        <v>539</v>
      </c>
      <c r="B85" s="137" t="s">
        <v>418</v>
      </c>
      <c r="C85" s="137">
        <v>69.9</v>
      </c>
      <c r="D85" s="146">
        <v>44385.0</v>
      </c>
      <c r="E85" s="150" t="s">
        <v>540</v>
      </c>
      <c r="F85" s="148" t="s">
        <v>21</v>
      </c>
      <c r="G85" s="148">
        <f t="shared" si="1"/>
        <v>1000000</v>
      </c>
      <c r="H85" s="136">
        <v>7.0</v>
      </c>
      <c r="I85" s="136">
        <v>2021.0</v>
      </c>
    </row>
    <row r="86">
      <c r="A86" s="145" t="s">
        <v>541</v>
      </c>
      <c r="B86" s="137" t="s">
        <v>418</v>
      </c>
      <c r="C86" s="137">
        <v>74.0</v>
      </c>
      <c r="D86" s="146">
        <v>44385.0</v>
      </c>
      <c r="E86" s="150" t="s">
        <v>542</v>
      </c>
      <c r="F86" s="148" t="s">
        <v>21</v>
      </c>
      <c r="G86" s="148">
        <f t="shared" si="1"/>
        <v>1000000</v>
      </c>
      <c r="H86" s="136">
        <v>7.0</v>
      </c>
      <c r="I86" s="136">
        <v>2021.0</v>
      </c>
    </row>
    <row r="87">
      <c r="A87" s="145" t="s">
        <v>543</v>
      </c>
      <c r="B87" s="137" t="s">
        <v>418</v>
      </c>
      <c r="C87" s="137">
        <v>215.0</v>
      </c>
      <c r="D87" s="146">
        <v>44385.0</v>
      </c>
      <c r="E87" s="151" t="s">
        <v>544</v>
      </c>
      <c r="F87" s="148" t="s">
        <v>21</v>
      </c>
      <c r="G87" s="148">
        <f t="shared" si="1"/>
        <v>1000000</v>
      </c>
      <c r="H87" s="136">
        <v>7.0</v>
      </c>
      <c r="I87" s="136">
        <v>2021.0</v>
      </c>
    </row>
    <row r="88">
      <c r="A88" s="145" t="s">
        <v>543</v>
      </c>
      <c r="B88" s="137" t="s">
        <v>422</v>
      </c>
      <c r="C88" s="137">
        <v>75.0</v>
      </c>
      <c r="D88" s="146">
        <v>44385.0</v>
      </c>
      <c r="E88" s="150" t="s">
        <v>545</v>
      </c>
      <c r="F88" s="148" t="s">
        <v>21</v>
      </c>
      <c r="G88" s="148">
        <f t="shared" si="1"/>
        <v>500000</v>
      </c>
      <c r="H88" s="136">
        <v>7.0</v>
      </c>
      <c r="I88" s="136">
        <v>2021.0</v>
      </c>
    </row>
    <row r="89">
      <c r="A89" s="145" t="s">
        <v>546</v>
      </c>
      <c r="B89" s="137" t="s">
        <v>418</v>
      </c>
      <c r="C89" s="137">
        <v>28.8</v>
      </c>
      <c r="D89" s="146">
        <v>44386.0</v>
      </c>
      <c r="E89" s="150" t="s">
        <v>547</v>
      </c>
      <c r="F89" s="148" t="s">
        <v>21</v>
      </c>
      <c r="G89" s="148">
        <f t="shared" si="1"/>
        <v>500000</v>
      </c>
      <c r="H89" s="136">
        <v>7.0</v>
      </c>
      <c r="I89" s="136">
        <v>2021.0</v>
      </c>
    </row>
    <row r="90">
      <c r="A90" s="145" t="s">
        <v>546</v>
      </c>
      <c r="B90" s="137" t="s">
        <v>510</v>
      </c>
      <c r="C90" s="137">
        <v>12.0</v>
      </c>
      <c r="D90" s="146">
        <v>44386.0</v>
      </c>
      <c r="E90" s="151" t="s">
        <v>548</v>
      </c>
      <c r="F90" s="148" t="s">
        <v>21</v>
      </c>
      <c r="G90" s="148">
        <f t="shared" si="1"/>
        <v>500000</v>
      </c>
      <c r="H90" s="136">
        <v>7.0</v>
      </c>
      <c r="I90" s="136">
        <v>2021.0</v>
      </c>
    </row>
    <row r="91">
      <c r="A91" s="145" t="s">
        <v>549</v>
      </c>
      <c r="B91" s="137" t="s">
        <v>422</v>
      </c>
      <c r="C91" s="137">
        <v>309.0</v>
      </c>
      <c r="D91" s="146">
        <v>44394.0</v>
      </c>
      <c r="E91" s="151" t="s">
        <v>550</v>
      </c>
      <c r="F91" s="148" t="s">
        <v>21</v>
      </c>
      <c r="G91" s="148">
        <f t="shared" si="1"/>
        <v>1000000</v>
      </c>
      <c r="H91" s="136">
        <v>7.0</v>
      </c>
      <c r="I91" s="136">
        <v>2021.0</v>
      </c>
    </row>
    <row r="92">
      <c r="A92" s="145" t="s">
        <v>551</v>
      </c>
      <c r="B92" s="137" t="s">
        <v>418</v>
      </c>
      <c r="C92" s="137">
        <v>214.0</v>
      </c>
      <c r="D92" s="146">
        <v>44398.0</v>
      </c>
      <c r="E92" s="150" t="s">
        <v>552</v>
      </c>
      <c r="F92" s="148" t="s">
        <v>21</v>
      </c>
      <c r="G92" s="148">
        <f t="shared" si="1"/>
        <v>1000000</v>
      </c>
      <c r="H92" s="136">
        <v>7.0</v>
      </c>
      <c r="I92" s="136">
        <v>2021.0</v>
      </c>
    </row>
    <row r="93">
      <c r="A93" s="145" t="s">
        <v>553</v>
      </c>
      <c r="B93" s="137" t="s">
        <v>422</v>
      </c>
      <c r="C93" s="137">
        <v>1100.0</v>
      </c>
      <c r="D93" s="146">
        <v>44395.0</v>
      </c>
      <c r="E93" s="150" t="s">
        <v>554</v>
      </c>
      <c r="F93" s="148" t="s">
        <v>21</v>
      </c>
      <c r="G93" s="148">
        <f t="shared" si="1"/>
        <v>1000000</v>
      </c>
      <c r="H93" s="136">
        <v>7.0</v>
      </c>
      <c r="I93" s="136">
        <v>2021.0</v>
      </c>
    </row>
    <row r="94">
      <c r="A94" s="145" t="s">
        <v>555</v>
      </c>
      <c r="B94" s="137" t="s">
        <v>418</v>
      </c>
      <c r="C94" s="137">
        <v>299.0</v>
      </c>
      <c r="D94" s="146">
        <v>44399.0</v>
      </c>
      <c r="E94" s="151" t="s">
        <v>556</v>
      </c>
      <c r="F94" s="148" t="s">
        <v>21</v>
      </c>
      <c r="G94" s="148">
        <f t="shared" si="1"/>
        <v>1000000</v>
      </c>
      <c r="H94" s="136">
        <v>7.0</v>
      </c>
      <c r="I94" s="136">
        <v>2021.0</v>
      </c>
    </row>
    <row r="95">
      <c r="A95" s="145" t="s">
        <v>557</v>
      </c>
      <c r="B95" s="137" t="s">
        <v>418</v>
      </c>
      <c r="C95" s="137">
        <v>246.0</v>
      </c>
      <c r="D95" s="146">
        <v>44398.0</v>
      </c>
      <c r="E95" s="150" t="s">
        <v>558</v>
      </c>
      <c r="F95" s="148" t="s">
        <v>21</v>
      </c>
      <c r="G95" s="148">
        <f t="shared" si="1"/>
        <v>1000000</v>
      </c>
      <c r="H95" s="136">
        <v>7.0</v>
      </c>
      <c r="I95" s="136">
        <v>2021.0</v>
      </c>
    </row>
    <row r="96">
      <c r="A96" s="145" t="s">
        <v>559</v>
      </c>
      <c r="B96" s="137" t="s">
        <v>422</v>
      </c>
      <c r="C96" s="137">
        <v>3700.0</v>
      </c>
      <c r="D96" s="146">
        <v>44398.0</v>
      </c>
      <c r="E96" s="150" t="s">
        <v>560</v>
      </c>
      <c r="F96" s="148" t="s">
        <v>21</v>
      </c>
      <c r="G96" s="148">
        <f t="shared" si="1"/>
        <v>1000000</v>
      </c>
      <c r="H96" s="136">
        <v>7.0</v>
      </c>
      <c r="I96" s="136">
        <v>2021.0</v>
      </c>
    </row>
    <row r="97">
      <c r="A97" s="145" t="s">
        <v>561</v>
      </c>
      <c r="B97" s="137" t="s">
        <v>422</v>
      </c>
      <c r="C97" s="137">
        <v>1000.0</v>
      </c>
      <c r="D97" s="146">
        <v>44398.0</v>
      </c>
      <c r="E97" s="151" t="s">
        <v>562</v>
      </c>
      <c r="F97" s="148" t="s">
        <v>21</v>
      </c>
      <c r="G97" s="148">
        <f t="shared" si="1"/>
        <v>1000000</v>
      </c>
      <c r="H97" s="136">
        <v>7.0</v>
      </c>
      <c r="I97" s="136">
        <v>2021.0</v>
      </c>
    </row>
    <row r="98">
      <c r="A98" s="145" t="s">
        <v>563</v>
      </c>
      <c r="B98" s="137" t="s">
        <v>422</v>
      </c>
      <c r="C98" s="137">
        <v>3900.0</v>
      </c>
      <c r="D98" s="146">
        <v>44398.0</v>
      </c>
      <c r="E98" s="151" t="s">
        <v>564</v>
      </c>
      <c r="F98" s="148" t="s">
        <v>21</v>
      </c>
      <c r="G98" s="148">
        <f t="shared" si="1"/>
        <v>1000000</v>
      </c>
      <c r="H98" s="136">
        <v>7.0</v>
      </c>
      <c r="I98" s="136">
        <v>2021.0</v>
      </c>
    </row>
    <row r="99">
      <c r="A99" s="145" t="s">
        <v>565</v>
      </c>
      <c r="B99" s="137" t="s">
        <v>422</v>
      </c>
      <c r="C99" s="137">
        <v>1100.0</v>
      </c>
      <c r="D99" s="146">
        <v>44398.0</v>
      </c>
      <c r="E99" s="151" t="s">
        <v>566</v>
      </c>
      <c r="F99" s="148" t="s">
        <v>21</v>
      </c>
      <c r="G99" s="148">
        <f t="shared" si="1"/>
        <v>1000000</v>
      </c>
      <c r="H99" s="136">
        <v>7.0</v>
      </c>
      <c r="I99" s="136">
        <v>2021.0</v>
      </c>
    </row>
    <row r="100">
      <c r="A100" s="145" t="s">
        <v>567</v>
      </c>
      <c r="B100" s="137" t="s">
        <v>422</v>
      </c>
      <c r="C100" s="137">
        <v>941.0</v>
      </c>
      <c r="D100" s="146">
        <v>44398.0</v>
      </c>
      <c r="E100" s="151" t="s">
        <v>568</v>
      </c>
      <c r="F100" s="148" t="s">
        <v>21</v>
      </c>
      <c r="G100" s="148">
        <f t="shared" si="1"/>
        <v>1000000</v>
      </c>
      <c r="H100" s="136">
        <v>7.0</v>
      </c>
      <c r="I100" s="136">
        <v>2021.0</v>
      </c>
    </row>
    <row r="101">
      <c r="A101" s="145" t="s">
        <v>569</v>
      </c>
      <c r="B101" s="137" t="s">
        <v>422</v>
      </c>
      <c r="C101" s="137">
        <v>1400.0</v>
      </c>
      <c r="D101" s="146">
        <v>44398.0</v>
      </c>
      <c r="E101" s="151" t="s">
        <v>570</v>
      </c>
      <c r="F101" s="148" t="s">
        <v>21</v>
      </c>
      <c r="G101" s="148">
        <f t="shared" si="1"/>
        <v>1000000</v>
      </c>
      <c r="H101" s="136">
        <v>7.0</v>
      </c>
      <c r="I101" s="136">
        <v>2021.0</v>
      </c>
    </row>
    <row r="102">
      <c r="A102" s="145" t="s">
        <v>571</v>
      </c>
      <c r="B102" s="137" t="s">
        <v>422</v>
      </c>
      <c r="C102" s="137">
        <v>1100.0</v>
      </c>
      <c r="D102" s="146">
        <v>44398.0</v>
      </c>
      <c r="E102" s="151" t="s">
        <v>572</v>
      </c>
      <c r="F102" s="148" t="s">
        <v>21</v>
      </c>
      <c r="G102" s="148">
        <f t="shared" si="1"/>
        <v>1000000</v>
      </c>
      <c r="H102" s="136">
        <v>7.0</v>
      </c>
      <c r="I102" s="136">
        <v>2021.0</v>
      </c>
    </row>
    <row r="103">
      <c r="A103" s="145" t="s">
        <v>573</v>
      </c>
      <c r="B103" s="137" t="s">
        <v>422</v>
      </c>
      <c r="C103" s="137">
        <v>800.0</v>
      </c>
      <c r="D103" s="146">
        <v>44398.0</v>
      </c>
      <c r="E103" s="151" t="s">
        <v>574</v>
      </c>
      <c r="F103" s="148" t="s">
        <v>21</v>
      </c>
      <c r="G103" s="148">
        <f t="shared" si="1"/>
        <v>1000000</v>
      </c>
      <c r="H103" s="136">
        <v>7.0</v>
      </c>
      <c r="I103" s="136">
        <v>2021.0</v>
      </c>
    </row>
    <row r="104">
      <c r="A104" s="145" t="s">
        <v>575</v>
      </c>
      <c r="B104" s="137" t="s">
        <v>422</v>
      </c>
      <c r="C104" s="137">
        <v>518.0</v>
      </c>
      <c r="D104" s="146">
        <v>44398.0</v>
      </c>
      <c r="E104" s="151" t="s">
        <v>576</v>
      </c>
      <c r="F104" s="148" t="s">
        <v>21</v>
      </c>
      <c r="G104" s="148">
        <f t="shared" si="1"/>
        <v>1000000</v>
      </c>
      <c r="H104" s="136">
        <v>7.0</v>
      </c>
      <c r="I104" s="136">
        <v>2021.0</v>
      </c>
    </row>
    <row r="105">
      <c r="A105" s="145" t="s">
        <v>577</v>
      </c>
      <c r="B105" s="137" t="s">
        <v>422</v>
      </c>
      <c r="C105" s="137">
        <v>1800.0</v>
      </c>
      <c r="D105" s="146">
        <v>44398.0</v>
      </c>
      <c r="E105" s="151" t="s">
        <v>578</v>
      </c>
      <c r="F105" s="148" t="s">
        <v>21</v>
      </c>
      <c r="G105" s="148">
        <f t="shared" si="1"/>
        <v>1000000</v>
      </c>
      <c r="H105" s="136">
        <v>7.0</v>
      </c>
      <c r="I105" s="136">
        <v>2021.0</v>
      </c>
    </row>
    <row r="106">
      <c r="A106" s="145" t="s">
        <v>579</v>
      </c>
      <c r="B106" s="137" t="s">
        <v>422</v>
      </c>
      <c r="C106" s="137">
        <v>978.0</v>
      </c>
      <c r="D106" s="146">
        <v>44398.0</v>
      </c>
      <c r="E106" s="150" t="s">
        <v>580</v>
      </c>
      <c r="F106" s="148" t="s">
        <v>21</v>
      </c>
      <c r="G106" s="148">
        <f t="shared" si="1"/>
        <v>1000000</v>
      </c>
      <c r="H106" s="136">
        <v>7.0</v>
      </c>
      <c r="I106" s="136">
        <v>2021.0</v>
      </c>
    </row>
    <row r="107">
      <c r="A107" s="145" t="s">
        <v>581</v>
      </c>
      <c r="B107" s="137" t="s">
        <v>422</v>
      </c>
      <c r="C107" s="137">
        <v>4000.0</v>
      </c>
      <c r="D107" s="146">
        <v>44398.0</v>
      </c>
      <c r="E107" s="151" t="s">
        <v>582</v>
      </c>
      <c r="F107" s="148" t="s">
        <v>21</v>
      </c>
      <c r="G107" s="148">
        <f t="shared" si="1"/>
        <v>1000000</v>
      </c>
      <c r="H107" s="136">
        <v>7.0</v>
      </c>
      <c r="I107" s="136">
        <v>2021.0</v>
      </c>
    </row>
    <row r="108">
      <c r="A108" s="145" t="s">
        <v>583</v>
      </c>
      <c r="B108" s="137" t="s">
        <v>422</v>
      </c>
      <c r="C108" s="137">
        <v>1300.0</v>
      </c>
      <c r="D108" s="146">
        <v>44398.0</v>
      </c>
      <c r="E108" s="151" t="s">
        <v>584</v>
      </c>
      <c r="F108" s="148" t="s">
        <v>21</v>
      </c>
      <c r="G108" s="148">
        <f t="shared" si="1"/>
        <v>1000000</v>
      </c>
      <c r="H108" s="136">
        <v>7.0</v>
      </c>
      <c r="I108" s="136">
        <v>2021.0</v>
      </c>
    </row>
    <row r="109">
      <c r="A109" s="168"/>
      <c r="B109" s="169"/>
      <c r="C109" s="169"/>
      <c r="D109" s="169"/>
      <c r="E109" s="170"/>
      <c r="F109" s="171" t="s">
        <v>585</v>
      </c>
      <c r="G109" s="171">
        <f t="shared" si="1"/>
        <v>0</v>
      </c>
      <c r="H109" s="169" t="s">
        <v>585</v>
      </c>
      <c r="I109" s="169" t="s">
        <v>585</v>
      </c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</row>
    <row r="110">
      <c r="A110" s="145" t="s">
        <v>586</v>
      </c>
      <c r="B110" s="137" t="s">
        <v>422</v>
      </c>
      <c r="C110" s="137">
        <v>254.0</v>
      </c>
      <c r="D110" s="146">
        <v>44386.0</v>
      </c>
      <c r="E110" s="150" t="s">
        <v>587</v>
      </c>
      <c r="F110" s="148" t="s">
        <v>466</v>
      </c>
      <c r="G110" s="148">
        <f t="shared" si="1"/>
        <v>500000</v>
      </c>
      <c r="H110" s="136">
        <v>7.0</v>
      </c>
      <c r="I110" s="136">
        <v>2021.0</v>
      </c>
    </row>
    <row r="111">
      <c r="A111" s="145" t="s">
        <v>588</v>
      </c>
      <c r="B111" s="137" t="s">
        <v>422</v>
      </c>
      <c r="C111" s="137">
        <v>783.0</v>
      </c>
      <c r="D111" s="146">
        <v>44387.0</v>
      </c>
      <c r="E111" s="150" t="s">
        <v>589</v>
      </c>
      <c r="F111" s="148" t="s">
        <v>92</v>
      </c>
      <c r="G111" s="148">
        <f t="shared" si="1"/>
        <v>1000000</v>
      </c>
      <c r="H111" s="136">
        <v>7.0</v>
      </c>
      <c r="I111" s="136">
        <v>2021.0</v>
      </c>
    </row>
    <row r="112">
      <c r="A112" s="145" t="s">
        <v>590</v>
      </c>
      <c r="B112" s="137" t="s">
        <v>422</v>
      </c>
      <c r="C112" s="137">
        <v>566.0</v>
      </c>
      <c r="D112" s="146">
        <v>44389.0</v>
      </c>
      <c r="E112" s="150" t="s">
        <v>591</v>
      </c>
      <c r="F112" s="148" t="s">
        <v>92</v>
      </c>
      <c r="G112" s="148">
        <f t="shared" si="1"/>
        <v>1000000</v>
      </c>
      <c r="H112" s="136">
        <v>7.0</v>
      </c>
      <c r="I112" s="136">
        <v>2021.0</v>
      </c>
    </row>
    <row r="113">
      <c r="A113" s="145" t="s">
        <v>592</v>
      </c>
      <c r="B113" s="137" t="s">
        <v>418</v>
      </c>
      <c r="C113" s="137">
        <v>70.0</v>
      </c>
      <c r="D113" s="146">
        <v>44384.0</v>
      </c>
      <c r="E113" s="150" t="s">
        <v>593</v>
      </c>
      <c r="F113" s="148" t="s">
        <v>92</v>
      </c>
      <c r="G113" s="148">
        <f t="shared" si="1"/>
        <v>1000000</v>
      </c>
      <c r="H113" s="136">
        <v>7.0</v>
      </c>
      <c r="I113" s="136">
        <v>2021.0</v>
      </c>
    </row>
    <row r="114">
      <c r="A114" s="145" t="s">
        <v>594</v>
      </c>
      <c r="B114" s="137" t="s">
        <v>418</v>
      </c>
      <c r="C114" s="137">
        <v>100.0</v>
      </c>
      <c r="D114" s="146">
        <v>44385.0</v>
      </c>
      <c r="E114" s="150" t="s">
        <v>595</v>
      </c>
      <c r="F114" s="148" t="s">
        <v>92</v>
      </c>
      <c r="G114" s="148">
        <f t="shared" si="1"/>
        <v>1000000</v>
      </c>
      <c r="H114" s="136">
        <v>7.0</v>
      </c>
      <c r="I114" s="136">
        <v>2021.0</v>
      </c>
    </row>
    <row r="115">
      <c r="A115" s="145" t="s">
        <v>596</v>
      </c>
      <c r="B115" s="137" t="s">
        <v>418</v>
      </c>
      <c r="C115" s="137">
        <v>100.0</v>
      </c>
      <c r="D115" s="146">
        <v>44385.0</v>
      </c>
      <c r="E115" s="150" t="s">
        <v>597</v>
      </c>
      <c r="F115" s="148" t="s">
        <v>92</v>
      </c>
      <c r="G115" s="148">
        <f t="shared" si="1"/>
        <v>1000000</v>
      </c>
      <c r="H115" s="136">
        <v>7.0</v>
      </c>
      <c r="I115" s="136">
        <v>2021.0</v>
      </c>
    </row>
    <row r="116">
      <c r="A116" s="145" t="s">
        <v>598</v>
      </c>
      <c r="B116" s="137" t="s">
        <v>418</v>
      </c>
      <c r="C116" s="137">
        <v>212.0</v>
      </c>
      <c r="D116" s="146">
        <v>44385.0</v>
      </c>
      <c r="E116" s="150" t="s">
        <v>599</v>
      </c>
      <c r="F116" s="148" t="s">
        <v>92</v>
      </c>
      <c r="G116" s="148">
        <f t="shared" si="1"/>
        <v>1000000</v>
      </c>
      <c r="H116" s="136">
        <v>7.0</v>
      </c>
      <c r="I116" s="136">
        <v>2021.0</v>
      </c>
    </row>
    <row r="117">
      <c r="A117" s="145" t="s">
        <v>600</v>
      </c>
      <c r="B117" s="137" t="s">
        <v>422</v>
      </c>
      <c r="C117" s="137">
        <v>1700.0</v>
      </c>
      <c r="D117" s="146">
        <v>44396.0</v>
      </c>
      <c r="E117" s="150" t="s">
        <v>601</v>
      </c>
      <c r="F117" s="148" t="s">
        <v>92</v>
      </c>
      <c r="G117" s="148">
        <f t="shared" si="1"/>
        <v>1000000</v>
      </c>
      <c r="H117" s="136">
        <v>7.0</v>
      </c>
      <c r="I117" s="136">
        <v>2021.0</v>
      </c>
    </row>
    <row r="118">
      <c r="A118" s="145" t="s">
        <v>602</v>
      </c>
      <c r="B118" s="137" t="s">
        <v>422</v>
      </c>
      <c r="C118" s="137">
        <v>1800.0</v>
      </c>
      <c r="D118" s="146">
        <v>44396.0</v>
      </c>
      <c r="E118" s="150" t="s">
        <v>603</v>
      </c>
      <c r="F118" s="148" t="s">
        <v>92</v>
      </c>
      <c r="G118" s="148">
        <f t="shared" si="1"/>
        <v>1000000</v>
      </c>
      <c r="H118" s="136">
        <v>7.0</v>
      </c>
      <c r="I118" s="136">
        <v>2021.0</v>
      </c>
    </row>
    <row r="119">
      <c r="A119" s="145" t="s">
        <v>604</v>
      </c>
      <c r="B119" s="137" t="s">
        <v>422</v>
      </c>
      <c r="C119" s="137">
        <v>1000.0</v>
      </c>
      <c r="D119" s="146">
        <v>44396.0</v>
      </c>
      <c r="E119" s="150" t="s">
        <v>605</v>
      </c>
      <c r="F119" s="148" t="s">
        <v>92</v>
      </c>
      <c r="G119" s="148">
        <f t="shared" si="1"/>
        <v>1000000</v>
      </c>
      <c r="H119" s="136">
        <v>7.0</v>
      </c>
      <c r="I119" s="136">
        <v>2021.0</v>
      </c>
    </row>
    <row r="120">
      <c r="A120" s="145" t="s">
        <v>606</v>
      </c>
      <c r="B120" s="137" t="s">
        <v>422</v>
      </c>
      <c r="C120" s="137">
        <v>1000.0</v>
      </c>
      <c r="D120" s="146">
        <v>44396.0</v>
      </c>
      <c r="E120" s="150" t="s">
        <v>607</v>
      </c>
      <c r="F120" s="148" t="s">
        <v>92</v>
      </c>
      <c r="G120" s="148">
        <f t="shared" si="1"/>
        <v>1000000</v>
      </c>
      <c r="H120" s="136">
        <v>7.0</v>
      </c>
      <c r="I120" s="136">
        <v>2021.0</v>
      </c>
    </row>
    <row r="121">
      <c r="A121" s="145" t="s">
        <v>606</v>
      </c>
      <c r="B121" s="137" t="s">
        <v>418</v>
      </c>
      <c r="C121" s="137">
        <v>109.0</v>
      </c>
      <c r="D121" s="146">
        <v>44396.0</v>
      </c>
      <c r="E121" s="150" t="s">
        <v>608</v>
      </c>
      <c r="F121" s="148" t="s">
        <v>92</v>
      </c>
      <c r="G121" s="148">
        <f t="shared" si="1"/>
        <v>1000000</v>
      </c>
      <c r="H121" s="136">
        <v>7.0</v>
      </c>
      <c r="I121" s="136">
        <v>2021.0</v>
      </c>
    </row>
    <row r="122">
      <c r="A122" s="145" t="s">
        <v>606</v>
      </c>
      <c r="B122" s="137" t="s">
        <v>609</v>
      </c>
      <c r="C122" s="137">
        <v>146.0</v>
      </c>
      <c r="D122" s="146">
        <v>44396.0</v>
      </c>
      <c r="E122" s="150" t="s">
        <v>610</v>
      </c>
      <c r="F122" s="148" t="s">
        <v>92</v>
      </c>
      <c r="G122" s="148">
        <f t="shared" si="1"/>
        <v>1000000</v>
      </c>
      <c r="H122" s="136">
        <v>7.0</v>
      </c>
      <c r="I122" s="136">
        <v>2021.0</v>
      </c>
    </row>
    <row r="123">
      <c r="A123" s="145" t="s">
        <v>611</v>
      </c>
      <c r="B123" s="137" t="s">
        <v>422</v>
      </c>
      <c r="C123" s="137">
        <v>1400.0</v>
      </c>
      <c r="D123" s="146">
        <v>44397.0</v>
      </c>
      <c r="E123" s="150" t="s">
        <v>612</v>
      </c>
      <c r="F123" s="148" t="s">
        <v>92</v>
      </c>
      <c r="G123" s="148">
        <f t="shared" si="1"/>
        <v>1000000</v>
      </c>
      <c r="H123" s="136">
        <v>7.0</v>
      </c>
      <c r="I123" s="136">
        <v>2021.0</v>
      </c>
    </row>
    <row r="124">
      <c r="A124" s="145" t="s">
        <v>613</v>
      </c>
      <c r="B124" s="137" t="s">
        <v>418</v>
      </c>
      <c r="C124" s="137">
        <v>111.0</v>
      </c>
      <c r="D124" s="146">
        <v>44398.0</v>
      </c>
      <c r="E124" s="150" t="s">
        <v>614</v>
      </c>
      <c r="F124" s="148" t="s">
        <v>92</v>
      </c>
      <c r="G124" s="148">
        <f t="shared" si="1"/>
        <v>1000000</v>
      </c>
      <c r="H124" s="136">
        <v>7.0</v>
      </c>
      <c r="I124" s="136">
        <v>2021.0</v>
      </c>
    </row>
    <row r="125">
      <c r="A125" s="145" t="s">
        <v>615</v>
      </c>
      <c r="B125" s="137" t="s">
        <v>418</v>
      </c>
      <c r="C125" s="137">
        <v>129.0</v>
      </c>
      <c r="D125" s="146">
        <v>44398.0</v>
      </c>
      <c r="E125" s="151" t="s">
        <v>616</v>
      </c>
      <c r="F125" s="148" t="s">
        <v>92</v>
      </c>
      <c r="G125" s="148">
        <f t="shared" si="1"/>
        <v>1000000</v>
      </c>
      <c r="H125" s="136">
        <v>7.0</v>
      </c>
      <c r="I125" s="136">
        <v>2021.0</v>
      </c>
    </row>
    <row r="126">
      <c r="A126" s="145" t="s">
        <v>617</v>
      </c>
      <c r="B126" s="137" t="s">
        <v>422</v>
      </c>
      <c r="C126" s="137">
        <v>952.0</v>
      </c>
      <c r="D126" s="146">
        <v>44404.0</v>
      </c>
      <c r="E126" s="150" t="s">
        <v>618</v>
      </c>
      <c r="F126" s="148" t="s">
        <v>92</v>
      </c>
      <c r="G126" s="148">
        <f t="shared" si="1"/>
        <v>1000000</v>
      </c>
      <c r="H126" s="136">
        <v>7.0</v>
      </c>
      <c r="I126" s="136">
        <v>2021.0</v>
      </c>
    </row>
    <row r="127">
      <c r="A127" s="145" t="s">
        <v>619</v>
      </c>
      <c r="B127" s="137" t="s">
        <v>422</v>
      </c>
      <c r="C127" s="137">
        <v>694.0</v>
      </c>
      <c r="D127" s="146">
        <v>44404.0</v>
      </c>
      <c r="E127" s="150" t="s">
        <v>620</v>
      </c>
      <c r="F127" s="148" t="s">
        <v>92</v>
      </c>
      <c r="G127" s="148">
        <f t="shared" si="1"/>
        <v>1000000</v>
      </c>
      <c r="H127" s="136">
        <v>7.0</v>
      </c>
      <c r="I127" s="136">
        <v>2021.0</v>
      </c>
    </row>
    <row r="128">
      <c r="A128" s="145" t="s">
        <v>621</v>
      </c>
      <c r="B128" s="137" t="s">
        <v>422</v>
      </c>
      <c r="C128" s="137">
        <v>1800.0</v>
      </c>
      <c r="D128" s="146">
        <v>44405.0</v>
      </c>
      <c r="E128" s="150" t="s">
        <v>622</v>
      </c>
      <c r="F128" s="148" t="s">
        <v>92</v>
      </c>
      <c r="G128" s="148">
        <f t="shared" si="1"/>
        <v>1000000</v>
      </c>
      <c r="H128" s="136">
        <v>7.0</v>
      </c>
      <c r="I128" s="136">
        <v>2021.0</v>
      </c>
    </row>
    <row r="129">
      <c r="A129" s="145" t="s">
        <v>623</v>
      </c>
      <c r="B129" s="137" t="s">
        <v>422</v>
      </c>
      <c r="C129" s="137">
        <v>2200.0</v>
      </c>
      <c r="D129" s="146">
        <v>44405.0</v>
      </c>
      <c r="E129" s="150" t="s">
        <v>624</v>
      </c>
      <c r="F129" s="148" t="s">
        <v>92</v>
      </c>
      <c r="G129" s="148">
        <f t="shared" si="1"/>
        <v>1000000</v>
      </c>
      <c r="H129" s="136">
        <v>7.0</v>
      </c>
      <c r="I129" s="136">
        <v>2021.0</v>
      </c>
    </row>
    <row r="130">
      <c r="A130" s="145" t="s">
        <v>625</v>
      </c>
      <c r="B130" s="137" t="s">
        <v>422</v>
      </c>
      <c r="C130" s="137">
        <v>2000.0</v>
      </c>
      <c r="D130" s="146">
        <v>44406.0</v>
      </c>
      <c r="E130" s="150" t="s">
        <v>626</v>
      </c>
      <c r="F130" s="148" t="s">
        <v>466</v>
      </c>
      <c r="G130" s="148">
        <f t="shared" si="1"/>
        <v>1000000</v>
      </c>
      <c r="H130" s="136">
        <v>7.0</v>
      </c>
      <c r="I130" s="136">
        <v>2021.0</v>
      </c>
    </row>
    <row r="131">
      <c r="A131" s="135"/>
      <c r="B131" s="136"/>
      <c r="C131" s="136"/>
      <c r="D131" s="136"/>
      <c r="E131" s="138"/>
      <c r="F131" s="148" t="s">
        <v>585</v>
      </c>
      <c r="G131" s="148">
        <f t="shared" si="1"/>
        <v>0</v>
      </c>
      <c r="H131" s="136" t="s">
        <v>585</v>
      </c>
      <c r="I131" s="136" t="s">
        <v>585</v>
      </c>
    </row>
    <row r="132">
      <c r="A132" s="135"/>
      <c r="B132" s="136"/>
      <c r="C132" s="136"/>
      <c r="D132" s="136"/>
      <c r="E132" s="138"/>
      <c r="F132" s="148" t="s">
        <v>585</v>
      </c>
      <c r="G132" s="148">
        <f t="shared" si="1"/>
        <v>0</v>
      </c>
      <c r="H132" s="136" t="s">
        <v>585</v>
      </c>
      <c r="I132" s="136" t="s">
        <v>585</v>
      </c>
    </row>
    <row r="133">
      <c r="A133" s="135"/>
      <c r="B133" s="136"/>
      <c r="C133" s="136"/>
      <c r="D133" s="136"/>
      <c r="E133" s="138"/>
      <c r="F133" s="148" t="s">
        <v>585</v>
      </c>
      <c r="G133" s="148">
        <f t="shared" si="1"/>
        <v>0</v>
      </c>
      <c r="H133" s="136" t="s">
        <v>585</v>
      </c>
      <c r="I133" s="136" t="s">
        <v>585</v>
      </c>
    </row>
    <row r="134">
      <c r="A134" s="135"/>
      <c r="B134" s="136"/>
      <c r="C134" s="136"/>
      <c r="D134" s="136"/>
      <c r="E134" s="138"/>
      <c r="F134" s="148" t="s">
        <v>585</v>
      </c>
      <c r="G134" s="148">
        <f t="shared" si="1"/>
        <v>0</v>
      </c>
      <c r="H134" s="136" t="s">
        <v>585</v>
      </c>
      <c r="I134" s="136" t="s">
        <v>585</v>
      </c>
    </row>
    <row r="135">
      <c r="A135" s="135"/>
      <c r="B135" s="136"/>
      <c r="C135" s="136"/>
      <c r="D135" s="136"/>
      <c r="E135" s="138"/>
      <c r="F135" s="148" t="s">
        <v>585</v>
      </c>
      <c r="G135" s="148">
        <f t="shared" si="1"/>
        <v>0</v>
      </c>
      <c r="H135" s="136" t="s">
        <v>585</v>
      </c>
      <c r="I135" s="136" t="s">
        <v>585</v>
      </c>
    </row>
    <row r="136">
      <c r="A136" s="135"/>
      <c r="B136" s="136"/>
      <c r="C136" s="136"/>
      <c r="D136" s="136"/>
      <c r="E136" s="138"/>
      <c r="F136" s="148" t="s">
        <v>585</v>
      </c>
      <c r="G136" s="148">
        <f t="shared" si="1"/>
        <v>0</v>
      </c>
      <c r="H136" s="136" t="s">
        <v>585</v>
      </c>
      <c r="I136" s="136" t="s">
        <v>585</v>
      </c>
    </row>
    <row r="137">
      <c r="A137" s="135"/>
      <c r="B137" s="136"/>
      <c r="C137" s="136"/>
      <c r="D137" s="136"/>
      <c r="E137" s="138"/>
      <c r="F137" s="148" t="s">
        <v>585</v>
      </c>
      <c r="G137" s="148">
        <f t="shared" si="1"/>
        <v>0</v>
      </c>
      <c r="H137" s="136" t="s">
        <v>585</v>
      </c>
      <c r="I137" s="136" t="s">
        <v>585</v>
      </c>
    </row>
    <row r="138">
      <c r="A138" s="135"/>
      <c r="B138" s="136"/>
      <c r="C138" s="136"/>
      <c r="D138" s="136"/>
      <c r="E138" s="138"/>
      <c r="F138" s="148" t="s">
        <v>585</v>
      </c>
      <c r="G138" s="148">
        <f t="shared" si="1"/>
        <v>0</v>
      </c>
      <c r="H138" s="136" t="s">
        <v>585</v>
      </c>
      <c r="I138" s="136" t="s">
        <v>585</v>
      </c>
    </row>
    <row r="139">
      <c r="A139" s="135"/>
      <c r="B139" s="136"/>
      <c r="C139" s="136"/>
      <c r="D139" s="136"/>
      <c r="E139" s="138"/>
      <c r="F139" s="148" t="s">
        <v>585</v>
      </c>
      <c r="G139" s="148">
        <f t="shared" si="1"/>
        <v>0</v>
      </c>
      <c r="H139" s="136" t="s">
        <v>585</v>
      </c>
      <c r="I139" s="136" t="s">
        <v>585</v>
      </c>
    </row>
    <row r="140">
      <c r="A140" s="135"/>
      <c r="B140" s="136"/>
      <c r="C140" s="136"/>
      <c r="D140" s="136"/>
      <c r="E140" s="138"/>
      <c r="F140" s="148" t="s">
        <v>585</v>
      </c>
      <c r="G140" s="148">
        <f t="shared" si="1"/>
        <v>0</v>
      </c>
      <c r="H140" s="136" t="s">
        <v>585</v>
      </c>
      <c r="I140" s="136" t="s">
        <v>585</v>
      </c>
    </row>
    <row r="141">
      <c r="A141" s="135"/>
      <c r="B141" s="136"/>
      <c r="C141" s="136"/>
      <c r="D141" s="136"/>
      <c r="E141" s="138"/>
      <c r="F141" s="148" t="s">
        <v>585</v>
      </c>
      <c r="G141" s="148">
        <f t="shared" si="1"/>
        <v>0</v>
      </c>
      <c r="H141" s="136" t="s">
        <v>585</v>
      </c>
      <c r="I141" s="136" t="s">
        <v>585</v>
      </c>
    </row>
    <row r="142">
      <c r="A142" s="135"/>
      <c r="B142" s="136"/>
      <c r="C142" s="136"/>
      <c r="D142" s="136"/>
      <c r="E142" s="138"/>
      <c r="F142" s="148" t="s">
        <v>585</v>
      </c>
      <c r="G142" s="148">
        <f t="shared" si="1"/>
        <v>0</v>
      </c>
      <c r="H142" s="136" t="s">
        <v>585</v>
      </c>
      <c r="I142" s="136" t="s">
        <v>585</v>
      </c>
    </row>
    <row r="143">
      <c r="A143" s="135"/>
      <c r="B143" s="136"/>
      <c r="C143" s="136"/>
      <c r="D143" s="136"/>
      <c r="E143" s="138"/>
      <c r="F143" s="148" t="s">
        <v>585</v>
      </c>
      <c r="G143" s="148">
        <f t="shared" si="1"/>
        <v>0</v>
      </c>
      <c r="H143" s="136" t="s">
        <v>585</v>
      </c>
      <c r="I143" s="136" t="s">
        <v>585</v>
      </c>
    </row>
    <row r="144">
      <c r="A144" s="135"/>
      <c r="B144" s="136"/>
      <c r="C144" s="136"/>
      <c r="D144" s="136"/>
      <c r="E144" s="138"/>
      <c r="F144" s="148" t="s">
        <v>585</v>
      </c>
      <c r="G144" s="148">
        <f t="shared" si="1"/>
        <v>0</v>
      </c>
      <c r="H144" s="136" t="s">
        <v>585</v>
      </c>
      <c r="I144" s="136" t="s">
        <v>585</v>
      </c>
    </row>
    <row r="145">
      <c r="A145" s="135"/>
      <c r="B145" s="136"/>
      <c r="C145" s="136"/>
      <c r="D145" s="136"/>
      <c r="E145" s="138"/>
      <c r="F145" s="148" t="s">
        <v>585</v>
      </c>
      <c r="G145" s="148">
        <f t="shared" si="1"/>
        <v>0</v>
      </c>
      <c r="H145" s="136" t="s">
        <v>585</v>
      </c>
      <c r="I145" s="136" t="s">
        <v>585</v>
      </c>
    </row>
    <row r="146">
      <c r="A146" s="135"/>
      <c r="B146" s="136"/>
      <c r="C146" s="136"/>
      <c r="D146" s="136"/>
      <c r="E146" s="138"/>
      <c r="F146" s="148" t="s">
        <v>585</v>
      </c>
      <c r="G146" s="148">
        <f t="shared" si="1"/>
        <v>0</v>
      </c>
      <c r="H146" s="136" t="s">
        <v>585</v>
      </c>
      <c r="I146" s="136" t="s">
        <v>585</v>
      </c>
    </row>
    <row r="147">
      <c r="A147" s="135"/>
      <c r="B147" s="136"/>
      <c r="C147" s="136"/>
      <c r="D147" s="136"/>
      <c r="E147" s="138"/>
      <c r="F147" s="148" t="s">
        <v>585</v>
      </c>
      <c r="G147" s="148">
        <f t="shared" si="1"/>
        <v>0</v>
      </c>
      <c r="H147" s="136" t="s">
        <v>585</v>
      </c>
      <c r="I147" s="136" t="s">
        <v>585</v>
      </c>
    </row>
    <row r="148">
      <c r="A148" s="135"/>
      <c r="B148" s="136"/>
      <c r="C148" s="136"/>
      <c r="D148" s="136"/>
      <c r="E148" s="138"/>
      <c r="F148" s="148" t="s">
        <v>585</v>
      </c>
      <c r="G148" s="148">
        <f t="shared" si="1"/>
        <v>0</v>
      </c>
      <c r="H148" s="136" t="s">
        <v>585</v>
      </c>
      <c r="I148" s="136" t="s">
        <v>585</v>
      </c>
    </row>
    <row r="149">
      <c r="A149" s="135"/>
      <c r="B149" s="136"/>
      <c r="C149" s="136"/>
      <c r="D149" s="136"/>
      <c r="E149" s="138"/>
      <c r="F149" s="148" t="s">
        <v>585</v>
      </c>
      <c r="G149" s="148">
        <f t="shared" si="1"/>
        <v>0</v>
      </c>
      <c r="H149" s="136" t="s">
        <v>585</v>
      </c>
      <c r="I149" s="136" t="s">
        <v>585</v>
      </c>
    </row>
    <row r="150">
      <c r="A150" s="135"/>
      <c r="B150" s="136"/>
      <c r="C150" s="136"/>
      <c r="D150" s="136"/>
      <c r="E150" s="138"/>
      <c r="F150" s="148" t="s">
        <v>585</v>
      </c>
      <c r="G150" s="148">
        <f t="shared" si="1"/>
        <v>0</v>
      </c>
      <c r="H150" s="136" t="s">
        <v>585</v>
      </c>
      <c r="I150" s="136" t="s">
        <v>585</v>
      </c>
    </row>
    <row r="151">
      <c r="A151" s="135"/>
      <c r="B151" s="136"/>
      <c r="C151" s="136"/>
      <c r="D151" s="136"/>
      <c r="E151" s="138"/>
      <c r="F151" s="148" t="s">
        <v>585</v>
      </c>
      <c r="G151" s="148">
        <f t="shared" si="1"/>
        <v>0</v>
      </c>
      <c r="H151" s="136" t="s">
        <v>585</v>
      </c>
      <c r="I151" s="136" t="s">
        <v>585</v>
      </c>
    </row>
    <row r="152">
      <c r="A152" s="135"/>
      <c r="B152" s="136"/>
      <c r="C152" s="136"/>
      <c r="D152" s="136"/>
      <c r="E152" s="138"/>
      <c r="F152" s="148" t="s">
        <v>585</v>
      </c>
      <c r="G152" s="148">
        <f t="shared" si="1"/>
        <v>0</v>
      </c>
      <c r="H152" s="136" t="s">
        <v>585</v>
      </c>
      <c r="I152" s="136" t="s">
        <v>585</v>
      </c>
    </row>
    <row r="153">
      <c r="A153" s="135"/>
      <c r="B153" s="136"/>
      <c r="C153" s="136"/>
      <c r="D153" s="136"/>
      <c r="E153" s="138"/>
      <c r="F153" s="148" t="s">
        <v>585</v>
      </c>
      <c r="G153" s="148">
        <f t="shared" si="1"/>
        <v>0</v>
      </c>
      <c r="H153" s="136" t="s">
        <v>585</v>
      </c>
      <c r="I153" s="136" t="s">
        <v>585</v>
      </c>
    </row>
    <row r="154">
      <c r="A154" s="135"/>
      <c r="B154" s="136"/>
      <c r="C154" s="136"/>
      <c r="D154" s="136"/>
      <c r="E154" s="138"/>
      <c r="F154" s="148" t="s">
        <v>585</v>
      </c>
      <c r="G154" s="148">
        <f t="shared" si="1"/>
        <v>0</v>
      </c>
      <c r="H154" s="136" t="s">
        <v>585</v>
      </c>
      <c r="I154" s="136" t="s">
        <v>585</v>
      </c>
    </row>
    <row r="155">
      <c r="A155" s="135"/>
      <c r="B155" s="136"/>
      <c r="C155" s="136"/>
      <c r="D155" s="136"/>
      <c r="E155" s="138"/>
      <c r="F155" s="148" t="s">
        <v>585</v>
      </c>
      <c r="G155" s="148">
        <f t="shared" si="1"/>
        <v>0</v>
      </c>
      <c r="H155" s="136" t="s">
        <v>585</v>
      </c>
      <c r="I155" s="136" t="s">
        <v>585</v>
      </c>
    </row>
    <row r="156">
      <c r="A156" s="135"/>
      <c r="B156" s="136"/>
      <c r="C156" s="136"/>
      <c r="D156" s="136"/>
      <c r="E156" s="138"/>
      <c r="F156" s="148" t="s">
        <v>585</v>
      </c>
      <c r="G156" s="148">
        <f t="shared" si="1"/>
        <v>0</v>
      </c>
      <c r="H156" s="136" t="s">
        <v>585</v>
      </c>
      <c r="I156" s="136" t="s">
        <v>585</v>
      </c>
    </row>
    <row r="157">
      <c r="A157" s="135"/>
      <c r="B157" s="136"/>
      <c r="C157" s="136"/>
      <c r="D157" s="136"/>
      <c r="E157" s="138"/>
      <c r="F157" s="148" t="s">
        <v>585</v>
      </c>
      <c r="G157" s="148">
        <f t="shared" si="1"/>
        <v>0</v>
      </c>
      <c r="H157" s="136" t="s">
        <v>585</v>
      </c>
      <c r="I157" s="136" t="s">
        <v>585</v>
      </c>
    </row>
    <row r="158">
      <c r="A158" s="135"/>
      <c r="B158" s="136"/>
      <c r="C158" s="136"/>
      <c r="D158" s="136"/>
      <c r="E158" s="138"/>
      <c r="F158" s="148" t="s">
        <v>585</v>
      </c>
      <c r="G158" s="148">
        <f t="shared" si="1"/>
        <v>0</v>
      </c>
      <c r="H158" s="136" t="s">
        <v>585</v>
      </c>
      <c r="I158" s="136" t="s">
        <v>585</v>
      </c>
    </row>
    <row r="159">
      <c r="A159" s="135"/>
      <c r="B159" s="136"/>
      <c r="C159" s="136"/>
      <c r="D159" s="136"/>
      <c r="E159" s="138"/>
      <c r="F159" s="148" t="s">
        <v>585</v>
      </c>
      <c r="G159" s="148">
        <f t="shared" si="1"/>
        <v>0</v>
      </c>
      <c r="H159" s="136" t="s">
        <v>585</v>
      </c>
      <c r="I159" s="136" t="s">
        <v>585</v>
      </c>
    </row>
    <row r="160">
      <c r="A160" s="135"/>
      <c r="B160" s="136"/>
      <c r="C160" s="136"/>
      <c r="D160" s="136"/>
      <c r="E160" s="138"/>
      <c r="F160" s="148" t="s">
        <v>585</v>
      </c>
      <c r="G160" s="148">
        <f t="shared" si="1"/>
        <v>0</v>
      </c>
      <c r="H160" s="136" t="s">
        <v>585</v>
      </c>
      <c r="I160" s="136" t="s">
        <v>585</v>
      </c>
    </row>
    <row r="161">
      <c r="A161" s="135"/>
      <c r="B161" s="136"/>
      <c r="C161" s="136"/>
      <c r="D161" s="136"/>
      <c r="E161" s="138"/>
      <c r="F161" s="148" t="s">
        <v>585</v>
      </c>
      <c r="G161" s="148">
        <f t="shared" si="1"/>
        <v>0</v>
      </c>
      <c r="H161" s="136" t="s">
        <v>585</v>
      </c>
      <c r="I161" s="136" t="s">
        <v>585</v>
      </c>
    </row>
    <row r="162">
      <c r="A162" s="135"/>
      <c r="B162" s="136"/>
      <c r="C162" s="136"/>
      <c r="D162" s="136"/>
      <c r="E162" s="138"/>
      <c r="F162" s="148" t="s">
        <v>585</v>
      </c>
      <c r="G162" s="148">
        <f t="shared" si="1"/>
        <v>0</v>
      </c>
      <c r="H162" s="136" t="s">
        <v>585</v>
      </c>
      <c r="I162" s="136" t="s">
        <v>585</v>
      </c>
    </row>
    <row r="163">
      <c r="A163" s="135"/>
      <c r="B163" s="136"/>
      <c r="C163" s="136"/>
      <c r="D163" s="136"/>
      <c r="E163" s="138"/>
      <c r="F163" s="148" t="s">
        <v>585</v>
      </c>
      <c r="G163" s="148">
        <f t="shared" si="1"/>
        <v>0</v>
      </c>
      <c r="H163" s="136" t="s">
        <v>585</v>
      </c>
      <c r="I163" s="136" t="s">
        <v>585</v>
      </c>
    </row>
    <row r="164">
      <c r="A164" s="135"/>
      <c r="B164" s="136"/>
      <c r="C164" s="136"/>
      <c r="D164" s="136"/>
      <c r="E164" s="138"/>
      <c r="F164" s="148" t="s">
        <v>585</v>
      </c>
      <c r="G164" s="148">
        <f t="shared" si="1"/>
        <v>0</v>
      </c>
      <c r="H164" s="136" t="s">
        <v>585</v>
      </c>
      <c r="I164" s="136" t="s">
        <v>585</v>
      </c>
    </row>
    <row r="165">
      <c r="A165" s="135"/>
      <c r="B165" s="136"/>
      <c r="C165" s="136"/>
      <c r="D165" s="136"/>
      <c r="E165" s="138"/>
      <c r="F165" s="148" t="s">
        <v>585</v>
      </c>
      <c r="G165" s="148">
        <f t="shared" si="1"/>
        <v>0</v>
      </c>
      <c r="H165" s="136" t="s">
        <v>585</v>
      </c>
      <c r="I165" s="136" t="s">
        <v>585</v>
      </c>
    </row>
    <row r="166">
      <c r="A166" s="135"/>
      <c r="B166" s="136"/>
      <c r="C166" s="136"/>
      <c r="D166" s="136"/>
      <c r="E166" s="138"/>
      <c r="F166" s="148" t="s">
        <v>585</v>
      </c>
      <c r="G166" s="148">
        <f t="shared" si="1"/>
        <v>0</v>
      </c>
      <c r="H166" s="136" t="s">
        <v>585</v>
      </c>
      <c r="I166" s="136" t="s">
        <v>585</v>
      </c>
    </row>
    <row r="167">
      <c r="A167" s="135"/>
      <c r="B167" s="136"/>
      <c r="C167" s="136"/>
      <c r="D167" s="136"/>
      <c r="E167" s="138"/>
      <c r="F167" s="148" t="s">
        <v>585</v>
      </c>
      <c r="G167" s="148">
        <f t="shared" si="1"/>
        <v>0</v>
      </c>
      <c r="H167" s="136" t="s">
        <v>585</v>
      </c>
      <c r="I167" s="136" t="s">
        <v>585</v>
      </c>
    </row>
    <row r="168">
      <c r="A168" s="135"/>
      <c r="B168" s="136"/>
      <c r="C168" s="136"/>
      <c r="D168" s="136"/>
      <c r="E168" s="138"/>
      <c r="F168" s="148" t="s">
        <v>585</v>
      </c>
      <c r="G168" s="148">
        <f t="shared" si="1"/>
        <v>0</v>
      </c>
      <c r="H168" s="136" t="s">
        <v>585</v>
      </c>
      <c r="I168" s="136" t="s">
        <v>585</v>
      </c>
    </row>
    <row r="169">
      <c r="A169" s="135"/>
      <c r="B169" s="136"/>
      <c r="C169" s="136"/>
      <c r="D169" s="136"/>
      <c r="E169" s="138"/>
      <c r="F169" s="148" t="s">
        <v>585</v>
      </c>
      <c r="G169" s="148">
        <f t="shared" si="1"/>
        <v>0</v>
      </c>
      <c r="H169" s="136" t="s">
        <v>585</v>
      </c>
      <c r="I169" s="136" t="s">
        <v>585</v>
      </c>
    </row>
    <row r="170">
      <c r="A170" s="135"/>
      <c r="B170" s="136"/>
      <c r="C170" s="136"/>
      <c r="D170" s="136"/>
      <c r="E170" s="138"/>
      <c r="F170" s="148" t="s">
        <v>585</v>
      </c>
      <c r="G170" s="148">
        <f t="shared" si="1"/>
        <v>0</v>
      </c>
      <c r="H170" s="136" t="s">
        <v>585</v>
      </c>
      <c r="I170" s="136" t="s">
        <v>585</v>
      </c>
    </row>
    <row r="171">
      <c r="A171" s="135"/>
      <c r="B171" s="136"/>
      <c r="C171" s="136"/>
      <c r="D171" s="136"/>
      <c r="E171" s="138"/>
      <c r="F171" s="148" t="s">
        <v>585</v>
      </c>
      <c r="G171" s="148">
        <f t="shared" si="1"/>
        <v>0</v>
      </c>
      <c r="H171" s="136" t="s">
        <v>585</v>
      </c>
      <c r="I171" s="136" t="s">
        <v>585</v>
      </c>
    </row>
    <row r="172">
      <c r="A172" s="135"/>
      <c r="B172" s="136"/>
      <c r="C172" s="136"/>
      <c r="D172" s="136"/>
      <c r="E172" s="138"/>
      <c r="F172" s="148" t="s">
        <v>585</v>
      </c>
      <c r="G172" s="148">
        <f t="shared" si="1"/>
        <v>0</v>
      </c>
      <c r="H172" s="136" t="s">
        <v>585</v>
      </c>
      <c r="I172" s="136" t="s">
        <v>585</v>
      </c>
    </row>
    <row r="173">
      <c r="A173" s="135"/>
      <c r="B173" s="136"/>
      <c r="C173" s="136"/>
      <c r="D173" s="136"/>
      <c r="E173" s="138"/>
      <c r="F173" s="148" t="s">
        <v>585</v>
      </c>
      <c r="G173" s="148">
        <f t="shared" si="1"/>
        <v>0</v>
      </c>
      <c r="H173" s="136" t="s">
        <v>585</v>
      </c>
      <c r="I173" s="136" t="s">
        <v>585</v>
      </c>
    </row>
    <row r="174">
      <c r="A174" s="135"/>
      <c r="B174" s="136"/>
      <c r="C174" s="136"/>
      <c r="D174" s="136"/>
      <c r="E174" s="138"/>
      <c r="F174" s="148" t="s">
        <v>585</v>
      </c>
      <c r="G174" s="148">
        <f t="shared" si="1"/>
        <v>0</v>
      </c>
      <c r="H174" s="136" t="s">
        <v>585</v>
      </c>
      <c r="I174" s="136" t="s">
        <v>585</v>
      </c>
    </row>
    <row r="175">
      <c r="A175" s="135"/>
      <c r="B175" s="136"/>
      <c r="C175" s="136"/>
      <c r="D175" s="136"/>
      <c r="E175" s="138"/>
      <c r="F175" s="148" t="s">
        <v>585</v>
      </c>
      <c r="G175" s="148">
        <f t="shared" si="1"/>
        <v>0</v>
      </c>
      <c r="H175" s="136" t="s">
        <v>585</v>
      </c>
      <c r="I175" s="136" t="s">
        <v>585</v>
      </c>
    </row>
    <row r="176">
      <c r="A176" s="135"/>
      <c r="B176" s="136"/>
      <c r="C176" s="136"/>
      <c r="D176" s="136"/>
      <c r="E176" s="138"/>
      <c r="F176" s="148" t="s">
        <v>585</v>
      </c>
      <c r="G176" s="148">
        <f t="shared" si="1"/>
        <v>0</v>
      </c>
      <c r="H176" s="136" t="s">
        <v>585</v>
      </c>
      <c r="I176" s="136" t="s">
        <v>585</v>
      </c>
    </row>
    <row r="177">
      <c r="A177" s="135"/>
      <c r="B177" s="136"/>
      <c r="C177" s="136"/>
      <c r="D177" s="136"/>
      <c r="E177" s="138"/>
      <c r="F177" s="148" t="s">
        <v>585</v>
      </c>
      <c r="G177" s="148">
        <f t="shared" si="1"/>
        <v>0</v>
      </c>
      <c r="H177" s="136" t="s">
        <v>585</v>
      </c>
      <c r="I177" s="136" t="s">
        <v>585</v>
      </c>
    </row>
    <row r="178">
      <c r="A178" s="135"/>
      <c r="B178" s="136"/>
      <c r="C178" s="136"/>
      <c r="D178" s="136"/>
      <c r="E178" s="138"/>
      <c r="F178" s="148" t="s">
        <v>585</v>
      </c>
      <c r="G178" s="148">
        <f t="shared" si="1"/>
        <v>0</v>
      </c>
      <c r="H178" s="136" t="s">
        <v>585</v>
      </c>
      <c r="I178" s="136" t="s">
        <v>585</v>
      </c>
    </row>
    <row r="179">
      <c r="A179" s="135"/>
      <c r="B179" s="136"/>
      <c r="C179" s="136"/>
      <c r="D179" s="136"/>
      <c r="E179" s="138"/>
      <c r="F179" s="148" t="s">
        <v>585</v>
      </c>
      <c r="G179" s="148">
        <f t="shared" si="1"/>
        <v>0</v>
      </c>
      <c r="H179" s="136" t="s">
        <v>585</v>
      </c>
      <c r="I179" s="136" t="s">
        <v>585</v>
      </c>
    </row>
    <row r="180">
      <c r="A180" s="135"/>
      <c r="B180" s="136"/>
      <c r="C180" s="136"/>
      <c r="D180" s="136"/>
      <c r="E180" s="138"/>
      <c r="F180" s="148" t="s">
        <v>585</v>
      </c>
      <c r="G180" s="148">
        <f t="shared" si="1"/>
        <v>0</v>
      </c>
      <c r="H180" s="136" t="s">
        <v>585</v>
      </c>
      <c r="I180" s="136" t="s">
        <v>585</v>
      </c>
    </row>
    <row r="181">
      <c r="A181" s="135"/>
      <c r="B181" s="136"/>
      <c r="C181" s="136"/>
      <c r="D181" s="136"/>
      <c r="E181" s="138"/>
      <c r="F181" s="148" t="s">
        <v>585</v>
      </c>
      <c r="G181" s="148">
        <f t="shared" si="1"/>
        <v>0</v>
      </c>
      <c r="H181" s="136" t="s">
        <v>585</v>
      </c>
      <c r="I181" s="136" t="s">
        <v>585</v>
      </c>
    </row>
    <row r="182">
      <c r="A182" s="135"/>
      <c r="B182" s="136"/>
      <c r="C182" s="136"/>
      <c r="D182" s="136"/>
      <c r="E182" s="138"/>
      <c r="F182" s="148" t="s">
        <v>585</v>
      </c>
      <c r="G182" s="148">
        <f t="shared" si="1"/>
        <v>0</v>
      </c>
      <c r="H182" s="136" t="s">
        <v>585</v>
      </c>
      <c r="I182" s="136" t="s">
        <v>585</v>
      </c>
    </row>
    <row r="183">
      <c r="A183" s="135"/>
      <c r="B183" s="136"/>
      <c r="C183" s="136"/>
      <c r="D183" s="136"/>
      <c r="E183" s="138"/>
      <c r="F183" s="148" t="s">
        <v>585</v>
      </c>
      <c r="G183" s="148">
        <f t="shared" si="1"/>
        <v>0</v>
      </c>
      <c r="H183" s="136" t="s">
        <v>585</v>
      </c>
      <c r="I183" s="136" t="s">
        <v>585</v>
      </c>
    </row>
    <row r="184">
      <c r="A184" s="135"/>
      <c r="B184" s="136"/>
      <c r="C184" s="136"/>
      <c r="D184" s="136"/>
      <c r="E184" s="138"/>
      <c r="F184" s="148" t="s">
        <v>585</v>
      </c>
      <c r="G184" s="148">
        <f t="shared" si="1"/>
        <v>0</v>
      </c>
      <c r="H184" s="136" t="s">
        <v>585</v>
      </c>
      <c r="I184" s="136" t="s">
        <v>585</v>
      </c>
    </row>
    <row r="185">
      <c r="A185" s="135"/>
      <c r="B185" s="136"/>
      <c r="C185" s="136"/>
      <c r="D185" s="136"/>
      <c r="E185" s="138"/>
      <c r="F185" s="148" t="s">
        <v>585</v>
      </c>
      <c r="G185" s="148">
        <f t="shared" si="1"/>
        <v>0</v>
      </c>
      <c r="H185" s="136" t="s">
        <v>585</v>
      </c>
      <c r="I185" s="136" t="s">
        <v>585</v>
      </c>
    </row>
    <row r="186">
      <c r="A186" s="135"/>
      <c r="B186" s="136"/>
      <c r="C186" s="136"/>
      <c r="D186" s="136"/>
      <c r="E186" s="138"/>
      <c r="F186" s="148" t="s">
        <v>585</v>
      </c>
      <c r="G186" s="148">
        <f t="shared" si="1"/>
        <v>0</v>
      </c>
      <c r="H186" s="136" t="s">
        <v>585</v>
      </c>
      <c r="I186" s="136" t="s">
        <v>585</v>
      </c>
    </row>
    <row r="187">
      <c r="A187" s="135"/>
      <c r="B187" s="136"/>
      <c r="C187" s="136"/>
      <c r="D187" s="136"/>
      <c r="E187" s="138"/>
      <c r="F187" s="148" t="s">
        <v>585</v>
      </c>
      <c r="G187" s="148">
        <f t="shared" si="1"/>
        <v>0</v>
      </c>
      <c r="H187" s="136" t="s">
        <v>585</v>
      </c>
      <c r="I187" s="136" t="s">
        <v>585</v>
      </c>
    </row>
    <row r="188">
      <c r="A188" s="135"/>
      <c r="B188" s="136"/>
      <c r="C188" s="136"/>
      <c r="D188" s="136"/>
      <c r="E188" s="138"/>
      <c r="F188" s="148" t="s">
        <v>585</v>
      </c>
      <c r="G188" s="148">
        <f t="shared" si="1"/>
        <v>0</v>
      </c>
      <c r="H188" s="136" t="s">
        <v>585</v>
      </c>
      <c r="I188" s="136" t="s">
        <v>585</v>
      </c>
    </row>
    <row r="189">
      <c r="A189" s="135"/>
      <c r="B189" s="136"/>
      <c r="C189" s="136"/>
      <c r="D189" s="136"/>
      <c r="E189" s="138"/>
      <c r="F189" s="148" t="s">
        <v>585</v>
      </c>
      <c r="G189" s="148">
        <f t="shared" si="1"/>
        <v>0</v>
      </c>
      <c r="H189" s="136" t="s">
        <v>585</v>
      </c>
      <c r="I189" s="136" t="s">
        <v>585</v>
      </c>
    </row>
    <row r="190">
      <c r="A190" s="135"/>
      <c r="B190" s="136"/>
      <c r="C190" s="136"/>
      <c r="D190" s="136"/>
      <c r="E190" s="138"/>
      <c r="F190" s="148" t="s">
        <v>585</v>
      </c>
      <c r="G190" s="148">
        <f t="shared" si="1"/>
        <v>0</v>
      </c>
      <c r="H190" s="136" t="s">
        <v>585</v>
      </c>
      <c r="I190" s="136" t="s">
        <v>585</v>
      </c>
    </row>
    <row r="191">
      <c r="A191" s="135"/>
      <c r="B191" s="136"/>
      <c r="C191" s="136"/>
      <c r="D191" s="136"/>
      <c r="E191" s="138"/>
      <c r="F191" s="148" t="s">
        <v>585</v>
      </c>
      <c r="G191" s="148">
        <f t="shared" si="1"/>
        <v>0</v>
      </c>
      <c r="H191" s="136" t="s">
        <v>585</v>
      </c>
      <c r="I191" s="136" t="s">
        <v>585</v>
      </c>
    </row>
    <row r="192">
      <c r="A192" s="135"/>
      <c r="B192" s="136"/>
      <c r="C192" s="136"/>
      <c r="D192" s="136"/>
      <c r="E192" s="138"/>
      <c r="F192" s="148" t="s">
        <v>585</v>
      </c>
      <c r="G192" s="148">
        <f t="shared" si="1"/>
        <v>0</v>
      </c>
      <c r="H192" s="136" t="s">
        <v>585</v>
      </c>
      <c r="I192" s="136" t="s">
        <v>585</v>
      </c>
    </row>
    <row r="193">
      <c r="A193" s="135"/>
      <c r="B193" s="136"/>
      <c r="C193" s="136"/>
      <c r="D193" s="136"/>
      <c r="E193" s="138"/>
      <c r="F193" s="148" t="s">
        <v>585</v>
      </c>
      <c r="G193" s="148">
        <f t="shared" si="1"/>
        <v>0</v>
      </c>
      <c r="H193" s="136" t="s">
        <v>585</v>
      </c>
      <c r="I193" s="136" t="s">
        <v>585</v>
      </c>
    </row>
    <row r="194">
      <c r="A194" s="135"/>
      <c r="B194" s="136"/>
      <c r="C194" s="136"/>
      <c r="D194" s="136"/>
      <c r="E194" s="138"/>
      <c r="F194" s="148" t="s">
        <v>585</v>
      </c>
      <c r="G194" s="148">
        <f t="shared" si="1"/>
        <v>0</v>
      </c>
      <c r="H194" s="136" t="s">
        <v>585</v>
      </c>
      <c r="I194" s="136" t="s">
        <v>585</v>
      </c>
    </row>
    <row r="195">
      <c r="A195" s="135"/>
      <c r="B195" s="136"/>
      <c r="C195" s="136"/>
      <c r="D195" s="136"/>
      <c r="E195" s="138"/>
      <c r="F195" s="148" t="s">
        <v>585</v>
      </c>
      <c r="G195" s="148">
        <f t="shared" si="1"/>
        <v>0</v>
      </c>
      <c r="H195" s="136" t="s">
        <v>585</v>
      </c>
      <c r="I195" s="136" t="s">
        <v>585</v>
      </c>
    </row>
    <row r="196">
      <c r="A196" s="135"/>
      <c r="B196" s="136"/>
      <c r="C196" s="136"/>
      <c r="D196" s="136"/>
      <c r="E196" s="138"/>
      <c r="F196" s="148" t="s">
        <v>585</v>
      </c>
      <c r="G196" s="148">
        <f t="shared" si="1"/>
        <v>0</v>
      </c>
      <c r="H196" s="136" t="s">
        <v>585</v>
      </c>
      <c r="I196" s="136" t="s">
        <v>585</v>
      </c>
    </row>
    <row r="197">
      <c r="A197" s="135"/>
      <c r="B197" s="136"/>
      <c r="C197" s="136"/>
      <c r="D197" s="136"/>
      <c r="E197" s="138"/>
      <c r="F197" s="148" t="s">
        <v>585</v>
      </c>
      <c r="G197" s="148">
        <f t="shared" si="1"/>
        <v>0</v>
      </c>
      <c r="H197" s="136" t="s">
        <v>585</v>
      </c>
      <c r="I197" s="136" t="s">
        <v>585</v>
      </c>
    </row>
    <row r="198">
      <c r="A198" s="135"/>
      <c r="B198" s="136"/>
      <c r="C198" s="136"/>
      <c r="D198" s="136"/>
      <c r="E198" s="138"/>
      <c r="F198" s="148" t="s">
        <v>585</v>
      </c>
      <c r="G198" s="148">
        <f t="shared" si="1"/>
        <v>0</v>
      </c>
      <c r="H198" s="136" t="s">
        <v>585</v>
      </c>
      <c r="I198" s="136" t="s">
        <v>585</v>
      </c>
    </row>
    <row r="199">
      <c r="A199" s="135"/>
      <c r="B199" s="136"/>
      <c r="C199" s="136"/>
      <c r="D199" s="136"/>
      <c r="E199" s="138"/>
      <c r="F199" s="148" t="s">
        <v>585</v>
      </c>
      <c r="G199" s="148">
        <f t="shared" si="1"/>
        <v>0</v>
      </c>
      <c r="H199" s="136" t="s">
        <v>585</v>
      </c>
      <c r="I199" s="136" t="s">
        <v>585</v>
      </c>
    </row>
    <row r="200">
      <c r="A200" s="135"/>
      <c r="B200" s="136"/>
      <c r="C200" s="136"/>
      <c r="D200" s="136"/>
      <c r="E200" s="138"/>
      <c r="F200" s="148" t="s">
        <v>585</v>
      </c>
      <c r="G200" s="148">
        <f t="shared" si="1"/>
        <v>0</v>
      </c>
      <c r="H200" s="136" t="s">
        <v>585</v>
      </c>
      <c r="I200" s="136" t="s">
        <v>585</v>
      </c>
    </row>
    <row r="201">
      <c r="A201" s="135"/>
      <c r="B201" s="136"/>
      <c r="C201" s="136"/>
      <c r="D201" s="136"/>
      <c r="E201" s="138"/>
      <c r="F201" s="148" t="s">
        <v>585</v>
      </c>
      <c r="G201" s="148">
        <f t="shared" si="1"/>
        <v>0</v>
      </c>
      <c r="H201" s="136" t="s">
        <v>585</v>
      </c>
      <c r="I201" s="136" t="s">
        <v>585</v>
      </c>
    </row>
    <row r="202">
      <c r="A202" s="135"/>
      <c r="B202" s="136"/>
      <c r="C202" s="136"/>
      <c r="D202" s="136"/>
      <c r="E202" s="138"/>
      <c r="F202" s="148" t="s">
        <v>585</v>
      </c>
      <c r="G202" s="148">
        <f t="shared" si="1"/>
        <v>0</v>
      </c>
      <c r="H202" s="136" t="s">
        <v>585</v>
      </c>
      <c r="I202" s="136" t="s">
        <v>585</v>
      </c>
    </row>
    <row r="203">
      <c r="A203" s="135"/>
      <c r="B203" s="136"/>
      <c r="C203" s="136"/>
      <c r="D203" s="136"/>
      <c r="E203" s="138"/>
      <c r="F203" s="148" t="s">
        <v>585</v>
      </c>
      <c r="G203" s="148">
        <f t="shared" si="1"/>
        <v>0</v>
      </c>
      <c r="H203" s="136" t="s">
        <v>585</v>
      </c>
      <c r="I203" s="136" t="s">
        <v>585</v>
      </c>
    </row>
    <row r="204">
      <c r="A204" s="135"/>
      <c r="B204" s="136"/>
      <c r="C204" s="136"/>
      <c r="D204" s="136"/>
      <c r="E204" s="138"/>
      <c r="F204" s="148" t="s">
        <v>585</v>
      </c>
      <c r="G204" s="148">
        <f t="shared" si="1"/>
        <v>0</v>
      </c>
      <c r="H204" s="136" t="s">
        <v>585</v>
      </c>
      <c r="I204" s="136" t="s">
        <v>585</v>
      </c>
    </row>
    <row r="205">
      <c r="A205" s="135"/>
      <c r="B205" s="136"/>
      <c r="C205" s="136"/>
      <c r="D205" s="136"/>
      <c r="E205" s="138"/>
      <c r="F205" s="148" t="s">
        <v>585</v>
      </c>
      <c r="G205" s="148">
        <f t="shared" si="1"/>
        <v>0</v>
      </c>
      <c r="H205" s="136" t="s">
        <v>585</v>
      </c>
      <c r="I205" s="136" t="s">
        <v>585</v>
      </c>
    </row>
    <row r="206">
      <c r="A206" s="135"/>
      <c r="B206" s="136"/>
      <c r="C206" s="136"/>
      <c r="D206" s="136"/>
      <c r="E206" s="138"/>
      <c r="F206" s="148" t="s">
        <v>585</v>
      </c>
      <c r="G206" s="148">
        <f t="shared" si="1"/>
        <v>0</v>
      </c>
      <c r="H206" s="136" t="s">
        <v>585</v>
      </c>
      <c r="I206" s="136" t="s">
        <v>585</v>
      </c>
    </row>
    <row r="207">
      <c r="A207" s="135"/>
      <c r="B207" s="136"/>
      <c r="C207" s="136"/>
      <c r="D207" s="136"/>
      <c r="E207" s="138"/>
      <c r="F207" s="148" t="s">
        <v>585</v>
      </c>
      <c r="G207" s="148">
        <f t="shared" si="1"/>
        <v>0</v>
      </c>
      <c r="H207" s="136" t="s">
        <v>585</v>
      </c>
      <c r="I207" s="136" t="s">
        <v>585</v>
      </c>
    </row>
    <row r="208">
      <c r="A208" s="135"/>
      <c r="B208" s="136"/>
      <c r="C208" s="136"/>
      <c r="D208" s="136"/>
      <c r="E208" s="138"/>
      <c r="F208" s="148" t="s">
        <v>585</v>
      </c>
      <c r="G208" s="148">
        <f t="shared" si="1"/>
        <v>0</v>
      </c>
      <c r="H208" s="136" t="s">
        <v>585</v>
      </c>
      <c r="I208" s="136" t="s">
        <v>585</v>
      </c>
    </row>
    <row r="209">
      <c r="A209" s="135"/>
      <c r="B209" s="136"/>
      <c r="C209" s="136"/>
      <c r="D209" s="136"/>
      <c r="E209" s="138"/>
      <c r="F209" s="148" t="s">
        <v>585</v>
      </c>
      <c r="G209" s="148"/>
      <c r="H209" s="136" t="s">
        <v>585</v>
      </c>
      <c r="I209" s="136" t="s">
        <v>585</v>
      </c>
    </row>
    <row r="210">
      <c r="A210" s="135"/>
      <c r="B210" s="136"/>
      <c r="C210" s="136"/>
      <c r="D210" s="136"/>
      <c r="E210" s="138"/>
      <c r="F210" s="148" t="s">
        <v>585</v>
      </c>
      <c r="G210" s="148"/>
      <c r="H210" s="136" t="s">
        <v>585</v>
      </c>
      <c r="I210" s="136" t="s">
        <v>585</v>
      </c>
    </row>
    <row r="211">
      <c r="A211" s="135"/>
      <c r="B211" s="136"/>
      <c r="C211" s="136"/>
      <c r="D211" s="136"/>
      <c r="E211" s="138"/>
      <c r="F211" s="148" t="s">
        <v>585</v>
      </c>
      <c r="G211" s="148"/>
      <c r="H211" s="136" t="s">
        <v>585</v>
      </c>
      <c r="I211" s="136" t="s">
        <v>585</v>
      </c>
    </row>
    <row r="212">
      <c r="A212" s="135"/>
      <c r="B212" s="136"/>
      <c r="C212" s="136"/>
      <c r="D212" s="136"/>
      <c r="E212" s="138"/>
      <c r="F212" s="148" t="s">
        <v>585</v>
      </c>
      <c r="G212" s="148"/>
      <c r="H212" s="136" t="s">
        <v>585</v>
      </c>
      <c r="I212" s="136" t="s">
        <v>585</v>
      </c>
    </row>
    <row r="213">
      <c r="A213" s="135"/>
      <c r="B213" s="136"/>
      <c r="C213" s="136"/>
      <c r="D213" s="136"/>
      <c r="E213" s="138"/>
      <c r="F213" s="148" t="s">
        <v>585</v>
      </c>
      <c r="G213" s="148"/>
      <c r="H213" s="136" t="s">
        <v>585</v>
      </c>
      <c r="I213" s="136" t="s">
        <v>585</v>
      </c>
    </row>
    <row r="214">
      <c r="A214" s="135"/>
      <c r="B214" s="136"/>
      <c r="C214" s="136"/>
      <c r="D214" s="136"/>
      <c r="E214" s="138"/>
      <c r="F214" s="148" t="s">
        <v>585</v>
      </c>
      <c r="G214" s="148"/>
      <c r="H214" s="136" t="s">
        <v>585</v>
      </c>
      <c r="I214" s="136" t="s">
        <v>585</v>
      </c>
    </row>
    <row r="215">
      <c r="A215" s="135"/>
      <c r="B215" s="136"/>
      <c r="C215" s="136"/>
      <c r="D215" s="136"/>
      <c r="E215" s="138"/>
      <c r="F215" s="148" t="s">
        <v>585</v>
      </c>
      <c r="G215" s="148"/>
      <c r="H215" s="136" t="s">
        <v>585</v>
      </c>
      <c r="I215" s="136" t="s">
        <v>585</v>
      </c>
    </row>
    <row r="216">
      <c r="A216" s="135"/>
      <c r="B216" s="136"/>
      <c r="C216" s="136"/>
      <c r="D216" s="136"/>
      <c r="E216" s="138"/>
      <c r="F216" s="148" t="s">
        <v>585</v>
      </c>
      <c r="G216" s="148"/>
      <c r="H216" s="136" t="s">
        <v>585</v>
      </c>
      <c r="I216" s="136" t="s">
        <v>585</v>
      </c>
    </row>
    <row r="217">
      <c r="A217" s="135"/>
      <c r="B217" s="136"/>
      <c r="C217" s="136"/>
      <c r="D217" s="136"/>
      <c r="E217" s="138"/>
      <c r="F217" s="148" t="s">
        <v>585</v>
      </c>
      <c r="G217" s="148"/>
      <c r="H217" s="136" t="s">
        <v>585</v>
      </c>
      <c r="I217" s="136" t="s">
        <v>585</v>
      </c>
    </row>
    <row r="218">
      <c r="A218" s="135"/>
      <c r="B218" s="136"/>
      <c r="C218" s="136"/>
      <c r="D218" s="136"/>
      <c r="E218" s="138"/>
      <c r="F218" s="148" t="s">
        <v>585</v>
      </c>
      <c r="G218" s="148"/>
      <c r="H218" s="136" t="s">
        <v>585</v>
      </c>
      <c r="I218" s="136" t="s">
        <v>585</v>
      </c>
    </row>
    <row r="219">
      <c r="A219" s="135"/>
      <c r="B219" s="136"/>
      <c r="C219" s="136"/>
      <c r="D219" s="136"/>
      <c r="E219" s="138"/>
      <c r="F219" s="148" t="s">
        <v>585</v>
      </c>
      <c r="G219" s="148"/>
      <c r="H219" s="136" t="s">
        <v>585</v>
      </c>
      <c r="I219" s="136" t="s">
        <v>585</v>
      </c>
    </row>
    <row r="220">
      <c r="A220" s="135"/>
      <c r="B220" s="136"/>
      <c r="C220" s="136"/>
      <c r="D220" s="136"/>
      <c r="E220" s="138"/>
      <c r="F220" s="148" t="s">
        <v>585</v>
      </c>
      <c r="G220" s="148"/>
      <c r="H220" s="136" t="s">
        <v>585</v>
      </c>
      <c r="I220" s="136" t="s">
        <v>585</v>
      </c>
    </row>
    <row r="221">
      <c r="A221" s="135"/>
      <c r="B221" s="136"/>
      <c r="C221" s="136"/>
      <c r="D221" s="136"/>
      <c r="E221" s="138"/>
      <c r="F221" s="148" t="s">
        <v>585</v>
      </c>
      <c r="G221" s="148"/>
      <c r="H221" s="136" t="s">
        <v>585</v>
      </c>
      <c r="I221" s="136" t="s">
        <v>585</v>
      </c>
    </row>
    <row r="222">
      <c r="A222" s="135"/>
      <c r="B222" s="136"/>
      <c r="C222" s="136"/>
      <c r="D222" s="136"/>
      <c r="E222" s="138"/>
      <c r="F222" s="148" t="s">
        <v>585</v>
      </c>
      <c r="G222" s="148"/>
      <c r="H222" s="136" t="s">
        <v>585</v>
      </c>
      <c r="I222" s="136" t="s">
        <v>585</v>
      </c>
    </row>
    <row r="223">
      <c r="A223" s="135"/>
      <c r="B223" s="136"/>
      <c r="C223" s="136"/>
      <c r="D223" s="136"/>
      <c r="E223" s="138"/>
      <c r="F223" s="148" t="s">
        <v>585</v>
      </c>
      <c r="G223" s="148"/>
      <c r="H223" s="136" t="s">
        <v>585</v>
      </c>
      <c r="I223" s="136" t="s">
        <v>585</v>
      </c>
    </row>
    <row r="224">
      <c r="A224" s="135"/>
      <c r="B224" s="136"/>
      <c r="C224" s="136"/>
      <c r="D224" s="136"/>
      <c r="E224" s="138"/>
      <c r="F224" s="148" t="s">
        <v>585</v>
      </c>
      <c r="G224" s="148"/>
      <c r="H224" s="136" t="s">
        <v>585</v>
      </c>
      <c r="I224" s="136" t="s">
        <v>585</v>
      </c>
    </row>
    <row r="225">
      <c r="A225" s="135"/>
      <c r="B225" s="136"/>
      <c r="C225" s="136"/>
      <c r="D225" s="136"/>
      <c r="E225" s="138"/>
      <c r="F225" s="148" t="s">
        <v>585</v>
      </c>
      <c r="G225" s="148"/>
      <c r="H225" s="136" t="s">
        <v>585</v>
      </c>
      <c r="I225" s="136" t="s">
        <v>585</v>
      </c>
    </row>
    <row r="226">
      <c r="A226" s="135"/>
      <c r="B226" s="136"/>
      <c r="C226" s="136"/>
      <c r="D226" s="136"/>
      <c r="E226" s="138"/>
      <c r="F226" s="148" t="s">
        <v>585</v>
      </c>
      <c r="G226" s="148"/>
      <c r="H226" s="136" t="s">
        <v>585</v>
      </c>
      <c r="I226" s="136" t="s">
        <v>585</v>
      </c>
    </row>
    <row r="227">
      <c r="A227" s="135"/>
      <c r="B227" s="136"/>
      <c r="C227" s="136"/>
      <c r="D227" s="136"/>
      <c r="E227" s="138"/>
      <c r="F227" s="148" t="s">
        <v>585</v>
      </c>
      <c r="G227" s="148"/>
      <c r="H227" s="136" t="s">
        <v>585</v>
      </c>
      <c r="I227" s="136" t="s">
        <v>585</v>
      </c>
    </row>
    <row r="228">
      <c r="A228" s="135"/>
      <c r="B228" s="136"/>
      <c r="C228" s="136"/>
      <c r="D228" s="136"/>
      <c r="E228" s="138"/>
      <c r="F228" s="148" t="s">
        <v>585</v>
      </c>
      <c r="G228" s="148"/>
      <c r="H228" s="136" t="s">
        <v>585</v>
      </c>
      <c r="I228" s="136" t="s">
        <v>585</v>
      </c>
    </row>
    <row r="229">
      <c r="A229" s="135"/>
      <c r="B229" s="136"/>
      <c r="C229" s="136"/>
      <c r="D229" s="136"/>
      <c r="E229" s="138"/>
      <c r="F229" s="148" t="s">
        <v>585</v>
      </c>
      <c r="G229" s="148"/>
      <c r="H229" s="136" t="s">
        <v>585</v>
      </c>
      <c r="I229" s="136" t="s">
        <v>585</v>
      </c>
    </row>
    <row r="230">
      <c r="A230" s="135"/>
      <c r="B230" s="136"/>
      <c r="C230" s="136"/>
      <c r="D230" s="136"/>
      <c r="E230" s="138"/>
      <c r="F230" s="148" t="s">
        <v>585</v>
      </c>
      <c r="G230" s="148"/>
      <c r="H230" s="136" t="s">
        <v>585</v>
      </c>
      <c r="I230" s="136" t="s">
        <v>585</v>
      </c>
    </row>
    <row r="231">
      <c r="A231" s="135"/>
      <c r="B231" s="136"/>
      <c r="C231" s="136"/>
      <c r="D231" s="136"/>
      <c r="E231" s="138"/>
      <c r="F231" s="148" t="s">
        <v>585</v>
      </c>
      <c r="G231" s="148"/>
      <c r="H231" s="136" t="s">
        <v>585</v>
      </c>
      <c r="I231" s="136" t="s">
        <v>585</v>
      </c>
    </row>
    <row r="232">
      <c r="A232" s="135"/>
      <c r="B232" s="136"/>
      <c r="C232" s="136"/>
      <c r="D232" s="136"/>
      <c r="E232" s="138"/>
      <c r="F232" s="148" t="s">
        <v>585</v>
      </c>
      <c r="G232" s="148"/>
      <c r="H232" s="136" t="s">
        <v>585</v>
      </c>
      <c r="I232" s="136" t="s">
        <v>585</v>
      </c>
    </row>
    <row r="233">
      <c r="A233" s="135"/>
      <c r="B233" s="136"/>
      <c r="C233" s="136"/>
      <c r="D233" s="136"/>
      <c r="E233" s="138"/>
      <c r="F233" s="148" t="s">
        <v>585</v>
      </c>
      <c r="G233" s="148"/>
      <c r="H233" s="136" t="s">
        <v>585</v>
      </c>
      <c r="I233" s="136" t="s">
        <v>585</v>
      </c>
    </row>
    <row r="234">
      <c r="A234" s="135"/>
      <c r="B234" s="136"/>
      <c r="C234" s="136"/>
      <c r="D234" s="136"/>
      <c r="E234" s="138"/>
      <c r="F234" s="148" t="s">
        <v>585</v>
      </c>
      <c r="G234" s="148"/>
      <c r="H234" s="136" t="s">
        <v>585</v>
      </c>
      <c r="I234" s="136" t="s">
        <v>585</v>
      </c>
    </row>
    <row r="235">
      <c r="A235" s="135"/>
      <c r="B235" s="136"/>
      <c r="C235" s="136"/>
      <c r="D235" s="136"/>
      <c r="E235" s="138"/>
      <c r="F235" s="148" t="s">
        <v>585</v>
      </c>
      <c r="G235" s="148"/>
      <c r="H235" s="136" t="s">
        <v>585</v>
      </c>
      <c r="I235" s="136" t="s">
        <v>585</v>
      </c>
    </row>
    <row r="236">
      <c r="A236" s="135"/>
      <c r="B236" s="136"/>
      <c r="C236" s="136"/>
      <c r="D236" s="136"/>
      <c r="E236" s="138"/>
      <c r="F236" s="148" t="s">
        <v>585</v>
      </c>
      <c r="G236" s="148"/>
      <c r="H236" s="136" t="s">
        <v>585</v>
      </c>
      <c r="I236" s="136" t="s">
        <v>585</v>
      </c>
    </row>
    <row r="237">
      <c r="A237" s="135"/>
      <c r="B237" s="136"/>
      <c r="C237" s="136"/>
      <c r="D237" s="136"/>
      <c r="E237" s="138"/>
      <c r="F237" s="148" t="s">
        <v>585</v>
      </c>
      <c r="G237" s="148"/>
      <c r="H237" s="136" t="s">
        <v>585</v>
      </c>
      <c r="I237" s="136" t="s">
        <v>585</v>
      </c>
    </row>
    <row r="238">
      <c r="A238" s="135"/>
      <c r="B238" s="136"/>
      <c r="C238" s="136"/>
      <c r="D238" s="136"/>
      <c r="E238" s="138"/>
      <c r="F238" s="148" t="s">
        <v>585</v>
      </c>
      <c r="G238" s="148"/>
      <c r="H238" s="136" t="s">
        <v>585</v>
      </c>
      <c r="I238" s="136" t="s">
        <v>585</v>
      </c>
    </row>
    <row r="239">
      <c r="A239" s="135"/>
      <c r="B239" s="136"/>
      <c r="C239" s="136"/>
      <c r="D239" s="136"/>
      <c r="E239" s="138"/>
      <c r="F239" s="148" t="s">
        <v>585</v>
      </c>
      <c r="G239" s="148"/>
      <c r="H239" s="136" t="s">
        <v>585</v>
      </c>
      <c r="I239" s="136" t="s">
        <v>585</v>
      </c>
    </row>
    <row r="240">
      <c r="A240" s="135"/>
      <c r="B240" s="136"/>
      <c r="C240" s="136"/>
      <c r="D240" s="136"/>
      <c r="E240" s="138"/>
      <c r="F240" s="148" t="s">
        <v>585</v>
      </c>
      <c r="G240" s="148"/>
      <c r="H240" s="136" t="s">
        <v>585</v>
      </c>
      <c r="I240" s="136" t="s">
        <v>585</v>
      </c>
    </row>
    <row r="241">
      <c r="A241" s="135"/>
      <c r="B241" s="136"/>
      <c r="C241" s="136"/>
      <c r="D241" s="136"/>
      <c r="E241" s="138"/>
      <c r="F241" s="148" t="s">
        <v>585</v>
      </c>
      <c r="G241" s="148"/>
      <c r="H241" s="136" t="s">
        <v>585</v>
      </c>
      <c r="I241" s="136" t="s">
        <v>585</v>
      </c>
    </row>
    <row r="242">
      <c r="A242" s="135"/>
      <c r="B242" s="136"/>
      <c r="C242" s="136"/>
      <c r="D242" s="136"/>
      <c r="E242" s="138"/>
      <c r="F242" s="148" t="s">
        <v>585</v>
      </c>
      <c r="G242" s="148"/>
      <c r="H242" s="136" t="s">
        <v>585</v>
      </c>
      <c r="I242" s="136" t="s">
        <v>585</v>
      </c>
    </row>
    <row r="243">
      <c r="A243" s="135"/>
      <c r="B243" s="136"/>
      <c r="C243" s="136"/>
      <c r="D243" s="136"/>
      <c r="E243" s="138"/>
      <c r="F243" s="148" t="s">
        <v>585</v>
      </c>
      <c r="G243" s="148"/>
      <c r="H243" s="136" t="s">
        <v>585</v>
      </c>
      <c r="I243" s="136" t="s">
        <v>585</v>
      </c>
    </row>
    <row r="244">
      <c r="A244" s="135"/>
      <c r="B244" s="136"/>
      <c r="C244" s="136"/>
      <c r="D244" s="136"/>
      <c r="E244" s="138"/>
      <c r="F244" s="148" t="s">
        <v>585</v>
      </c>
      <c r="G244" s="148"/>
      <c r="H244" s="136" t="s">
        <v>585</v>
      </c>
      <c r="I244" s="136" t="s">
        <v>585</v>
      </c>
    </row>
    <row r="245">
      <c r="A245" s="135"/>
      <c r="B245" s="136"/>
      <c r="C245" s="136"/>
      <c r="D245" s="136"/>
      <c r="E245" s="138"/>
      <c r="F245" s="148" t="s">
        <v>585</v>
      </c>
      <c r="G245" s="148"/>
      <c r="H245" s="136" t="s">
        <v>585</v>
      </c>
      <c r="I245" s="136" t="s">
        <v>585</v>
      </c>
    </row>
    <row r="246">
      <c r="A246" s="135"/>
      <c r="B246" s="136"/>
      <c r="C246" s="136"/>
      <c r="D246" s="136"/>
      <c r="E246" s="138"/>
      <c r="F246" s="148" t="s">
        <v>585</v>
      </c>
      <c r="G246" s="148"/>
      <c r="H246" s="136" t="s">
        <v>585</v>
      </c>
      <c r="I246" s="136" t="s">
        <v>585</v>
      </c>
    </row>
    <row r="247">
      <c r="A247" s="135"/>
      <c r="B247" s="136"/>
      <c r="C247" s="136"/>
      <c r="D247" s="136"/>
      <c r="E247" s="138"/>
      <c r="F247" s="148" t="s">
        <v>585</v>
      </c>
      <c r="G247" s="148"/>
      <c r="H247" s="136" t="s">
        <v>585</v>
      </c>
      <c r="I247" s="136" t="s">
        <v>585</v>
      </c>
    </row>
    <row r="248">
      <c r="A248" s="135"/>
      <c r="B248" s="136"/>
      <c r="C248" s="136"/>
      <c r="D248" s="136"/>
      <c r="E248" s="138"/>
      <c r="F248" s="148" t="s">
        <v>585</v>
      </c>
      <c r="G248" s="148"/>
      <c r="H248" s="136" t="s">
        <v>585</v>
      </c>
      <c r="I248" s="136" t="s">
        <v>585</v>
      </c>
    </row>
    <row r="249">
      <c r="A249" s="135"/>
      <c r="B249" s="136"/>
      <c r="C249" s="136"/>
      <c r="D249" s="136"/>
      <c r="E249" s="138"/>
      <c r="F249" s="148" t="s">
        <v>585</v>
      </c>
      <c r="G249" s="148"/>
      <c r="H249" s="136" t="s">
        <v>585</v>
      </c>
      <c r="I249" s="136" t="s">
        <v>585</v>
      </c>
    </row>
    <row r="250">
      <c r="A250" s="135"/>
      <c r="B250" s="136"/>
      <c r="C250" s="136"/>
      <c r="D250" s="136"/>
      <c r="E250" s="138"/>
      <c r="F250" s="148" t="s">
        <v>585</v>
      </c>
      <c r="G250" s="148"/>
      <c r="H250" s="136" t="s">
        <v>585</v>
      </c>
      <c r="I250" s="136" t="s">
        <v>585</v>
      </c>
    </row>
    <row r="251">
      <c r="A251" s="135"/>
      <c r="B251" s="136"/>
      <c r="C251" s="136"/>
      <c r="D251" s="136"/>
      <c r="E251" s="138"/>
      <c r="F251" s="148" t="s">
        <v>585</v>
      </c>
      <c r="G251" s="148"/>
      <c r="H251" s="136" t="s">
        <v>585</v>
      </c>
      <c r="I251" s="136" t="s">
        <v>585</v>
      </c>
    </row>
    <row r="252">
      <c r="A252" s="135"/>
      <c r="B252" s="136"/>
      <c r="C252" s="136"/>
      <c r="D252" s="136"/>
      <c r="E252" s="138"/>
      <c r="F252" s="148" t="s">
        <v>585</v>
      </c>
      <c r="G252" s="148"/>
      <c r="H252" s="136" t="s">
        <v>585</v>
      </c>
      <c r="I252" s="136" t="s">
        <v>585</v>
      </c>
    </row>
    <row r="253">
      <c r="A253" s="135"/>
      <c r="B253" s="136"/>
      <c r="C253" s="136"/>
      <c r="D253" s="136"/>
      <c r="E253" s="138"/>
      <c r="F253" s="148" t="s">
        <v>585</v>
      </c>
      <c r="G253" s="148"/>
      <c r="H253" s="136" t="s">
        <v>585</v>
      </c>
      <c r="I253" s="136" t="s">
        <v>585</v>
      </c>
    </row>
    <row r="254">
      <c r="A254" s="135"/>
      <c r="B254" s="136"/>
      <c r="C254" s="136"/>
      <c r="D254" s="136"/>
      <c r="E254" s="138"/>
      <c r="F254" s="148" t="s">
        <v>585</v>
      </c>
      <c r="G254" s="148"/>
      <c r="H254" s="136" t="s">
        <v>585</v>
      </c>
      <c r="I254" s="136" t="s">
        <v>585</v>
      </c>
    </row>
    <row r="255">
      <c r="A255" s="135"/>
      <c r="B255" s="136"/>
      <c r="C255" s="136"/>
      <c r="D255" s="136"/>
      <c r="E255" s="138"/>
      <c r="F255" s="148" t="s">
        <v>585</v>
      </c>
      <c r="G255" s="148"/>
      <c r="H255" s="136" t="s">
        <v>585</v>
      </c>
      <c r="I255" s="136" t="s">
        <v>585</v>
      </c>
    </row>
    <row r="256">
      <c r="A256" s="135"/>
      <c r="B256" s="136"/>
      <c r="C256" s="136"/>
      <c r="D256" s="136"/>
      <c r="E256" s="138"/>
      <c r="F256" s="148" t="s">
        <v>585</v>
      </c>
      <c r="G256" s="148"/>
      <c r="H256" s="136" t="s">
        <v>585</v>
      </c>
      <c r="I256" s="136" t="s">
        <v>585</v>
      </c>
    </row>
    <row r="257">
      <c r="A257" s="135"/>
      <c r="B257" s="136"/>
      <c r="C257" s="136"/>
      <c r="D257" s="136"/>
      <c r="E257" s="138"/>
      <c r="F257" s="148" t="s">
        <v>585</v>
      </c>
      <c r="G257" s="148"/>
      <c r="H257" s="136" t="s">
        <v>585</v>
      </c>
      <c r="I257" s="136" t="s">
        <v>585</v>
      </c>
    </row>
    <row r="258">
      <c r="A258" s="135"/>
      <c r="B258" s="136"/>
      <c r="C258" s="136"/>
      <c r="D258" s="136"/>
      <c r="E258" s="138"/>
      <c r="F258" s="148" t="s">
        <v>585</v>
      </c>
      <c r="G258" s="148"/>
      <c r="H258" s="136" t="s">
        <v>585</v>
      </c>
      <c r="I258" s="136" t="s">
        <v>585</v>
      </c>
    </row>
    <row r="259">
      <c r="A259" s="135"/>
      <c r="B259" s="136"/>
      <c r="C259" s="136"/>
      <c r="D259" s="136"/>
      <c r="E259" s="138"/>
      <c r="F259" s="148" t="s">
        <v>585</v>
      </c>
      <c r="G259" s="148"/>
      <c r="H259" s="136" t="s">
        <v>585</v>
      </c>
      <c r="I259" s="136" t="s">
        <v>585</v>
      </c>
    </row>
    <row r="260">
      <c r="A260" s="135"/>
      <c r="B260" s="136"/>
      <c r="C260" s="136"/>
      <c r="D260" s="136"/>
      <c r="E260" s="138"/>
      <c r="F260" s="148" t="s">
        <v>585</v>
      </c>
      <c r="G260" s="148"/>
      <c r="H260" s="136" t="s">
        <v>585</v>
      </c>
      <c r="I260" s="136" t="s">
        <v>585</v>
      </c>
    </row>
    <row r="261">
      <c r="A261" s="135"/>
      <c r="B261" s="136"/>
      <c r="C261" s="136"/>
      <c r="D261" s="136"/>
      <c r="E261" s="138"/>
      <c r="F261" s="148" t="s">
        <v>585</v>
      </c>
      <c r="G261" s="148"/>
      <c r="H261" s="136" t="s">
        <v>585</v>
      </c>
      <c r="I261" s="136" t="s">
        <v>585</v>
      </c>
    </row>
    <row r="262">
      <c r="A262" s="135"/>
      <c r="B262" s="136"/>
      <c r="C262" s="136"/>
      <c r="D262" s="136"/>
      <c r="E262" s="138"/>
      <c r="F262" s="148" t="s">
        <v>585</v>
      </c>
      <c r="G262" s="148"/>
      <c r="H262" s="136" t="s">
        <v>585</v>
      </c>
      <c r="I262" s="136" t="s">
        <v>585</v>
      </c>
    </row>
    <row r="263">
      <c r="A263" s="135"/>
      <c r="B263" s="136"/>
      <c r="C263" s="136"/>
      <c r="D263" s="136"/>
      <c r="E263" s="138"/>
      <c r="F263" s="148" t="s">
        <v>585</v>
      </c>
      <c r="G263" s="148"/>
      <c r="H263" s="136" t="s">
        <v>585</v>
      </c>
      <c r="I263" s="136" t="s">
        <v>585</v>
      </c>
    </row>
    <row r="264">
      <c r="A264" s="135"/>
      <c r="B264" s="136"/>
      <c r="C264" s="136"/>
      <c r="D264" s="136"/>
      <c r="E264" s="138"/>
      <c r="F264" s="148" t="s">
        <v>585</v>
      </c>
      <c r="G264" s="148"/>
      <c r="H264" s="136" t="s">
        <v>585</v>
      </c>
      <c r="I264" s="136" t="s">
        <v>585</v>
      </c>
    </row>
    <row r="265">
      <c r="A265" s="135"/>
      <c r="B265" s="136"/>
      <c r="C265" s="136"/>
      <c r="D265" s="136"/>
      <c r="E265" s="138"/>
      <c r="F265" s="148" t="s">
        <v>585</v>
      </c>
      <c r="G265" s="148"/>
      <c r="H265" s="136" t="s">
        <v>585</v>
      </c>
      <c r="I265" s="136" t="s">
        <v>585</v>
      </c>
    </row>
    <row r="266">
      <c r="A266" s="135"/>
      <c r="B266" s="136"/>
      <c r="C266" s="136"/>
      <c r="D266" s="136"/>
      <c r="E266" s="138"/>
      <c r="F266" s="148" t="s">
        <v>585</v>
      </c>
      <c r="G266" s="148"/>
      <c r="H266" s="136" t="s">
        <v>585</v>
      </c>
      <c r="I266" s="136" t="s">
        <v>585</v>
      </c>
    </row>
    <row r="267">
      <c r="A267" s="135"/>
      <c r="B267" s="136"/>
      <c r="C267" s="136"/>
      <c r="D267" s="136"/>
      <c r="E267" s="138"/>
      <c r="F267" s="148" t="s">
        <v>585</v>
      </c>
      <c r="G267" s="148"/>
      <c r="H267" s="136" t="s">
        <v>585</v>
      </c>
      <c r="I267" s="136" t="s">
        <v>585</v>
      </c>
    </row>
    <row r="268">
      <c r="A268" s="135"/>
      <c r="B268" s="136"/>
      <c r="C268" s="136"/>
      <c r="D268" s="136"/>
      <c r="E268" s="138"/>
      <c r="F268" s="148" t="s">
        <v>585</v>
      </c>
      <c r="G268" s="148"/>
      <c r="H268" s="136" t="s">
        <v>585</v>
      </c>
      <c r="I268" s="136" t="s">
        <v>585</v>
      </c>
    </row>
    <row r="269">
      <c r="A269" s="135"/>
      <c r="B269" s="136"/>
      <c r="C269" s="136"/>
      <c r="D269" s="136"/>
      <c r="E269" s="138"/>
      <c r="F269" s="148" t="s">
        <v>585</v>
      </c>
      <c r="G269" s="148"/>
      <c r="H269" s="136" t="s">
        <v>585</v>
      </c>
      <c r="I269" s="136" t="s">
        <v>585</v>
      </c>
    </row>
    <row r="270">
      <c r="A270" s="135"/>
      <c r="B270" s="136"/>
      <c r="C270" s="136"/>
      <c r="D270" s="136"/>
      <c r="E270" s="138"/>
      <c r="F270" s="148" t="s">
        <v>585</v>
      </c>
      <c r="G270" s="148"/>
      <c r="H270" s="136" t="s">
        <v>585</v>
      </c>
      <c r="I270" s="136" t="s">
        <v>585</v>
      </c>
    </row>
    <row r="271">
      <c r="A271" s="135"/>
      <c r="B271" s="136"/>
      <c r="C271" s="136"/>
      <c r="D271" s="136"/>
      <c r="E271" s="138"/>
      <c r="F271" s="148" t="s">
        <v>585</v>
      </c>
      <c r="G271" s="148"/>
      <c r="H271" s="136" t="s">
        <v>585</v>
      </c>
      <c r="I271" s="136" t="s">
        <v>585</v>
      </c>
    </row>
    <row r="272">
      <c r="A272" s="135"/>
      <c r="B272" s="136"/>
      <c r="C272" s="136"/>
      <c r="D272" s="136"/>
      <c r="E272" s="138"/>
      <c r="F272" s="148" t="s">
        <v>585</v>
      </c>
      <c r="G272" s="148"/>
      <c r="H272" s="136" t="s">
        <v>585</v>
      </c>
      <c r="I272" s="136" t="s">
        <v>585</v>
      </c>
    </row>
    <row r="273">
      <c r="A273" s="135"/>
      <c r="B273" s="136"/>
      <c r="C273" s="136"/>
      <c r="D273" s="136"/>
      <c r="E273" s="138"/>
      <c r="F273" s="148" t="s">
        <v>585</v>
      </c>
      <c r="G273" s="148"/>
      <c r="H273" s="136" t="s">
        <v>585</v>
      </c>
      <c r="I273" s="136" t="s">
        <v>585</v>
      </c>
    </row>
    <row r="274">
      <c r="A274" s="135"/>
      <c r="B274" s="136"/>
      <c r="C274" s="136"/>
      <c r="D274" s="136"/>
      <c r="E274" s="138"/>
      <c r="F274" s="148" t="s">
        <v>585</v>
      </c>
      <c r="G274" s="148"/>
      <c r="H274" s="136" t="s">
        <v>585</v>
      </c>
      <c r="I274" s="136" t="s">
        <v>585</v>
      </c>
    </row>
    <row r="275">
      <c r="A275" s="135"/>
      <c r="B275" s="136"/>
      <c r="C275" s="136"/>
      <c r="D275" s="136"/>
      <c r="E275" s="138"/>
      <c r="F275" s="148" t="s">
        <v>585</v>
      </c>
      <c r="G275" s="148"/>
      <c r="H275" s="136" t="s">
        <v>585</v>
      </c>
      <c r="I275" s="136" t="s">
        <v>585</v>
      </c>
    </row>
    <row r="276">
      <c r="A276" s="135"/>
      <c r="B276" s="136"/>
      <c r="C276" s="136"/>
      <c r="D276" s="136"/>
      <c r="E276" s="138"/>
      <c r="F276" s="148" t="s">
        <v>585</v>
      </c>
      <c r="G276" s="148"/>
      <c r="H276" s="136" t="s">
        <v>585</v>
      </c>
      <c r="I276" s="136" t="s">
        <v>585</v>
      </c>
    </row>
    <row r="277">
      <c r="A277" s="135"/>
      <c r="B277" s="136"/>
      <c r="C277" s="136"/>
      <c r="D277" s="136"/>
      <c r="E277" s="138"/>
      <c r="F277" s="148" t="s">
        <v>585</v>
      </c>
      <c r="G277" s="148"/>
      <c r="H277" s="136" t="s">
        <v>585</v>
      </c>
      <c r="I277" s="136" t="s">
        <v>585</v>
      </c>
    </row>
    <row r="278">
      <c r="A278" s="135"/>
      <c r="B278" s="136"/>
      <c r="C278" s="136"/>
      <c r="D278" s="136"/>
      <c r="E278" s="138"/>
      <c r="F278" s="148" t="s">
        <v>585</v>
      </c>
      <c r="G278" s="148"/>
      <c r="H278" s="136" t="s">
        <v>585</v>
      </c>
      <c r="I278" s="136" t="s">
        <v>585</v>
      </c>
    </row>
    <row r="279">
      <c r="A279" s="135"/>
      <c r="B279" s="136"/>
      <c r="C279" s="136"/>
      <c r="D279" s="136"/>
      <c r="E279" s="138"/>
      <c r="F279" s="148" t="s">
        <v>585</v>
      </c>
      <c r="G279" s="148"/>
      <c r="H279" s="136" t="s">
        <v>585</v>
      </c>
      <c r="I279" s="136" t="s">
        <v>585</v>
      </c>
    </row>
    <row r="280">
      <c r="A280" s="135"/>
      <c r="B280" s="136"/>
      <c r="C280" s="136"/>
      <c r="D280" s="136"/>
      <c r="E280" s="138"/>
      <c r="F280" s="148" t="s">
        <v>585</v>
      </c>
      <c r="G280" s="148"/>
      <c r="H280" s="136" t="s">
        <v>585</v>
      </c>
      <c r="I280" s="136" t="s">
        <v>585</v>
      </c>
    </row>
    <row r="281">
      <c r="A281" s="135"/>
      <c r="B281" s="136"/>
      <c r="C281" s="136"/>
      <c r="D281" s="136"/>
      <c r="E281" s="138"/>
      <c r="F281" s="148" t="s">
        <v>585</v>
      </c>
      <c r="G281" s="148"/>
      <c r="H281" s="136" t="s">
        <v>585</v>
      </c>
      <c r="I281" s="136" t="s">
        <v>585</v>
      </c>
    </row>
    <row r="282">
      <c r="A282" s="135"/>
      <c r="B282" s="136"/>
      <c r="C282" s="136"/>
      <c r="D282" s="136"/>
      <c r="E282" s="138"/>
      <c r="F282" s="148" t="s">
        <v>585</v>
      </c>
      <c r="G282" s="148"/>
      <c r="H282" s="136" t="s">
        <v>585</v>
      </c>
      <c r="I282" s="136" t="s">
        <v>585</v>
      </c>
    </row>
    <row r="283">
      <c r="A283" s="135"/>
      <c r="B283" s="136"/>
      <c r="C283" s="136"/>
      <c r="D283" s="136"/>
      <c r="E283" s="138"/>
      <c r="F283" s="148" t="s">
        <v>585</v>
      </c>
      <c r="G283" s="148"/>
      <c r="H283" s="136" t="s">
        <v>585</v>
      </c>
      <c r="I283" s="136" t="s">
        <v>585</v>
      </c>
    </row>
    <row r="284">
      <c r="A284" s="135"/>
      <c r="B284" s="136"/>
      <c r="C284" s="136"/>
      <c r="D284" s="136"/>
      <c r="E284" s="138"/>
      <c r="F284" s="148" t="s">
        <v>585</v>
      </c>
      <c r="G284" s="148"/>
      <c r="H284" s="136" t="s">
        <v>585</v>
      </c>
      <c r="I284" s="136" t="s">
        <v>585</v>
      </c>
    </row>
    <row r="285">
      <c r="A285" s="135"/>
      <c r="B285" s="136"/>
      <c r="C285" s="136"/>
      <c r="D285" s="136"/>
      <c r="E285" s="138"/>
      <c r="F285" s="148" t="s">
        <v>585</v>
      </c>
      <c r="G285" s="148"/>
      <c r="H285" s="136" t="s">
        <v>585</v>
      </c>
      <c r="I285" s="136" t="s">
        <v>585</v>
      </c>
    </row>
    <row r="286">
      <c r="A286" s="135"/>
      <c r="B286" s="136"/>
      <c r="C286" s="136"/>
      <c r="D286" s="136"/>
      <c r="E286" s="138"/>
      <c r="F286" s="148" t="s">
        <v>585</v>
      </c>
      <c r="G286" s="148"/>
      <c r="H286" s="136" t="s">
        <v>585</v>
      </c>
      <c r="I286" s="136" t="s">
        <v>585</v>
      </c>
    </row>
    <row r="287">
      <c r="A287" s="135"/>
      <c r="B287" s="136"/>
      <c r="C287" s="136"/>
      <c r="D287" s="136"/>
      <c r="E287" s="138"/>
      <c r="F287" s="148" t="s">
        <v>585</v>
      </c>
      <c r="G287" s="148"/>
      <c r="H287" s="136" t="s">
        <v>585</v>
      </c>
      <c r="I287" s="136" t="s">
        <v>585</v>
      </c>
    </row>
    <row r="288">
      <c r="A288" s="135"/>
      <c r="B288" s="136"/>
      <c r="C288" s="136"/>
      <c r="D288" s="136"/>
      <c r="E288" s="138"/>
      <c r="F288" s="148" t="s">
        <v>585</v>
      </c>
      <c r="G288" s="148"/>
      <c r="H288" s="136" t="s">
        <v>585</v>
      </c>
      <c r="I288" s="136" t="s">
        <v>585</v>
      </c>
    </row>
    <row r="289">
      <c r="A289" s="135"/>
      <c r="B289" s="136"/>
      <c r="C289" s="136"/>
      <c r="D289" s="136"/>
      <c r="E289" s="138"/>
      <c r="F289" s="148" t="s">
        <v>585</v>
      </c>
      <c r="G289" s="148"/>
      <c r="H289" s="136" t="s">
        <v>585</v>
      </c>
      <c r="I289" s="136" t="s">
        <v>585</v>
      </c>
    </row>
    <row r="290">
      <c r="A290" s="135"/>
      <c r="B290" s="136"/>
      <c r="C290" s="136"/>
      <c r="D290" s="136"/>
      <c r="E290" s="138"/>
      <c r="F290" s="148" t="s">
        <v>585</v>
      </c>
      <c r="G290" s="148"/>
      <c r="H290" s="136" t="s">
        <v>585</v>
      </c>
      <c r="I290" s="136" t="s">
        <v>585</v>
      </c>
    </row>
    <row r="291">
      <c r="A291" s="135"/>
      <c r="B291" s="136"/>
      <c r="C291" s="136"/>
      <c r="D291" s="136"/>
      <c r="E291" s="138"/>
      <c r="F291" s="148" t="s">
        <v>585</v>
      </c>
      <c r="G291" s="148"/>
      <c r="H291" s="136" t="s">
        <v>585</v>
      </c>
      <c r="I291" s="136" t="s">
        <v>585</v>
      </c>
    </row>
    <row r="292">
      <c r="A292" s="135"/>
      <c r="B292" s="136"/>
      <c r="C292" s="136"/>
      <c r="D292" s="136"/>
      <c r="E292" s="138"/>
      <c r="F292" s="148" t="s">
        <v>585</v>
      </c>
      <c r="G292" s="148"/>
      <c r="H292" s="136" t="s">
        <v>585</v>
      </c>
      <c r="I292" s="136" t="s">
        <v>585</v>
      </c>
    </row>
    <row r="293">
      <c r="A293" s="135"/>
      <c r="B293" s="136"/>
      <c r="C293" s="136"/>
      <c r="D293" s="136"/>
      <c r="E293" s="138"/>
      <c r="F293" s="148" t="s">
        <v>585</v>
      </c>
      <c r="G293" s="148"/>
      <c r="H293" s="136" t="s">
        <v>585</v>
      </c>
      <c r="I293" s="136" t="s">
        <v>585</v>
      </c>
    </row>
    <row r="294">
      <c r="A294" s="135"/>
      <c r="B294" s="136"/>
      <c r="C294" s="136"/>
      <c r="D294" s="136"/>
      <c r="E294" s="138"/>
      <c r="F294" s="148" t="s">
        <v>585</v>
      </c>
      <c r="G294" s="148"/>
      <c r="H294" s="136" t="s">
        <v>585</v>
      </c>
      <c r="I294" s="136" t="s">
        <v>585</v>
      </c>
    </row>
    <row r="295">
      <c r="A295" s="135"/>
      <c r="B295" s="136"/>
      <c r="C295" s="136"/>
      <c r="D295" s="136"/>
      <c r="E295" s="138"/>
      <c r="F295" s="148" t="s">
        <v>585</v>
      </c>
      <c r="G295" s="148"/>
      <c r="H295" s="136" t="s">
        <v>585</v>
      </c>
      <c r="I295" s="136" t="s">
        <v>585</v>
      </c>
    </row>
    <row r="296">
      <c r="A296" s="135"/>
      <c r="B296" s="136"/>
      <c r="C296" s="136"/>
      <c r="D296" s="136"/>
      <c r="E296" s="138"/>
      <c r="F296" s="148" t="s">
        <v>585</v>
      </c>
      <c r="G296" s="148"/>
      <c r="H296" s="136" t="s">
        <v>585</v>
      </c>
      <c r="I296" s="136" t="s">
        <v>585</v>
      </c>
    </row>
    <row r="297">
      <c r="A297" s="135"/>
      <c r="B297" s="136"/>
      <c r="C297" s="136"/>
      <c r="D297" s="136"/>
      <c r="E297" s="138"/>
      <c r="F297" s="148" t="s">
        <v>585</v>
      </c>
      <c r="G297" s="148"/>
      <c r="H297" s="136" t="s">
        <v>585</v>
      </c>
      <c r="I297" s="136" t="s">
        <v>585</v>
      </c>
    </row>
    <row r="298">
      <c r="A298" s="135"/>
      <c r="B298" s="136"/>
      <c r="C298" s="136"/>
      <c r="D298" s="136"/>
      <c r="E298" s="138"/>
      <c r="F298" s="148" t="s">
        <v>585</v>
      </c>
      <c r="G298" s="148"/>
      <c r="H298" s="136" t="s">
        <v>585</v>
      </c>
      <c r="I298" s="136" t="s">
        <v>585</v>
      </c>
    </row>
    <row r="299">
      <c r="A299" s="135"/>
      <c r="B299" s="136"/>
      <c r="C299" s="136"/>
      <c r="D299" s="136"/>
      <c r="E299" s="138"/>
      <c r="F299" s="148" t="s">
        <v>585</v>
      </c>
      <c r="G299" s="148"/>
      <c r="H299" s="136" t="s">
        <v>585</v>
      </c>
      <c r="I299" s="136" t="s">
        <v>585</v>
      </c>
    </row>
    <row r="300">
      <c r="A300" s="135"/>
      <c r="B300" s="136"/>
      <c r="C300" s="136"/>
      <c r="D300" s="136"/>
      <c r="E300" s="138"/>
      <c r="F300" s="148" t="s">
        <v>585</v>
      </c>
      <c r="G300" s="148"/>
      <c r="H300" s="136" t="s">
        <v>585</v>
      </c>
      <c r="I300" s="136" t="s">
        <v>585</v>
      </c>
    </row>
    <row r="301">
      <c r="A301" s="135"/>
      <c r="B301" s="136"/>
      <c r="C301" s="136"/>
      <c r="D301" s="136"/>
      <c r="E301" s="138"/>
      <c r="F301" s="148" t="s">
        <v>585</v>
      </c>
      <c r="G301" s="148"/>
      <c r="H301" s="136" t="s">
        <v>585</v>
      </c>
      <c r="I301" s="136" t="s">
        <v>585</v>
      </c>
    </row>
    <row r="302">
      <c r="A302" s="135"/>
      <c r="B302" s="136"/>
      <c r="C302" s="136"/>
      <c r="D302" s="136"/>
      <c r="E302" s="138"/>
      <c r="F302" s="148" t="s">
        <v>585</v>
      </c>
      <c r="G302" s="148"/>
      <c r="H302" s="136" t="s">
        <v>585</v>
      </c>
      <c r="I302" s="136" t="s">
        <v>585</v>
      </c>
    </row>
    <row r="303">
      <c r="A303" s="135"/>
      <c r="B303" s="136"/>
      <c r="C303" s="136"/>
      <c r="D303" s="136"/>
      <c r="E303" s="138"/>
      <c r="F303" s="148" t="s">
        <v>585</v>
      </c>
      <c r="G303" s="148"/>
      <c r="H303" s="136" t="s">
        <v>585</v>
      </c>
      <c r="I303" s="136" t="s">
        <v>585</v>
      </c>
    </row>
    <row r="304">
      <c r="A304" s="135"/>
      <c r="B304" s="136"/>
      <c r="C304" s="136"/>
      <c r="D304" s="136"/>
      <c r="E304" s="138"/>
      <c r="F304" s="148" t="s">
        <v>585</v>
      </c>
      <c r="G304" s="148"/>
      <c r="H304" s="136" t="s">
        <v>585</v>
      </c>
      <c r="I304" s="136" t="s">
        <v>585</v>
      </c>
    </row>
    <row r="305">
      <c r="A305" s="135"/>
      <c r="B305" s="136"/>
      <c r="C305" s="136"/>
      <c r="D305" s="136"/>
      <c r="E305" s="138"/>
      <c r="F305" s="148" t="s">
        <v>585</v>
      </c>
      <c r="G305" s="148"/>
      <c r="H305" s="136" t="s">
        <v>585</v>
      </c>
      <c r="I305" s="136" t="s">
        <v>585</v>
      </c>
    </row>
    <row r="306">
      <c r="A306" s="135"/>
      <c r="B306" s="136"/>
      <c r="C306" s="136"/>
      <c r="D306" s="136"/>
      <c r="E306" s="138"/>
      <c r="F306" s="148" t="s">
        <v>585</v>
      </c>
      <c r="G306" s="148"/>
      <c r="H306" s="136" t="s">
        <v>585</v>
      </c>
      <c r="I306" s="136" t="s">
        <v>585</v>
      </c>
    </row>
    <row r="307">
      <c r="A307" s="135"/>
      <c r="B307" s="136"/>
      <c r="C307" s="136"/>
      <c r="D307" s="136"/>
      <c r="E307" s="138"/>
      <c r="F307" s="148" t="s">
        <v>585</v>
      </c>
      <c r="G307" s="148"/>
      <c r="H307" s="136" t="s">
        <v>585</v>
      </c>
      <c r="I307" s="136" t="s">
        <v>585</v>
      </c>
    </row>
    <row r="308">
      <c r="A308" s="135"/>
      <c r="B308" s="136"/>
      <c r="C308" s="136"/>
      <c r="D308" s="136"/>
      <c r="E308" s="138"/>
      <c r="F308" s="148" t="s">
        <v>585</v>
      </c>
      <c r="G308" s="148"/>
      <c r="H308" s="136" t="s">
        <v>585</v>
      </c>
      <c r="I308" s="136" t="s">
        <v>585</v>
      </c>
    </row>
    <row r="309">
      <c r="A309" s="135"/>
      <c r="B309" s="136"/>
      <c r="C309" s="136"/>
      <c r="D309" s="136"/>
      <c r="E309" s="138"/>
      <c r="F309" s="148" t="s">
        <v>585</v>
      </c>
      <c r="G309" s="148"/>
      <c r="H309" s="136" t="s">
        <v>585</v>
      </c>
      <c r="I309" s="136" t="s">
        <v>585</v>
      </c>
    </row>
    <row r="310">
      <c r="A310" s="135"/>
      <c r="B310" s="136"/>
      <c r="C310" s="136"/>
      <c r="D310" s="136"/>
      <c r="E310" s="138"/>
      <c r="F310" s="148" t="s">
        <v>585</v>
      </c>
      <c r="G310" s="148"/>
      <c r="H310" s="136" t="s">
        <v>585</v>
      </c>
      <c r="I310" s="136" t="s">
        <v>585</v>
      </c>
    </row>
    <row r="311">
      <c r="A311" s="135"/>
      <c r="B311" s="136"/>
      <c r="C311" s="136"/>
      <c r="D311" s="136"/>
      <c r="E311" s="138"/>
      <c r="F311" s="148" t="s">
        <v>585</v>
      </c>
      <c r="G311" s="148"/>
      <c r="H311" s="136" t="s">
        <v>585</v>
      </c>
      <c r="I311" s="136" t="s">
        <v>585</v>
      </c>
    </row>
    <row r="312">
      <c r="A312" s="135"/>
      <c r="B312" s="136"/>
      <c r="C312" s="136"/>
      <c r="D312" s="136"/>
      <c r="E312" s="138"/>
      <c r="F312" s="148" t="s">
        <v>585</v>
      </c>
      <c r="G312" s="148"/>
      <c r="H312" s="136" t="s">
        <v>585</v>
      </c>
      <c r="I312" s="136" t="s">
        <v>585</v>
      </c>
    </row>
    <row r="313">
      <c r="A313" s="135"/>
      <c r="B313" s="136"/>
      <c r="C313" s="136"/>
      <c r="D313" s="136"/>
      <c r="E313" s="138"/>
      <c r="F313" s="148" t="s">
        <v>585</v>
      </c>
      <c r="G313" s="148"/>
      <c r="H313" s="136" t="s">
        <v>585</v>
      </c>
      <c r="I313" s="136" t="s">
        <v>585</v>
      </c>
    </row>
    <row r="314">
      <c r="A314" s="135"/>
      <c r="B314" s="136"/>
      <c r="C314" s="136"/>
      <c r="D314" s="136"/>
      <c r="E314" s="138"/>
      <c r="F314" s="148" t="s">
        <v>585</v>
      </c>
      <c r="G314" s="148"/>
      <c r="H314" s="136" t="s">
        <v>585</v>
      </c>
      <c r="I314" s="136" t="s">
        <v>585</v>
      </c>
    </row>
    <row r="315">
      <c r="A315" s="135"/>
      <c r="B315" s="136"/>
      <c r="C315" s="136"/>
      <c r="D315" s="136"/>
      <c r="E315" s="138"/>
      <c r="F315" s="148" t="s">
        <v>585</v>
      </c>
      <c r="G315" s="148"/>
      <c r="H315" s="136" t="s">
        <v>585</v>
      </c>
      <c r="I315" s="136" t="s">
        <v>585</v>
      </c>
    </row>
    <row r="316">
      <c r="A316" s="135"/>
      <c r="B316" s="136"/>
      <c r="C316" s="136"/>
      <c r="D316" s="136"/>
      <c r="E316" s="138"/>
      <c r="F316" s="148" t="s">
        <v>585</v>
      </c>
      <c r="G316" s="148"/>
      <c r="H316" s="136" t="s">
        <v>585</v>
      </c>
      <c r="I316" s="136" t="s">
        <v>585</v>
      </c>
    </row>
    <row r="317">
      <c r="A317" s="135"/>
      <c r="B317" s="136"/>
      <c r="C317" s="136"/>
      <c r="D317" s="136"/>
      <c r="E317" s="138"/>
      <c r="F317" s="148" t="s">
        <v>585</v>
      </c>
      <c r="G317" s="148"/>
      <c r="H317" s="136" t="s">
        <v>585</v>
      </c>
      <c r="I317" s="136" t="s">
        <v>585</v>
      </c>
    </row>
    <row r="318">
      <c r="A318" s="135"/>
      <c r="B318" s="136"/>
      <c r="C318" s="136"/>
      <c r="D318" s="136"/>
      <c r="E318" s="138"/>
      <c r="F318" s="148" t="s">
        <v>585</v>
      </c>
      <c r="G318" s="148"/>
      <c r="H318" s="136" t="s">
        <v>585</v>
      </c>
      <c r="I318" s="136" t="s">
        <v>585</v>
      </c>
    </row>
    <row r="319">
      <c r="A319" s="135"/>
      <c r="B319" s="136"/>
      <c r="C319" s="136"/>
      <c r="D319" s="136"/>
      <c r="E319" s="138"/>
      <c r="F319" s="148" t="s">
        <v>585</v>
      </c>
      <c r="G319" s="148"/>
      <c r="H319" s="136" t="s">
        <v>585</v>
      </c>
      <c r="I319" s="136" t="s">
        <v>585</v>
      </c>
    </row>
    <row r="320">
      <c r="A320" s="135"/>
      <c r="B320" s="136"/>
      <c r="C320" s="136"/>
      <c r="D320" s="136"/>
      <c r="E320" s="138"/>
      <c r="F320" s="148" t="s">
        <v>585</v>
      </c>
      <c r="G320" s="148"/>
      <c r="H320" s="136" t="s">
        <v>585</v>
      </c>
      <c r="I320" s="136" t="s">
        <v>585</v>
      </c>
    </row>
    <row r="321">
      <c r="A321" s="135"/>
      <c r="B321" s="136"/>
      <c r="C321" s="136"/>
      <c r="D321" s="136"/>
      <c r="E321" s="138"/>
      <c r="F321" s="148" t="s">
        <v>585</v>
      </c>
      <c r="G321" s="148"/>
      <c r="H321" s="136" t="s">
        <v>585</v>
      </c>
      <c r="I321" s="136" t="s">
        <v>585</v>
      </c>
    </row>
    <row r="322">
      <c r="A322" s="135"/>
      <c r="B322" s="136"/>
      <c r="C322" s="136"/>
      <c r="D322" s="136"/>
      <c r="E322" s="138"/>
      <c r="F322" s="148" t="s">
        <v>585</v>
      </c>
      <c r="G322" s="148"/>
      <c r="H322" s="136" t="s">
        <v>585</v>
      </c>
      <c r="I322" s="136" t="s">
        <v>585</v>
      </c>
    </row>
    <row r="323">
      <c r="A323" s="135"/>
      <c r="B323" s="136"/>
      <c r="C323" s="136"/>
      <c r="D323" s="136"/>
      <c r="E323" s="138"/>
      <c r="F323" s="148" t="s">
        <v>585</v>
      </c>
      <c r="G323" s="148"/>
      <c r="H323" s="136" t="s">
        <v>585</v>
      </c>
      <c r="I323" s="136" t="s">
        <v>585</v>
      </c>
    </row>
    <row r="324">
      <c r="A324" s="135"/>
      <c r="B324" s="136"/>
      <c r="C324" s="136"/>
      <c r="D324" s="136"/>
      <c r="E324" s="138"/>
      <c r="F324" s="148" t="s">
        <v>585</v>
      </c>
      <c r="G324" s="148"/>
      <c r="H324" s="136" t="s">
        <v>585</v>
      </c>
      <c r="I324" s="136" t="s">
        <v>585</v>
      </c>
    </row>
    <row r="325">
      <c r="A325" s="135"/>
      <c r="B325" s="136"/>
      <c r="C325" s="136"/>
      <c r="D325" s="136"/>
      <c r="E325" s="138"/>
      <c r="F325" s="148" t="s">
        <v>585</v>
      </c>
      <c r="G325" s="148"/>
      <c r="H325" s="136" t="s">
        <v>585</v>
      </c>
      <c r="I325" s="136" t="s">
        <v>585</v>
      </c>
    </row>
    <row r="326">
      <c r="A326" s="135"/>
      <c r="B326" s="136"/>
      <c r="C326" s="136"/>
      <c r="D326" s="136"/>
      <c r="E326" s="138"/>
      <c r="F326" s="148" t="s">
        <v>585</v>
      </c>
      <c r="G326" s="148"/>
      <c r="H326" s="136" t="s">
        <v>585</v>
      </c>
      <c r="I326" s="136" t="s">
        <v>585</v>
      </c>
    </row>
    <row r="327">
      <c r="A327" s="135"/>
      <c r="B327" s="136"/>
      <c r="C327" s="136"/>
      <c r="D327" s="136"/>
      <c r="E327" s="138"/>
      <c r="F327" s="148" t="s">
        <v>585</v>
      </c>
      <c r="G327" s="148"/>
      <c r="H327" s="136" t="s">
        <v>585</v>
      </c>
      <c r="I327" s="136" t="s">
        <v>585</v>
      </c>
    </row>
    <row r="328">
      <c r="A328" s="135"/>
      <c r="B328" s="136"/>
      <c r="C328" s="136"/>
      <c r="D328" s="136"/>
      <c r="E328" s="138"/>
      <c r="F328" s="148" t="s">
        <v>585</v>
      </c>
      <c r="G328" s="148"/>
      <c r="H328" s="136" t="s">
        <v>585</v>
      </c>
      <c r="I328" s="136" t="s">
        <v>585</v>
      </c>
    </row>
    <row r="329">
      <c r="A329" s="135"/>
      <c r="B329" s="136"/>
      <c r="C329" s="136"/>
      <c r="D329" s="136"/>
      <c r="E329" s="138"/>
      <c r="F329" s="148" t="s">
        <v>585</v>
      </c>
      <c r="G329" s="148"/>
      <c r="H329" s="136" t="s">
        <v>585</v>
      </c>
      <c r="I329" s="136" t="s">
        <v>585</v>
      </c>
    </row>
    <row r="330">
      <c r="A330" s="135"/>
      <c r="B330" s="136"/>
      <c r="C330" s="136"/>
      <c r="D330" s="136"/>
      <c r="E330" s="138"/>
      <c r="F330" s="148" t="s">
        <v>585</v>
      </c>
      <c r="G330" s="148"/>
      <c r="H330" s="136" t="s">
        <v>585</v>
      </c>
      <c r="I330" s="136" t="s">
        <v>585</v>
      </c>
    </row>
    <row r="331">
      <c r="A331" s="135"/>
      <c r="B331" s="136"/>
      <c r="C331" s="136"/>
      <c r="D331" s="136"/>
      <c r="E331" s="138"/>
      <c r="F331" s="148" t="s">
        <v>585</v>
      </c>
      <c r="G331" s="148"/>
      <c r="H331" s="136" t="s">
        <v>585</v>
      </c>
      <c r="I331" s="136" t="s">
        <v>585</v>
      </c>
    </row>
    <row r="332">
      <c r="A332" s="135"/>
      <c r="B332" s="136"/>
      <c r="C332" s="136"/>
      <c r="D332" s="136"/>
      <c r="E332" s="138"/>
      <c r="F332" s="148" t="s">
        <v>585</v>
      </c>
      <c r="G332" s="148"/>
      <c r="H332" s="136" t="s">
        <v>585</v>
      </c>
      <c r="I332" s="136" t="s">
        <v>585</v>
      </c>
    </row>
    <row r="333">
      <c r="A333" s="135"/>
      <c r="B333" s="136"/>
      <c r="C333" s="136"/>
      <c r="D333" s="136"/>
      <c r="E333" s="138"/>
      <c r="F333" s="148" t="s">
        <v>585</v>
      </c>
      <c r="G333" s="148"/>
      <c r="H333" s="136" t="s">
        <v>585</v>
      </c>
      <c r="I333" s="136" t="s">
        <v>585</v>
      </c>
    </row>
    <row r="334">
      <c r="A334" s="135"/>
      <c r="B334" s="136"/>
      <c r="C334" s="136"/>
      <c r="D334" s="136"/>
      <c r="E334" s="138"/>
      <c r="F334" s="148" t="s">
        <v>585</v>
      </c>
      <c r="G334" s="148"/>
      <c r="H334" s="136" t="s">
        <v>585</v>
      </c>
      <c r="I334" s="136" t="s">
        <v>585</v>
      </c>
    </row>
    <row r="335">
      <c r="A335" s="135"/>
      <c r="B335" s="136"/>
      <c r="C335" s="136"/>
      <c r="D335" s="136"/>
      <c r="E335" s="138"/>
      <c r="F335" s="148" t="s">
        <v>585</v>
      </c>
      <c r="G335" s="148"/>
      <c r="H335" s="136" t="s">
        <v>585</v>
      </c>
      <c r="I335" s="136" t="s">
        <v>585</v>
      </c>
    </row>
    <row r="336">
      <c r="A336" s="135"/>
      <c r="B336" s="136"/>
      <c r="C336" s="136"/>
      <c r="D336" s="136"/>
      <c r="E336" s="138"/>
      <c r="F336" s="148" t="s">
        <v>585</v>
      </c>
      <c r="G336" s="148"/>
      <c r="H336" s="136" t="s">
        <v>585</v>
      </c>
      <c r="I336" s="136" t="s">
        <v>585</v>
      </c>
    </row>
    <row r="337">
      <c r="A337" s="135"/>
      <c r="B337" s="136"/>
      <c r="C337" s="136"/>
      <c r="D337" s="136"/>
      <c r="E337" s="138"/>
      <c r="F337" s="148" t="s">
        <v>585</v>
      </c>
      <c r="G337" s="148"/>
      <c r="H337" s="136" t="s">
        <v>585</v>
      </c>
      <c r="I337" s="136" t="s">
        <v>585</v>
      </c>
    </row>
    <row r="338">
      <c r="A338" s="135"/>
      <c r="B338" s="136"/>
      <c r="C338" s="136"/>
      <c r="D338" s="136"/>
      <c r="E338" s="138"/>
      <c r="F338" s="148" t="s">
        <v>585</v>
      </c>
      <c r="G338" s="148"/>
      <c r="H338" s="136" t="s">
        <v>585</v>
      </c>
      <c r="I338" s="136" t="s">
        <v>585</v>
      </c>
    </row>
    <row r="339">
      <c r="A339" s="135"/>
      <c r="B339" s="136"/>
      <c r="C339" s="136"/>
      <c r="D339" s="136"/>
      <c r="E339" s="138"/>
      <c r="F339" s="148" t="s">
        <v>585</v>
      </c>
      <c r="G339" s="148"/>
      <c r="H339" s="136" t="s">
        <v>585</v>
      </c>
      <c r="I339" s="136" t="s">
        <v>585</v>
      </c>
    </row>
    <row r="340">
      <c r="A340" s="135"/>
      <c r="B340" s="136"/>
      <c r="C340" s="136"/>
      <c r="D340" s="136"/>
      <c r="E340" s="138"/>
      <c r="F340" s="148" t="s">
        <v>585</v>
      </c>
      <c r="G340" s="148"/>
      <c r="H340" s="136" t="s">
        <v>585</v>
      </c>
      <c r="I340" s="136" t="s">
        <v>585</v>
      </c>
    </row>
    <row r="341">
      <c r="A341" s="135"/>
      <c r="B341" s="136"/>
      <c r="C341" s="136"/>
      <c r="D341" s="136"/>
      <c r="E341" s="138"/>
      <c r="F341" s="148" t="s">
        <v>585</v>
      </c>
      <c r="G341" s="148"/>
      <c r="H341" s="136" t="s">
        <v>585</v>
      </c>
      <c r="I341" s="136" t="s">
        <v>585</v>
      </c>
    </row>
    <row r="342">
      <c r="A342" s="135"/>
      <c r="B342" s="136"/>
      <c r="C342" s="136"/>
      <c r="D342" s="136"/>
      <c r="E342" s="138"/>
      <c r="F342" s="148" t="s">
        <v>585</v>
      </c>
      <c r="G342" s="148"/>
      <c r="H342" s="136" t="s">
        <v>585</v>
      </c>
      <c r="I342" s="136" t="s">
        <v>585</v>
      </c>
    </row>
    <row r="343">
      <c r="A343" s="135"/>
      <c r="B343" s="136"/>
      <c r="C343" s="136"/>
      <c r="D343" s="136"/>
      <c r="E343" s="138"/>
      <c r="F343" s="148" t="s">
        <v>585</v>
      </c>
      <c r="G343" s="148"/>
      <c r="H343" s="136" t="s">
        <v>585</v>
      </c>
      <c r="I343" s="136" t="s">
        <v>585</v>
      </c>
    </row>
    <row r="344">
      <c r="A344" s="135"/>
      <c r="B344" s="136"/>
      <c r="C344" s="136"/>
      <c r="D344" s="136"/>
      <c r="E344" s="138"/>
      <c r="F344" s="148" t="s">
        <v>585</v>
      </c>
      <c r="G344" s="148"/>
      <c r="H344" s="136" t="s">
        <v>585</v>
      </c>
      <c r="I344" s="136" t="s">
        <v>585</v>
      </c>
    </row>
    <row r="345">
      <c r="A345" s="135"/>
      <c r="B345" s="136"/>
      <c r="C345" s="136"/>
      <c r="D345" s="136"/>
      <c r="E345" s="138"/>
      <c r="F345" s="148" t="s">
        <v>585</v>
      </c>
      <c r="G345" s="148"/>
      <c r="H345" s="136" t="s">
        <v>585</v>
      </c>
      <c r="I345" s="136" t="s">
        <v>585</v>
      </c>
    </row>
    <row r="346">
      <c r="A346" s="135"/>
      <c r="B346" s="136"/>
      <c r="C346" s="136"/>
      <c r="D346" s="136"/>
      <c r="E346" s="138"/>
      <c r="F346" s="148" t="s">
        <v>585</v>
      </c>
      <c r="G346" s="148"/>
      <c r="H346" s="136" t="s">
        <v>585</v>
      </c>
      <c r="I346" s="136" t="s">
        <v>585</v>
      </c>
    </row>
    <row r="347">
      <c r="A347" s="135"/>
      <c r="B347" s="136"/>
      <c r="C347" s="136"/>
      <c r="D347" s="136"/>
      <c r="E347" s="138"/>
      <c r="F347" s="148" t="s">
        <v>585</v>
      </c>
      <c r="G347" s="148"/>
      <c r="H347" s="136" t="s">
        <v>585</v>
      </c>
      <c r="I347" s="136" t="s">
        <v>585</v>
      </c>
    </row>
    <row r="348">
      <c r="A348" s="135"/>
      <c r="B348" s="136"/>
      <c r="C348" s="136"/>
      <c r="D348" s="136"/>
      <c r="E348" s="138"/>
      <c r="F348" s="148" t="s">
        <v>585</v>
      </c>
      <c r="G348" s="148"/>
      <c r="H348" s="136" t="s">
        <v>585</v>
      </c>
      <c r="I348" s="136" t="s">
        <v>585</v>
      </c>
    </row>
    <row r="349">
      <c r="A349" s="135"/>
      <c r="B349" s="136"/>
      <c r="C349" s="136"/>
      <c r="D349" s="136"/>
      <c r="E349" s="138"/>
      <c r="F349" s="148" t="s">
        <v>585</v>
      </c>
      <c r="G349" s="148"/>
      <c r="H349" s="136" t="s">
        <v>585</v>
      </c>
      <c r="I349" s="136" t="s">
        <v>585</v>
      </c>
    </row>
    <row r="350">
      <c r="A350" s="135"/>
      <c r="B350" s="136"/>
      <c r="C350" s="136"/>
      <c r="D350" s="136"/>
      <c r="E350" s="138"/>
      <c r="F350" s="148" t="s">
        <v>585</v>
      </c>
      <c r="G350" s="148"/>
      <c r="H350" s="136" t="s">
        <v>585</v>
      </c>
      <c r="I350" s="136" t="s">
        <v>585</v>
      </c>
    </row>
    <row r="351">
      <c r="A351" s="135"/>
      <c r="B351" s="136"/>
      <c r="C351" s="136"/>
      <c r="D351" s="136"/>
      <c r="E351" s="138"/>
      <c r="F351" s="148" t="s">
        <v>585</v>
      </c>
      <c r="G351" s="148"/>
      <c r="H351" s="136" t="s">
        <v>585</v>
      </c>
      <c r="I351" s="136" t="s">
        <v>585</v>
      </c>
    </row>
    <row r="352">
      <c r="A352" s="135"/>
      <c r="B352" s="136"/>
      <c r="C352" s="136"/>
      <c r="D352" s="136"/>
      <c r="E352" s="138"/>
      <c r="F352" s="148" t="s">
        <v>585</v>
      </c>
      <c r="G352" s="148"/>
      <c r="H352" s="136" t="s">
        <v>585</v>
      </c>
      <c r="I352" s="136" t="s">
        <v>585</v>
      </c>
    </row>
    <row r="353">
      <c r="A353" s="135"/>
      <c r="B353" s="136"/>
      <c r="C353" s="136"/>
      <c r="D353" s="136"/>
      <c r="E353" s="138"/>
      <c r="F353" s="148" t="s">
        <v>585</v>
      </c>
      <c r="G353" s="148"/>
      <c r="H353" s="136" t="s">
        <v>585</v>
      </c>
      <c r="I353" s="136" t="s">
        <v>585</v>
      </c>
    </row>
    <row r="354">
      <c r="A354" s="135"/>
      <c r="B354" s="136"/>
      <c r="C354" s="136"/>
      <c r="D354" s="136"/>
      <c r="E354" s="138"/>
      <c r="F354" s="148" t="s">
        <v>585</v>
      </c>
      <c r="G354" s="148"/>
      <c r="H354" s="136" t="s">
        <v>585</v>
      </c>
      <c r="I354" s="136" t="s">
        <v>585</v>
      </c>
    </row>
    <row r="355">
      <c r="A355" s="135"/>
      <c r="B355" s="136"/>
      <c r="C355" s="136"/>
      <c r="D355" s="136"/>
      <c r="E355" s="138"/>
      <c r="F355" s="148" t="s">
        <v>585</v>
      </c>
      <c r="G355" s="148"/>
      <c r="H355" s="136" t="s">
        <v>585</v>
      </c>
      <c r="I355" s="136" t="s">
        <v>585</v>
      </c>
    </row>
    <row r="356">
      <c r="A356" s="135"/>
      <c r="B356" s="136"/>
      <c r="C356" s="136"/>
      <c r="D356" s="136"/>
      <c r="E356" s="138"/>
      <c r="F356" s="148" t="s">
        <v>585</v>
      </c>
      <c r="G356" s="148"/>
      <c r="H356" s="136" t="s">
        <v>585</v>
      </c>
      <c r="I356" s="136" t="s">
        <v>585</v>
      </c>
    </row>
    <row r="357">
      <c r="A357" s="135"/>
      <c r="B357" s="136"/>
      <c r="C357" s="136"/>
      <c r="D357" s="136"/>
      <c r="E357" s="138"/>
      <c r="F357" s="148" t="s">
        <v>585</v>
      </c>
      <c r="G357" s="148"/>
      <c r="H357" s="136" t="s">
        <v>585</v>
      </c>
      <c r="I357" s="136" t="s">
        <v>585</v>
      </c>
    </row>
    <row r="358">
      <c r="A358" s="135"/>
      <c r="B358" s="136"/>
      <c r="C358" s="136"/>
      <c r="D358" s="136"/>
      <c r="E358" s="138"/>
      <c r="F358" s="148" t="s">
        <v>585</v>
      </c>
      <c r="G358" s="148"/>
      <c r="H358" s="136" t="s">
        <v>585</v>
      </c>
      <c r="I358" s="136" t="s">
        <v>585</v>
      </c>
    </row>
    <row r="359">
      <c r="A359" s="135"/>
      <c r="B359" s="136"/>
      <c r="C359" s="136"/>
      <c r="D359" s="136"/>
      <c r="E359" s="138"/>
      <c r="F359" s="148" t="s">
        <v>585</v>
      </c>
      <c r="G359" s="148"/>
      <c r="H359" s="136" t="s">
        <v>585</v>
      </c>
      <c r="I359" s="136" t="s">
        <v>585</v>
      </c>
    </row>
    <row r="360">
      <c r="A360" s="135"/>
      <c r="B360" s="136"/>
      <c r="C360" s="136"/>
      <c r="D360" s="136"/>
      <c r="E360" s="138"/>
      <c r="F360" s="148" t="s">
        <v>585</v>
      </c>
      <c r="G360" s="148"/>
      <c r="H360" s="136" t="s">
        <v>585</v>
      </c>
      <c r="I360" s="136" t="s">
        <v>585</v>
      </c>
    </row>
    <row r="361">
      <c r="A361" s="135"/>
      <c r="B361" s="136"/>
      <c r="C361" s="136"/>
      <c r="D361" s="136"/>
      <c r="E361" s="138"/>
      <c r="F361" s="148" t="s">
        <v>585</v>
      </c>
      <c r="G361" s="148"/>
      <c r="H361" s="136" t="s">
        <v>585</v>
      </c>
      <c r="I361" s="136" t="s">
        <v>585</v>
      </c>
    </row>
    <row r="362">
      <c r="A362" s="135"/>
      <c r="B362" s="136"/>
      <c r="C362" s="136"/>
      <c r="D362" s="136"/>
      <c r="E362" s="138"/>
      <c r="F362" s="148" t="s">
        <v>585</v>
      </c>
      <c r="G362" s="148"/>
      <c r="H362" s="136" t="s">
        <v>585</v>
      </c>
      <c r="I362" s="136" t="s">
        <v>585</v>
      </c>
    </row>
    <row r="363">
      <c r="A363" s="135"/>
      <c r="B363" s="136"/>
      <c r="C363" s="136"/>
      <c r="D363" s="136"/>
      <c r="E363" s="138"/>
      <c r="F363" s="148" t="s">
        <v>585</v>
      </c>
      <c r="G363" s="148"/>
      <c r="H363" s="136" t="s">
        <v>585</v>
      </c>
      <c r="I363" s="136" t="s">
        <v>585</v>
      </c>
    </row>
    <row r="364">
      <c r="A364" s="135"/>
      <c r="B364" s="136"/>
      <c r="C364" s="136"/>
      <c r="D364" s="136"/>
      <c r="E364" s="138"/>
      <c r="F364" s="148" t="s">
        <v>585</v>
      </c>
      <c r="G364" s="148"/>
      <c r="H364" s="136" t="s">
        <v>585</v>
      </c>
      <c r="I364" s="136" t="s">
        <v>585</v>
      </c>
    </row>
    <row r="365">
      <c r="A365" s="135"/>
      <c r="B365" s="136"/>
      <c r="C365" s="136"/>
      <c r="D365" s="136"/>
      <c r="E365" s="138"/>
      <c r="F365" s="148" t="s">
        <v>585</v>
      </c>
      <c r="G365" s="148"/>
      <c r="H365" s="136" t="s">
        <v>585</v>
      </c>
      <c r="I365" s="136" t="s">
        <v>585</v>
      </c>
    </row>
    <row r="366">
      <c r="A366" s="135"/>
      <c r="B366" s="136"/>
      <c r="C366" s="136"/>
      <c r="D366" s="136"/>
      <c r="E366" s="138"/>
      <c r="F366" s="148" t="s">
        <v>585</v>
      </c>
      <c r="G366" s="148"/>
      <c r="H366" s="136" t="s">
        <v>585</v>
      </c>
      <c r="I366" s="136" t="s">
        <v>585</v>
      </c>
    </row>
    <row r="367">
      <c r="A367" s="135"/>
      <c r="B367" s="136"/>
      <c r="C367" s="136"/>
      <c r="D367" s="136"/>
      <c r="E367" s="138"/>
      <c r="F367" s="148" t="s">
        <v>585</v>
      </c>
      <c r="G367" s="148"/>
      <c r="H367" s="136" t="s">
        <v>585</v>
      </c>
      <c r="I367" s="136" t="s">
        <v>585</v>
      </c>
    </row>
    <row r="368">
      <c r="A368" s="135"/>
      <c r="B368" s="136"/>
      <c r="C368" s="136"/>
      <c r="D368" s="136"/>
      <c r="E368" s="138"/>
      <c r="F368" s="148" t="s">
        <v>585</v>
      </c>
      <c r="G368" s="148"/>
      <c r="H368" s="136" t="s">
        <v>585</v>
      </c>
      <c r="I368" s="136" t="s">
        <v>585</v>
      </c>
    </row>
    <row r="369">
      <c r="A369" s="135"/>
      <c r="B369" s="136"/>
      <c r="C369" s="136"/>
      <c r="D369" s="136"/>
      <c r="E369" s="138"/>
      <c r="F369" s="148" t="s">
        <v>585</v>
      </c>
      <c r="G369" s="148"/>
      <c r="H369" s="136" t="s">
        <v>585</v>
      </c>
      <c r="I369" s="136" t="s">
        <v>585</v>
      </c>
    </row>
    <row r="370">
      <c r="A370" s="135"/>
      <c r="B370" s="136"/>
      <c r="C370" s="136"/>
      <c r="D370" s="136"/>
      <c r="E370" s="138"/>
      <c r="F370" s="148" t="s">
        <v>585</v>
      </c>
      <c r="G370" s="148"/>
      <c r="H370" s="136" t="s">
        <v>585</v>
      </c>
      <c r="I370" s="136" t="s">
        <v>585</v>
      </c>
    </row>
    <row r="371">
      <c r="A371" s="135"/>
      <c r="B371" s="136"/>
      <c r="C371" s="136"/>
      <c r="D371" s="136"/>
      <c r="E371" s="138"/>
      <c r="F371" s="148" t="s">
        <v>585</v>
      </c>
      <c r="G371" s="148"/>
      <c r="H371" s="136" t="s">
        <v>585</v>
      </c>
      <c r="I371" s="136" t="s">
        <v>585</v>
      </c>
    </row>
    <row r="372">
      <c r="A372" s="135"/>
      <c r="B372" s="136"/>
      <c r="C372" s="136"/>
      <c r="D372" s="136"/>
      <c r="E372" s="138"/>
      <c r="F372" s="148" t="s">
        <v>585</v>
      </c>
      <c r="G372" s="148"/>
      <c r="H372" s="136" t="s">
        <v>585</v>
      </c>
      <c r="I372" s="136" t="s">
        <v>585</v>
      </c>
    </row>
    <row r="373">
      <c r="A373" s="135"/>
      <c r="B373" s="136"/>
      <c r="C373" s="136"/>
      <c r="D373" s="136"/>
      <c r="E373" s="138"/>
      <c r="F373" s="148" t="s">
        <v>585</v>
      </c>
      <c r="G373" s="148"/>
      <c r="H373" s="136" t="s">
        <v>585</v>
      </c>
      <c r="I373" s="136" t="s">
        <v>585</v>
      </c>
    </row>
    <row r="374">
      <c r="A374" s="135"/>
      <c r="B374" s="136"/>
      <c r="C374" s="136"/>
      <c r="D374" s="136"/>
      <c r="E374" s="138"/>
      <c r="F374" s="148" t="s">
        <v>585</v>
      </c>
      <c r="G374" s="148"/>
      <c r="H374" s="136" t="s">
        <v>585</v>
      </c>
      <c r="I374" s="136" t="s">
        <v>585</v>
      </c>
    </row>
    <row r="375">
      <c r="A375" s="135"/>
      <c r="B375" s="136"/>
      <c r="C375" s="136"/>
      <c r="D375" s="136"/>
      <c r="E375" s="138"/>
      <c r="F375" s="148" t="s">
        <v>585</v>
      </c>
      <c r="G375" s="148"/>
      <c r="H375" s="136" t="s">
        <v>585</v>
      </c>
      <c r="I375" s="136" t="s">
        <v>585</v>
      </c>
    </row>
    <row r="376">
      <c r="A376" s="135"/>
      <c r="B376" s="136"/>
      <c r="C376" s="136"/>
      <c r="D376" s="136"/>
      <c r="E376" s="138"/>
      <c r="F376" s="148" t="s">
        <v>585</v>
      </c>
      <c r="G376" s="148"/>
      <c r="H376" s="136" t="s">
        <v>585</v>
      </c>
      <c r="I376" s="136" t="s">
        <v>585</v>
      </c>
    </row>
    <row r="377">
      <c r="A377" s="135"/>
      <c r="B377" s="136"/>
      <c r="C377" s="136"/>
      <c r="D377" s="136"/>
      <c r="E377" s="138"/>
      <c r="F377" s="148" t="s">
        <v>585</v>
      </c>
      <c r="G377" s="148"/>
      <c r="H377" s="136" t="s">
        <v>585</v>
      </c>
      <c r="I377" s="136" t="s">
        <v>585</v>
      </c>
    </row>
    <row r="378">
      <c r="A378" s="135"/>
      <c r="B378" s="136"/>
      <c r="C378" s="136"/>
      <c r="D378" s="136"/>
      <c r="E378" s="138"/>
      <c r="F378" s="148" t="s">
        <v>585</v>
      </c>
      <c r="G378" s="148"/>
      <c r="H378" s="136" t="s">
        <v>585</v>
      </c>
      <c r="I378" s="136" t="s">
        <v>585</v>
      </c>
    </row>
    <row r="379">
      <c r="A379" s="135"/>
      <c r="B379" s="136"/>
      <c r="C379" s="136"/>
      <c r="D379" s="136"/>
      <c r="E379" s="138"/>
      <c r="F379" s="148" t="s">
        <v>585</v>
      </c>
      <c r="G379" s="148"/>
      <c r="H379" s="136" t="s">
        <v>585</v>
      </c>
      <c r="I379" s="136" t="s">
        <v>585</v>
      </c>
    </row>
    <row r="380">
      <c r="A380" s="135"/>
      <c r="B380" s="136"/>
      <c r="C380" s="136"/>
      <c r="D380" s="136"/>
      <c r="E380" s="138"/>
      <c r="F380" s="148" t="s">
        <v>585</v>
      </c>
      <c r="G380" s="148"/>
      <c r="H380" s="136" t="s">
        <v>585</v>
      </c>
      <c r="I380" s="136" t="s">
        <v>585</v>
      </c>
    </row>
    <row r="381">
      <c r="A381" s="135"/>
      <c r="B381" s="136"/>
      <c r="C381" s="136"/>
      <c r="D381" s="136"/>
      <c r="E381" s="138"/>
      <c r="F381" s="148" t="s">
        <v>585</v>
      </c>
      <c r="G381" s="148"/>
      <c r="H381" s="136" t="s">
        <v>585</v>
      </c>
      <c r="I381" s="136" t="s">
        <v>585</v>
      </c>
    </row>
    <row r="382">
      <c r="A382" s="135"/>
      <c r="B382" s="136"/>
      <c r="C382" s="136"/>
      <c r="D382" s="136"/>
      <c r="E382" s="138"/>
      <c r="F382" s="148" t="s">
        <v>585</v>
      </c>
      <c r="G382" s="148"/>
      <c r="H382" s="136" t="s">
        <v>585</v>
      </c>
      <c r="I382" s="136" t="s">
        <v>585</v>
      </c>
    </row>
    <row r="383">
      <c r="A383" s="135"/>
      <c r="B383" s="136"/>
      <c r="C383" s="136"/>
      <c r="D383" s="136"/>
      <c r="E383" s="138"/>
      <c r="F383" s="148" t="s">
        <v>585</v>
      </c>
      <c r="G383" s="148"/>
      <c r="H383" s="136" t="s">
        <v>585</v>
      </c>
      <c r="I383" s="136" t="s">
        <v>585</v>
      </c>
    </row>
    <row r="384">
      <c r="A384" s="135"/>
      <c r="B384" s="136"/>
      <c r="C384" s="136"/>
      <c r="D384" s="136"/>
      <c r="E384" s="138"/>
      <c r="F384" s="148" t="s">
        <v>585</v>
      </c>
      <c r="G384" s="148"/>
      <c r="H384" s="136" t="s">
        <v>585</v>
      </c>
      <c r="I384" s="136" t="s">
        <v>585</v>
      </c>
    </row>
    <row r="385">
      <c r="A385" s="135"/>
      <c r="B385" s="136"/>
      <c r="C385" s="136"/>
      <c r="D385" s="136"/>
      <c r="E385" s="138"/>
      <c r="F385" s="148" t="s">
        <v>585</v>
      </c>
      <c r="G385" s="148"/>
      <c r="H385" s="136" t="s">
        <v>585</v>
      </c>
      <c r="I385" s="136" t="s">
        <v>585</v>
      </c>
    </row>
    <row r="386">
      <c r="A386" s="135"/>
      <c r="B386" s="136"/>
      <c r="C386" s="136"/>
      <c r="D386" s="136"/>
      <c r="E386" s="138"/>
      <c r="F386" s="148" t="s">
        <v>585</v>
      </c>
      <c r="G386" s="148"/>
      <c r="H386" s="136" t="s">
        <v>585</v>
      </c>
      <c r="I386" s="136" t="s">
        <v>585</v>
      </c>
    </row>
    <row r="387">
      <c r="A387" s="135"/>
      <c r="B387" s="136"/>
      <c r="C387" s="136"/>
      <c r="D387" s="136"/>
      <c r="E387" s="138"/>
      <c r="F387" s="148" t="s">
        <v>585</v>
      </c>
      <c r="G387" s="148"/>
      <c r="H387" s="136" t="s">
        <v>585</v>
      </c>
      <c r="I387" s="136" t="s">
        <v>585</v>
      </c>
    </row>
    <row r="388">
      <c r="A388" s="135"/>
      <c r="B388" s="136"/>
      <c r="C388" s="136"/>
      <c r="D388" s="136"/>
      <c r="E388" s="138"/>
      <c r="F388" s="148" t="s">
        <v>585</v>
      </c>
      <c r="G388" s="148"/>
      <c r="H388" s="136" t="s">
        <v>585</v>
      </c>
      <c r="I388" s="136" t="s">
        <v>585</v>
      </c>
    </row>
    <row r="389">
      <c r="A389" s="135"/>
      <c r="B389" s="136"/>
      <c r="C389" s="136"/>
      <c r="D389" s="136"/>
      <c r="E389" s="138"/>
      <c r="F389" s="148" t="s">
        <v>585</v>
      </c>
      <c r="G389" s="148"/>
      <c r="H389" s="136" t="s">
        <v>585</v>
      </c>
      <c r="I389" s="136" t="s">
        <v>585</v>
      </c>
    </row>
    <row r="390">
      <c r="A390" s="135"/>
      <c r="B390" s="136"/>
      <c r="C390" s="136"/>
      <c r="D390" s="136"/>
      <c r="E390" s="138"/>
      <c r="F390" s="148" t="s">
        <v>585</v>
      </c>
      <c r="G390" s="148"/>
      <c r="H390" s="136" t="s">
        <v>585</v>
      </c>
      <c r="I390" s="136" t="s">
        <v>585</v>
      </c>
    </row>
    <row r="391">
      <c r="A391" s="135"/>
      <c r="B391" s="136"/>
      <c r="C391" s="136"/>
      <c r="D391" s="136"/>
      <c r="E391" s="138"/>
      <c r="F391" s="148" t="s">
        <v>585</v>
      </c>
      <c r="G391" s="148"/>
      <c r="H391" s="136" t="s">
        <v>585</v>
      </c>
      <c r="I391" s="136" t="s">
        <v>585</v>
      </c>
    </row>
    <row r="392">
      <c r="A392" s="135"/>
      <c r="B392" s="136"/>
      <c r="C392" s="136"/>
      <c r="D392" s="136"/>
      <c r="E392" s="138"/>
      <c r="F392" s="148" t="s">
        <v>585</v>
      </c>
      <c r="G392" s="148"/>
      <c r="H392" s="136" t="s">
        <v>585</v>
      </c>
      <c r="I392" s="136" t="s">
        <v>585</v>
      </c>
    </row>
    <row r="393">
      <c r="A393" s="135"/>
      <c r="B393" s="136"/>
      <c r="C393" s="136"/>
      <c r="D393" s="136"/>
      <c r="E393" s="138"/>
      <c r="F393" s="148" t="s">
        <v>585</v>
      </c>
      <c r="G393" s="148"/>
      <c r="H393" s="136" t="s">
        <v>585</v>
      </c>
      <c r="I393" s="136" t="s">
        <v>585</v>
      </c>
    </row>
    <row r="394">
      <c r="A394" s="135"/>
      <c r="B394" s="136"/>
      <c r="C394" s="136"/>
      <c r="D394" s="136"/>
      <c r="E394" s="138"/>
      <c r="F394" s="148" t="s">
        <v>585</v>
      </c>
      <c r="G394" s="148"/>
      <c r="H394" s="136" t="s">
        <v>585</v>
      </c>
      <c r="I394" s="136" t="s">
        <v>585</v>
      </c>
    </row>
    <row r="395">
      <c r="A395" s="135"/>
      <c r="B395" s="136"/>
      <c r="C395" s="136"/>
      <c r="D395" s="136"/>
      <c r="E395" s="138"/>
      <c r="F395" s="148" t="s">
        <v>585</v>
      </c>
      <c r="G395" s="148"/>
      <c r="H395" s="136" t="s">
        <v>585</v>
      </c>
      <c r="I395" s="136" t="s">
        <v>585</v>
      </c>
    </row>
    <row r="396">
      <c r="A396" s="135"/>
      <c r="B396" s="136"/>
      <c r="C396" s="136"/>
      <c r="D396" s="136"/>
      <c r="E396" s="138"/>
      <c r="F396" s="148" t="s">
        <v>585</v>
      </c>
      <c r="G396" s="148"/>
      <c r="H396" s="136" t="s">
        <v>585</v>
      </c>
      <c r="I396" s="136" t="s">
        <v>585</v>
      </c>
    </row>
    <row r="397">
      <c r="A397" s="135"/>
      <c r="B397" s="136"/>
      <c r="C397" s="136"/>
      <c r="D397" s="136"/>
      <c r="E397" s="138"/>
      <c r="F397" s="148" t="s">
        <v>585</v>
      </c>
      <c r="G397" s="148"/>
      <c r="H397" s="136" t="s">
        <v>585</v>
      </c>
      <c r="I397" s="136" t="s">
        <v>585</v>
      </c>
    </row>
    <row r="398">
      <c r="A398" s="135"/>
      <c r="B398" s="136"/>
      <c r="C398" s="136"/>
      <c r="D398" s="136"/>
      <c r="E398" s="138"/>
      <c r="F398" s="148" t="s">
        <v>585</v>
      </c>
      <c r="G398" s="148"/>
      <c r="H398" s="136" t="s">
        <v>585</v>
      </c>
      <c r="I398" s="136" t="s">
        <v>585</v>
      </c>
    </row>
    <row r="399">
      <c r="A399" s="135"/>
      <c r="B399" s="136"/>
      <c r="C399" s="136"/>
      <c r="D399" s="136"/>
      <c r="E399" s="138"/>
      <c r="F399" s="148" t="s">
        <v>585</v>
      </c>
      <c r="G399" s="148"/>
      <c r="H399" s="136" t="s">
        <v>585</v>
      </c>
      <c r="I399" s="136" t="s">
        <v>585</v>
      </c>
    </row>
    <row r="400">
      <c r="A400" s="135"/>
      <c r="B400" s="136"/>
      <c r="C400" s="136"/>
      <c r="D400" s="136"/>
      <c r="E400" s="138"/>
      <c r="F400" s="148" t="s">
        <v>585</v>
      </c>
      <c r="G400" s="148"/>
      <c r="H400" s="136" t="s">
        <v>585</v>
      </c>
      <c r="I400" s="136" t="s">
        <v>585</v>
      </c>
    </row>
    <row r="401">
      <c r="A401" s="135"/>
      <c r="B401" s="136"/>
      <c r="C401" s="136"/>
      <c r="D401" s="136"/>
      <c r="E401" s="138"/>
      <c r="F401" s="148" t="s">
        <v>585</v>
      </c>
      <c r="G401" s="148"/>
      <c r="H401" s="136" t="s">
        <v>585</v>
      </c>
      <c r="I401" s="136" t="s">
        <v>585</v>
      </c>
    </row>
    <row r="402">
      <c r="A402" s="135"/>
      <c r="B402" s="136"/>
      <c r="C402" s="136"/>
      <c r="D402" s="136"/>
      <c r="E402" s="138"/>
      <c r="F402" s="148" t="s">
        <v>585</v>
      </c>
      <c r="G402" s="148"/>
      <c r="H402" s="136" t="s">
        <v>585</v>
      </c>
      <c r="I402" s="136" t="s">
        <v>585</v>
      </c>
    </row>
    <row r="403">
      <c r="A403" s="135"/>
      <c r="B403" s="136"/>
      <c r="C403" s="136"/>
      <c r="D403" s="136"/>
      <c r="E403" s="138"/>
      <c r="F403" s="148" t="s">
        <v>585</v>
      </c>
      <c r="G403" s="148"/>
      <c r="H403" s="136" t="s">
        <v>585</v>
      </c>
      <c r="I403" s="136" t="s">
        <v>585</v>
      </c>
    </row>
    <row r="404">
      <c r="A404" s="135"/>
      <c r="B404" s="136"/>
      <c r="C404" s="136"/>
      <c r="D404" s="136"/>
      <c r="E404" s="138"/>
      <c r="F404" s="148" t="s">
        <v>585</v>
      </c>
      <c r="G404" s="148"/>
      <c r="H404" s="136" t="s">
        <v>585</v>
      </c>
      <c r="I404" s="136" t="s">
        <v>585</v>
      </c>
    </row>
    <row r="405">
      <c r="A405" s="135"/>
      <c r="B405" s="136"/>
      <c r="C405" s="136"/>
      <c r="D405" s="136"/>
      <c r="E405" s="138"/>
      <c r="F405" s="148" t="s">
        <v>585</v>
      </c>
      <c r="G405" s="148"/>
      <c r="H405" s="136" t="s">
        <v>585</v>
      </c>
      <c r="I405" s="136" t="s">
        <v>585</v>
      </c>
    </row>
    <row r="406">
      <c r="A406" s="135"/>
      <c r="B406" s="136"/>
      <c r="C406" s="136"/>
      <c r="D406" s="136"/>
      <c r="E406" s="138"/>
      <c r="F406" s="148" t="s">
        <v>585</v>
      </c>
      <c r="G406" s="148"/>
      <c r="H406" s="136" t="s">
        <v>585</v>
      </c>
      <c r="I406" s="136" t="s">
        <v>585</v>
      </c>
    </row>
    <row r="407">
      <c r="A407" s="135"/>
      <c r="B407" s="136"/>
      <c r="C407" s="136"/>
      <c r="D407" s="136"/>
      <c r="E407" s="138"/>
      <c r="F407" s="148" t="s">
        <v>585</v>
      </c>
      <c r="G407" s="148"/>
      <c r="H407" s="136" t="s">
        <v>585</v>
      </c>
      <c r="I407" s="136" t="s">
        <v>585</v>
      </c>
    </row>
    <row r="408">
      <c r="A408" s="135"/>
      <c r="B408" s="136"/>
      <c r="C408" s="136"/>
      <c r="D408" s="136"/>
      <c r="E408" s="138"/>
      <c r="F408" s="148" t="s">
        <v>585</v>
      </c>
      <c r="G408" s="148"/>
      <c r="H408" s="136" t="s">
        <v>585</v>
      </c>
      <c r="I408" s="136" t="s">
        <v>585</v>
      </c>
    </row>
    <row r="409">
      <c r="A409" s="135"/>
      <c r="B409" s="136"/>
      <c r="C409" s="136"/>
      <c r="D409" s="136"/>
      <c r="E409" s="138"/>
      <c r="F409" s="148" t="s">
        <v>585</v>
      </c>
      <c r="G409" s="148"/>
      <c r="H409" s="136" t="s">
        <v>585</v>
      </c>
      <c r="I409" s="136" t="s">
        <v>585</v>
      </c>
    </row>
    <row r="410">
      <c r="A410" s="135"/>
      <c r="B410" s="136"/>
      <c r="C410" s="136"/>
      <c r="D410" s="136"/>
      <c r="E410" s="138"/>
      <c r="F410" s="148" t="s">
        <v>585</v>
      </c>
      <c r="G410" s="148"/>
      <c r="H410" s="136" t="s">
        <v>585</v>
      </c>
      <c r="I410" s="136" t="s">
        <v>585</v>
      </c>
    </row>
    <row r="411">
      <c r="A411" s="135"/>
      <c r="B411" s="136"/>
      <c r="C411" s="136"/>
      <c r="D411" s="136"/>
      <c r="E411" s="138"/>
      <c r="F411" s="148" t="s">
        <v>585</v>
      </c>
      <c r="G411" s="148"/>
      <c r="H411" s="136" t="s">
        <v>585</v>
      </c>
      <c r="I411" s="136" t="s">
        <v>585</v>
      </c>
    </row>
    <row r="412">
      <c r="A412" s="135"/>
      <c r="B412" s="136"/>
      <c r="C412" s="136"/>
      <c r="D412" s="136"/>
      <c r="E412" s="138"/>
      <c r="F412" s="148" t="s">
        <v>585</v>
      </c>
      <c r="G412" s="148"/>
      <c r="H412" s="136" t="s">
        <v>585</v>
      </c>
      <c r="I412" s="136" t="s">
        <v>585</v>
      </c>
    </row>
    <row r="413">
      <c r="A413" s="135"/>
      <c r="B413" s="136"/>
      <c r="C413" s="136"/>
      <c r="D413" s="136"/>
      <c r="E413" s="138"/>
      <c r="F413" s="148" t="s">
        <v>585</v>
      </c>
      <c r="G413" s="148"/>
      <c r="H413" s="136" t="s">
        <v>585</v>
      </c>
      <c r="I413" s="136" t="s">
        <v>585</v>
      </c>
    </row>
    <row r="414">
      <c r="A414" s="135"/>
      <c r="B414" s="136"/>
      <c r="C414" s="136"/>
      <c r="D414" s="136"/>
      <c r="E414" s="138"/>
      <c r="F414" s="148" t="s">
        <v>585</v>
      </c>
      <c r="G414" s="148"/>
      <c r="H414" s="136" t="s">
        <v>585</v>
      </c>
      <c r="I414" s="136" t="s">
        <v>585</v>
      </c>
    </row>
    <row r="415">
      <c r="A415" s="135"/>
      <c r="B415" s="136"/>
      <c r="C415" s="136"/>
      <c r="D415" s="136"/>
      <c r="E415" s="138"/>
      <c r="F415" s="148" t="s">
        <v>585</v>
      </c>
      <c r="G415" s="148"/>
      <c r="H415" s="136" t="s">
        <v>585</v>
      </c>
      <c r="I415" s="136" t="s">
        <v>585</v>
      </c>
    </row>
    <row r="416">
      <c r="A416" s="135"/>
      <c r="B416" s="136"/>
      <c r="C416" s="136"/>
      <c r="D416" s="136"/>
      <c r="E416" s="138"/>
      <c r="F416" s="148" t="s">
        <v>585</v>
      </c>
      <c r="G416" s="148"/>
      <c r="H416" s="136" t="s">
        <v>585</v>
      </c>
      <c r="I416" s="136" t="s">
        <v>585</v>
      </c>
    </row>
    <row r="417">
      <c r="A417" s="135"/>
      <c r="B417" s="136"/>
      <c r="C417" s="136"/>
      <c r="D417" s="136"/>
      <c r="E417" s="138"/>
      <c r="F417" s="148" t="s">
        <v>585</v>
      </c>
      <c r="G417" s="148"/>
      <c r="H417" s="136" t="s">
        <v>585</v>
      </c>
      <c r="I417" s="136" t="s">
        <v>585</v>
      </c>
    </row>
    <row r="418">
      <c r="A418" s="135"/>
      <c r="B418" s="136"/>
      <c r="C418" s="136"/>
      <c r="D418" s="136"/>
      <c r="E418" s="138"/>
      <c r="F418" s="148" t="s">
        <v>585</v>
      </c>
      <c r="G418" s="148"/>
      <c r="H418" s="136" t="s">
        <v>585</v>
      </c>
      <c r="I418" s="136" t="s">
        <v>585</v>
      </c>
    </row>
    <row r="419">
      <c r="A419" s="135"/>
      <c r="B419" s="136"/>
      <c r="C419" s="136"/>
      <c r="D419" s="136"/>
      <c r="E419" s="138"/>
      <c r="F419" s="148" t="s">
        <v>585</v>
      </c>
      <c r="G419" s="148"/>
      <c r="H419" s="136" t="s">
        <v>585</v>
      </c>
      <c r="I419" s="136" t="s">
        <v>585</v>
      </c>
    </row>
    <row r="420">
      <c r="A420" s="135"/>
      <c r="B420" s="136"/>
      <c r="C420" s="136"/>
      <c r="D420" s="136"/>
      <c r="E420" s="138"/>
      <c r="F420" s="148" t="s">
        <v>585</v>
      </c>
      <c r="G420" s="148"/>
      <c r="H420" s="136" t="s">
        <v>585</v>
      </c>
      <c r="I420" s="136" t="s">
        <v>585</v>
      </c>
    </row>
    <row r="421">
      <c r="A421" s="135"/>
      <c r="B421" s="136"/>
      <c r="C421" s="136"/>
      <c r="D421" s="136"/>
      <c r="E421" s="138"/>
      <c r="F421" s="148" t="s">
        <v>585</v>
      </c>
      <c r="G421" s="148"/>
      <c r="H421" s="136" t="s">
        <v>585</v>
      </c>
      <c r="I421" s="136" t="s">
        <v>585</v>
      </c>
    </row>
    <row r="422">
      <c r="A422" s="135"/>
      <c r="B422" s="136"/>
      <c r="C422" s="136"/>
      <c r="D422" s="136"/>
      <c r="E422" s="138"/>
      <c r="F422" s="148" t="s">
        <v>585</v>
      </c>
      <c r="G422" s="148"/>
      <c r="H422" s="136" t="s">
        <v>585</v>
      </c>
      <c r="I422" s="136" t="s">
        <v>585</v>
      </c>
    </row>
    <row r="423">
      <c r="A423" s="135"/>
      <c r="B423" s="136"/>
      <c r="C423" s="136"/>
      <c r="D423" s="136"/>
      <c r="E423" s="138"/>
      <c r="F423" s="148" t="s">
        <v>585</v>
      </c>
      <c r="G423" s="148"/>
      <c r="H423" s="136" t="s">
        <v>585</v>
      </c>
      <c r="I423" s="136" t="s">
        <v>585</v>
      </c>
    </row>
    <row r="424">
      <c r="A424" s="135"/>
      <c r="B424" s="136"/>
      <c r="C424" s="136"/>
      <c r="D424" s="136"/>
      <c r="E424" s="138"/>
      <c r="F424" s="148" t="s">
        <v>585</v>
      </c>
      <c r="G424" s="148"/>
      <c r="H424" s="136" t="s">
        <v>585</v>
      </c>
      <c r="I424" s="136" t="s">
        <v>585</v>
      </c>
    </row>
    <row r="425">
      <c r="A425" s="135"/>
      <c r="B425" s="136"/>
      <c r="C425" s="136"/>
      <c r="D425" s="136"/>
      <c r="E425" s="138"/>
      <c r="F425" s="148" t="s">
        <v>585</v>
      </c>
      <c r="G425" s="148"/>
      <c r="H425" s="136" t="s">
        <v>585</v>
      </c>
      <c r="I425" s="136" t="s">
        <v>585</v>
      </c>
    </row>
    <row r="426">
      <c r="A426" s="135"/>
      <c r="B426" s="136"/>
      <c r="C426" s="136"/>
      <c r="D426" s="136"/>
      <c r="E426" s="138"/>
      <c r="F426" s="148" t="s">
        <v>585</v>
      </c>
      <c r="G426" s="148"/>
      <c r="H426" s="136" t="s">
        <v>585</v>
      </c>
      <c r="I426" s="136" t="s">
        <v>585</v>
      </c>
    </row>
    <row r="427">
      <c r="A427" s="135"/>
      <c r="B427" s="136"/>
      <c r="C427" s="136"/>
      <c r="D427" s="136"/>
      <c r="E427" s="138"/>
      <c r="F427" s="148" t="s">
        <v>585</v>
      </c>
      <c r="G427" s="148"/>
      <c r="H427" s="136" t="s">
        <v>585</v>
      </c>
      <c r="I427" s="136" t="s">
        <v>585</v>
      </c>
    </row>
    <row r="428">
      <c r="A428" s="135"/>
      <c r="B428" s="136"/>
      <c r="C428" s="136"/>
      <c r="D428" s="136"/>
      <c r="E428" s="138"/>
      <c r="F428" s="148" t="s">
        <v>585</v>
      </c>
      <c r="G428" s="148"/>
      <c r="H428" s="136" t="s">
        <v>585</v>
      </c>
      <c r="I428" s="136" t="s">
        <v>585</v>
      </c>
    </row>
    <row r="429">
      <c r="A429" s="135"/>
      <c r="B429" s="136"/>
      <c r="C429" s="136"/>
      <c r="D429" s="136"/>
      <c r="E429" s="138"/>
      <c r="F429" s="148" t="s">
        <v>585</v>
      </c>
      <c r="G429" s="148"/>
      <c r="H429" s="136" t="s">
        <v>585</v>
      </c>
      <c r="I429" s="136" t="s">
        <v>585</v>
      </c>
    </row>
    <row r="430">
      <c r="A430" s="135"/>
      <c r="B430" s="136"/>
      <c r="C430" s="136"/>
      <c r="D430" s="136"/>
      <c r="E430" s="138"/>
      <c r="F430" s="148" t="s">
        <v>585</v>
      </c>
      <c r="G430" s="148"/>
      <c r="H430" s="136" t="s">
        <v>585</v>
      </c>
      <c r="I430" s="136" t="s">
        <v>585</v>
      </c>
    </row>
    <row r="431">
      <c r="A431" s="135"/>
      <c r="B431" s="136"/>
      <c r="C431" s="136"/>
      <c r="D431" s="136"/>
      <c r="E431" s="138"/>
      <c r="F431" s="148" t="s">
        <v>585</v>
      </c>
      <c r="G431" s="148"/>
      <c r="H431" s="136" t="s">
        <v>585</v>
      </c>
      <c r="I431" s="136" t="s">
        <v>585</v>
      </c>
    </row>
    <row r="432">
      <c r="A432" s="135"/>
      <c r="B432" s="136"/>
      <c r="C432" s="136"/>
      <c r="D432" s="136"/>
      <c r="E432" s="138"/>
      <c r="F432" s="148" t="s">
        <v>585</v>
      </c>
      <c r="G432" s="148"/>
      <c r="H432" s="136" t="s">
        <v>585</v>
      </c>
      <c r="I432" s="136" t="s">
        <v>585</v>
      </c>
    </row>
    <row r="433">
      <c r="A433" s="135"/>
      <c r="B433" s="136"/>
      <c r="C433" s="136"/>
      <c r="D433" s="136"/>
      <c r="E433" s="138"/>
      <c r="F433" s="148" t="s">
        <v>585</v>
      </c>
      <c r="G433" s="148"/>
      <c r="H433" s="136" t="s">
        <v>585</v>
      </c>
      <c r="I433" s="136" t="s">
        <v>585</v>
      </c>
    </row>
    <row r="434">
      <c r="A434" s="135"/>
      <c r="B434" s="136"/>
      <c r="C434" s="136"/>
      <c r="D434" s="136"/>
      <c r="E434" s="138"/>
      <c r="F434" s="148" t="s">
        <v>585</v>
      </c>
      <c r="G434" s="148"/>
      <c r="H434" s="136" t="s">
        <v>585</v>
      </c>
      <c r="I434" s="136" t="s">
        <v>585</v>
      </c>
    </row>
    <row r="435">
      <c r="A435" s="135"/>
      <c r="B435" s="136"/>
      <c r="C435" s="136"/>
      <c r="D435" s="136"/>
      <c r="E435" s="138"/>
      <c r="F435" s="148" t="s">
        <v>585</v>
      </c>
      <c r="G435" s="148"/>
      <c r="H435" s="136" t="s">
        <v>585</v>
      </c>
      <c r="I435" s="136" t="s">
        <v>585</v>
      </c>
    </row>
    <row r="436">
      <c r="A436" s="135"/>
      <c r="B436" s="136"/>
      <c r="C436" s="136"/>
      <c r="D436" s="136"/>
      <c r="E436" s="138"/>
      <c r="F436" s="148" t="s">
        <v>585</v>
      </c>
      <c r="G436" s="148"/>
      <c r="H436" s="136" t="s">
        <v>585</v>
      </c>
      <c r="I436" s="136" t="s">
        <v>585</v>
      </c>
    </row>
    <row r="437">
      <c r="A437" s="135"/>
      <c r="B437" s="136"/>
      <c r="C437" s="136"/>
      <c r="D437" s="136"/>
      <c r="E437" s="138"/>
      <c r="F437" s="148" t="s">
        <v>585</v>
      </c>
      <c r="G437" s="148"/>
      <c r="H437" s="136" t="s">
        <v>585</v>
      </c>
      <c r="I437" s="136" t="s">
        <v>585</v>
      </c>
    </row>
    <row r="438">
      <c r="A438" s="135"/>
      <c r="B438" s="136"/>
      <c r="C438" s="136"/>
      <c r="D438" s="136"/>
      <c r="E438" s="138"/>
      <c r="F438" s="148" t="s">
        <v>585</v>
      </c>
      <c r="G438" s="148"/>
      <c r="H438" s="136" t="s">
        <v>585</v>
      </c>
      <c r="I438" s="136" t="s">
        <v>585</v>
      </c>
    </row>
    <row r="439">
      <c r="A439" s="135"/>
      <c r="B439" s="136"/>
      <c r="C439" s="136"/>
      <c r="D439" s="136"/>
      <c r="E439" s="138"/>
      <c r="F439" s="148" t="s">
        <v>585</v>
      </c>
      <c r="G439" s="148"/>
      <c r="H439" s="136" t="s">
        <v>585</v>
      </c>
      <c r="I439" s="136" t="s">
        <v>585</v>
      </c>
    </row>
    <row r="440">
      <c r="A440" s="135"/>
      <c r="B440" s="136"/>
      <c r="C440" s="136"/>
      <c r="D440" s="136"/>
      <c r="E440" s="138"/>
      <c r="F440" s="148" t="s">
        <v>585</v>
      </c>
      <c r="G440" s="148"/>
      <c r="H440" s="136" t="s">
        <v>585</v>
      </c>
      <c r="I440" s="136" t="s">
        <v>585</v>
      </c>
    </row>
    <row r="441">
      <c r="A441" s="135"/>
      <c r="B441" s="136"/>
      <c r="C441" s="136"/>
      <c r="D441" s="136"/>
      <c r="E441" s="138"/>
      <c r="F441" s="148" t="s">
        <v>585</v>
      </c>
      <c r="G441" s="148"/>
      <c r="H441" s="136" t="s">
        <v>585</v>
      </c>
      <c r="I441" s="136" t="s">
        <v>585</v>
      </c>
    </row>
    <row r="442">
      <c r="A442" s="135"/>
      <c r="B442" s="136"/>
      <c r="C442" s="136"/>
      <c r="D442" s="136"/>
      <c r="E442" s="138"/>
      <c r="F442" s="148" t="s">
        <v>585</v>
      </c>
      <c r="G442" s="148"/>
      <c r="H442" s="136" t="s">
        <v>585</v>
      </c>
      <c r="I442" s="136" t="s">
        <v>585</v>
      </c>
    </row>
    <row r="443">
      <c r="A443" s="135"/>
      <c r="B443" s="136"/>
      <c r="C443" s="136"/>
      <c r="D443" s="136"/>
      <c r="E443" s="138"/>
      <c r="F443" s="148" t="s">
        <v>585</v>
      </c>
      <c r="G443" s="148"/>
      <c r="H443" s="136" t="s">
        <v>585</v>
      </c>
      <c r="I443" s="136" t="s">
        <v>585</v>
      </c>
    </row>
    <row r="444">
      <c r="A444" s="135"/>
      <c r="B444" s="136"/>
      <c r="C444" s="136"/>
      <c r="D444" s="136"/>
      <c r="E444" s="138"/>
      <c r="F444" s="148" t="s">
        <v>585</v>
      </c>
      <c r="G444" s="148"/>
      <c r="H444" s="136" t="s">
        <v>585</v>
      </c>
      <c r="I444" s="136" t="s">
        <v>585</v>
      </c>
    </row>
    <row r="445">
      <c r="A445" s="135"/>
      <c r="B445" s="136"/>
      <c r="C445" s="136"/>
      <c r="D445" s="136"/>
      <c r="E445" s="138"/>
      <c r="F445" s="148" t="s">
        <v>585</v>
      </c>
      <c r="G445" s="148"/>
      <c r="H445" s="136" t="s">
        <v>585</v>
      </c>
      <c r="I445" s="136" t="s">
        <v>585</v>
      </c>
    </row>
    <row r="446">
      <c r="A446" s="135"/>
      <c r="B446" s="136"/>
      <c r="C446" s="136"/>
      <c r="D446" s="136"/>
      <c r="E446" s="138"/>
      <c r="F446" s="148" t="s">
        <v>585</v>
      </c>
      <c r="G446" s="148"/>
      <c r="H446" s="136" t="s">
        <v>585</v>
      </c>
      <c r="I446" s="136" t="s">
        <v>585</v>
      </c>
    </row>
    <row r="447">
      <c r="A447" s="135"/>
      <c r="B447" s="136"/>
      <c r="C447" s="136"/>
      <c r="D447" s="136"/>
      <c r="E447" s="138"/>
      <c r="F447" s="148" t="s">
        <v>585</v>
      </c>
      <c r="G447" s="148"/>
      <c r="H447" s="136" t="s">
        <v>585</v>
      </c>
      <c r="I447" s="136" t="s">
        <v>585</v>
      </c>
    </row>
    <row r="448">
      <c r="A448" s="135"/>
      <c r="B448" s="136"/>
      <c r="C448" s="136"/>
      <c r="D448" s="136"/>
      <c r="E448" s="138"/>
      <c r="F448" s="148" t="s">
        <v>585</v>
      </c>
      <c r="G448" s="148"/>
      <c r="H448" s="136" t="s">
        <v>585</v>
      </c>
      <c r="I448" s="136" t="s">
        <v>585</v>
      </c>
    </row>
    <row r="449">
      <c r="A449" s="135"/>
      <c r="B449" s="136"/>
      <c r="C449" s="136"/>
      <c r="D449" s="136"/>
      <c r="E449" s="138"/>
      <c r="F449" s="148" t="s">
        <v>585</v>
      </c>
      <c r="G449" s="148"/>
      <c r="H449" s="136" t="s">
        <v>585</v>
      </c>
      <c r="I449" s="136" t="s">
        <v>585</v>
      </c>
    </row>
    <row r="450">
      <c r="A450" s="135"/>
      <c r="B450" s="136"/>
      <c r="C450" s="136"/>
      <c r="D450" s="136"/>
      <c r="E450" s="138"/>
      <c r="F450" s="148" t="s">
        <v>585</v>
      </c>
      <c r="G450" s="148"/>
      <c r="H450" s="136" t="s">
        <v>585</v>
      </c>
      <c r="I450" s="136" t="s">
        <v>585</v>
      </c>
    </row>
    <row r="451">
      <c r="A451" s="135"/>
      <c r="B451" s="136"/>
      <c r="C451" s="136"/>
      <c r="D451" s="136"/>
      <c r="E451" s="138"/>
      <c r="F451" s="148" t="s">
        <v>585</v>
      </c>
      <c r="G451" s="148"/>
      <c r="H451" s="136" t="s">
        <v>585</v>
      </c>
      <c r="I451" s="136" t="s">
        <v>585</v>
      </c>
    </row>
    <row r="452">
      <c r="A452" s="135"/>
      <c r="B452" s="136"/>
      <c r="C452" s="136"/>
      <c r="D452" s="136"/>
      <c r="E452" s="138"/>
      <c r="F452" s="148" t="s">
        <v>585</v>
      </c>
      <c r="G452" s="148"/>
      <c r="H452" s="136" t="s">
        <v>585</v>
      </c>
      <c r="I452" s="136" t="s">
        <v>585</v>
      </c>
    </row>
    <row r="453">
      <c r="A453" s="135"/>
      <c r="B453" s="136"/>
      <c r="C453" s="136"/>
      <c r="D453" s="136"/>
      <c r="E453" s="138"/>
      <c r="F453" s="148" t="s">
        <v>585</v>
      </c>
      <c r="G453" s="148"/>
      <c r="H453" s="136" t="s">
        <v>585</v>
      </c>
      <c r="I453" s="136" t="s">
        <v>585</v>
      </c>
    </row>
    <row r="454">
      <c r="A454" s="135"/>
      <c r="B454" s="136"/>
      <c r="C454" s="136"/>
      <c r="D454" s="136"/>
      <c r="E454" s="138"/>
      <c r="F454" s="148" t="s">
        <v>585</v>
      </c>
      <c r="G454" s="148"/>
      <c r="H454" s="136" t="s">
        <v>585</v>
      </c>
      <c r="I454" s="136" t="s">
        <v>585</v>
      </c>
    </row>
    <row r="455">
      <c r="A455" s="135"/>
      <c r="B455" s="136"/>
      <c r="C455" s="136"/>
      <c r="D455" s="136"/>
      <c r="E455" s="138"/>
      <c r="F455" s="148" t="s">
        <v>585</v>
      </c>
      <c r="G455" s="148"/>
      <c r="H455" s="136" t="s">
        <v>585</v>
      </c>
      <c r="I455" s="136" t="s">
        <v>585</v>
      </c>
    </row>
    <row r="456">
      <c r="A456" s="135"/>
      <c r="B456" s="136"/>
      <c r="C456" s="136"/>
      <c r="D456" s="136"/>
      <c r="E456" s="138"/>
      <c r="F456" s="148" t="s">
        <v>585</v>
      </c>
      <c r="G456" s="148"/>
      <c r="H456" s="136" t="s">
        <v>585</v>
      </c>
      <c r="I456" s="136" t="s">
        <v>585</v>
      </c>
    </row>
    <row r="457">
      <c r="A457" s="135"/>
      <c r="B457" s="136"/>
      <c r="C457" s="136"/>
      <c r="D457" s="136"/>
      <c r="E457" s="138"/>
      <c r="F457" s="148" t="s">
        <v>585</v>
      </c>
      <c r="G457" s="148"/>
      <c r="H457" s="136" t="s">
        <v>585</v>
      </c>
      <c r="I457" s="136" t="s">
        <v>585</v>
      </c>
    </row>
    <row r="458">
      <c r="A458" s="135"/>
      <c r="B458" s="136"/>
      <c r="C458" s="136"/>
      <c r="D458" s="136"/>
      <c r="E458" s="138"/>
      <c r="F458" s="148" t="s">
        <v>585</v>
      </c>
      <c r="G458" s="148"/>
      <c r="H458" s="136" t="s">
        <v>585</v>
      </c>
      <c r="I458" s="136" t="s">
        <v>585</v>
      </c>
    </row>
    <row r="459">
      <c r="A459" s="135"/>
      <c r="B459" s="136"/>
      <c r="C459" s="136"/>
      <c r="D459" s="136"/>
      <c r="E459" s="138"/>
      <c r="F459" s="148" t="s">
        <v>585</v>
      </c>
      <c r="G459" s="148"/>
      <c r="H459" s="136" t="s">
        <v>585</v>
      </c>
      <c r="I459" s="136" t="s">
        <v>585</v>
      </c>
    </row>
    <row r="460">
      <c r="A460" s="135"/>
      <c r="B460" s="136"/>
      <c r="C460" s="136"/>
      <c r="D460" s="136"/>
      <c r="E460" s="138"/>
      <c r="F460" s="148" t="s">
        <v>585</v>
      </c>
      <c r="G460" s="148"/>
      <c r="H460" s="136" t="s">
        <v>585</v>
      </c>
      <c r="I460" s="136" t="s">
        <v>585</v>
      </c>
    </row>
    <row r="461">
      <c r="A461" s="135"/>
      <c r="B461" s="136"/>
      <c r="C461" s="136"/>
      <c r="D461" s="136"/>
      <c r="E461" s="138"/>
      <c r="F461" s="148" t="s">
        <v>585</v>
      </c>
      <c r="G461" s="148"/>
      <c r="H461" s="136" t="s">
        <v>585</v>
      </c>
      <c r="I461" s="136" t="s">
        <v>585</v>
      </c>
    </row>
    <row r="462">
      <c r="A462" s="135"/>
      <c r="B462" s="136"/>
      <c r="C462" s="136"/>
      <c r="D462" s="136"/>
      <c r="E462" s="138"/>
      <c r="F462" s="148" t="s">
        <v>585</v>
      </c>
      <c r="G462" s="148"/>
      <c r="H462" s="136" t="s">
        <v>585</v>
      </c>
      <c r="I462" s="136" t="s">
        <v>585</v>
      </c>
    </row>
    <row r="463">
      <c r="A463" s="135"/>
      <c r="B463" s="136"/>
      <c r="C463" s="136"/>
      <c r="D463" s="136"/>
      <c r="E463" s="138"/>
      <c r="F463" s="148" t="s">
        <v>585</v>
      </c>
      <c r="G463" s="148"/>
      <c r="H463" s="136" t="s">
        <v>585</v>
      </c>
      <c r="I463" s="136" t="s">
        <v>585</v>
      </c>
    </row>
    <row r="464">
      <c r="A464" s="135"/>
      <c r="B464" s="136"/>
      <c r="C464" s="136"/>
      <c r="D464" s="136"/>
      <c r="E464" s="138"/>
      <c r="F464" s="148" t="s">
        <v>585</v>
      </c>
      <c r="G464" s="148"/>
      <c r="H464" s="136" t="s">
        <v>585</v>
      </c>
      <c r="I464" s="136" t="s">
        <v>585</v>
      </c>
    </row>
    <row r="465">
      <c r="A465" s="135"/>
      <c r="B465" s="136"/>
      <c r="C465" s="136"/>
      <c r="D465" s="136"/>
      <c r="E465" s="138"/>
      <c r="F465" s="148" t="s">
        <v>585</v>
      </c>
      <c r="G465" s="148"/>
      <c r="H465" s="136" t="s">
        <v>585</v>
      </c>
      <c r="I465" s="136" t="s">
        <v>585</v>
      </c>
    </row>
    <row r="466">
      <c r="A466" s="135"/>
      <c r="B466" s="136"/>
      <c r="C466" s="136"/>
      <c r="D466" s="136"/>
      <c r="E466" s="138"/>
      <c r="F466" s="148" t="s">
        <v>585</v>
      </c>
      <c r="G466" s="148"/>
      <c r="H466" s="136" t="s">
        <v>585</v>
      </c>
      <c r="I466" s="136" t="s">
        <v>585</v>
      </c>
    </row>
    <row r="467">
      <c r="A467" s="135"/>
      <c r="B467" s="136"/>
      <c r="C467" s="136"/>
      <c r="D467" s="136"/>
      <c r="E467" s="138"/>
      <c r="F467" s="148" t="s">
        <v>585</v>
      </c>
      <c r="G467" s="148"/>
      <c r="H467" s="136" t="s">
        <v>585</v>
      </c>
      <c r="I467" s="136" t="s">
        <v>585</v>
      </c>
    </row>
    <row r="468">
      <c r="A468" s="135"/>
      <c r="B468" s="136"/>
      <c r="C468" s="136"/>
      <c r="D468" s="136"/>
      <c r="E468" s="138"/>
      <c r="F468" s="148" t="s">
        <v>585</v>
      </c>
      <c r="G468" s="148"/>
      <c r="H468" s="136" t="s">
        <v>585</v>
      </c>
      <c r="I468" s="136" t="s">
        <v>585</v>
      </c>
    </row>
    <row r="469">
      <c r="A469" s="135"/>
      <c r="B469" s="136"/>
      <c r="C469" s="136"/>
      <c r="D469" s="136"/>
      <c r="E469" s="138"/>
      <c r="F469" s="148" t="s">
        <v>585</v>
      </c>
      <c r="G469" s="148"/>
      <c r="H469" s="136" t="s">
        <v>585</v>
      </c>
      <c r="I469" s="136" t="s">
        <v>585</v>
      </c>
    </row>
    <row r="470">
      <c r="A470" s="135"/>
      <c r="B470" s="136"/>
      <c r="C470" s="136"/>
      <c r="D470" s="136"/>
      <c r="E470" s="138"/>
      <c r="F470" s="148" t="s">
        <v>585</v>
      </c>
      <c r="G470" s="148"/>
      <c r="H470" s="136" t="s">
        <v>585</v>
      </c>
      <c r="I470" s="136" t="s">
        <v>585</v>
      </c>
    </row>
    <row r="471">
      <c r="A471" s="135"/>
      <c r="B471" s="136"/>
      <c r="C471" s="136"/>
      <c r="D471" s="136"/>
      <c r="E471" s="138"/>
      <c r="F471" s="148" t="s">
        <v>585</v>
      </c>
      <c r="G471" s="148"/>
      <c r="H471" s="136" t="s">
        <v>585</v>
      </c>
      <c r="I471" s="136" t="s">
        <v>585</v>
      </c>
    </row>
    <row r="472">
      <c r="A472" s="135"/>
      <c r="B472" s="136"/>
      <c r="C472" s="136"/>
      <c r="D472" s="136"/>
      <c r="E472" s="138"/>
      <c r="F472" s="148" t="s">
        <v>585</v>
      </c>
      <c r="G472" s="148"/>
      <c r="H472" s="136" t="s">
        <v>585</v>
      </c>
      <c r="I472" s="136" t="s">
        <v>585</v>
      </c>
    </row>
    <row r="473">
      <c r="A473" s="135"/>
      <c r="B473" s="136"/>
      <c r="C473" s="136"/>
      <c r="D473" s="136"/>
      <c r="E473" s="138"/>
      <c r="F473" s="148" t="s">
        <v>585</v>
      </c>
      <c r="G473" s="148"/>
      <c r="H473" s="136" t="s">
        <v>585</v>
      </c>
      <c r="I473" s="136" t="s">
        <v>585</v>
      </c>
    </row>
    <row r="474">
      <c r="A474" s="135"/>
      <c r="B474" s="136"/>
      <c r="C474" s="136"/>
      <c r="D474" s="136"/>
      <c r="E474" s="138"/>
      <c r="F474" s="148" t="s">
        <v>585</v>
      </c>
      <c r="G474" s="148"/>
      <c r="H474" s="136" t="s">
        <v>585</v>
      </c>
      <c r="I474" s="136" t="s">
        <v>585</v>
      </c>
    </row>
    <row r="475">
      <c r="A475" s="135"/>
      <c r="B475" s="136"/>
      <c r="C475" s="136"/>
      <c r="D475" s="136"/>
      <c r="E475" s="138"/>
      <c r="F475" s="148" t="s">
        <v>585</v>
      </c>
      <c r="G475" s="148"/>
      <c r="H475" s="136" t="s">
        <v>585</v>
      </c>
      <c r="I475" s="136" t="s">
        <v>585</v>
      </c>
    </row>
    <row r="476">
      <c r="A476" s="135"/>
      <c r="B476" s="136"/>
      <c r="C476" s="136"/>
      <c r="D476" s="136"/>
      <c r="E476" s="138"/>
      <c r="F476" s="148" t="s">
        <v>585</v>
      </c>
      <c r="G476" s="148"/>
      <c r="H476" s="136" t="s">
        <v>585</v>
      </c>
      <c r="I476" s="136" t="s">
        <v>585</v>
      </c>
    </row>
    <row r="477">
      <c r="A477" s="135"/>
      <c r="B477" s="136"/>
      <c r="C477" s="136"/>
      <c r="D477" s="136"/>
      <c r="E477" s="138"/>
      <c r="F477" s="148" t="s">
        <v>585</v>
      </c>
      <c r="G477" s="148"/>
      <c r="H477" s="136" t="s">
        <v>585</v>
      </c>
      <c r="I477" s="136" t="s">
        <v>585</v>
      </c>
    </row>
    <row r="478">
      <c r="A478" s="135"/>
      <c r="B478" s="136"/>
      <c r="C478" s="136"/>
      <c r="D478" s="136"/>
      <c r="E478" s="138"/>
      <c r="F478" s="148" t="s">
        <v>585</v>
      </c>
      <c r="G478" s="148"/>
      <c r="H478" s="136" t="s">
        <v>585</v>
      </c>
      <c r="I478" s="136" t="s">
        <v>585</v>
      </c>
    </row>
    <row r="479">
      <c r="A479" s="135"/>
      <c r="B479" s="136"/>
      <c r="C479" s="136"/>
      <c r="D479" s="136"/>
      <c r="E479" s="138"/>
      <c r="F479" s="148" t="s">
        <v>585</v>
      </c>
      <c r="G479" s="148"/>
      <c r="H479" s="136" t="s">
        <v>585</v>
      </c>
      <c r="I479" s="136" t="s">
        <v>585</v>
      </c>
    </row>
    <row r="480">
      <c r="A480" s="135"/>
      <c r="B480" s="136"/>
      <c r="C480" s="136"/>
      <c r="D480" s="136"/>
      <c r="E480" s="138"/>
      <c r="F480" s="148" t="s">
        <v>585</v>
      </c>
      <c r="G480" s="148"/>
      <c r="H480" s="136" t="s">
        <v>585</v>
      </c>
      <c r="I480" s="136" t="s">
        <v>585</v>
      </c>
    </row>
    <row r="481">
      <c r="A481" s="135"/>
      <c r="B481" s="136"/>
      <c r="C481" s="136"/>
      <c r="D481" s="136"/>
      <c r="E481" s="138"/>
      <c r="F481" s="148" t="s">
        <v>585</v>
      </c>
      <c r="G481" s="148"/>
      <c r="H481" s="136" t="s">
        <v>585</v>
      </c>
      <c r="I481" s="136" t="s">
        <v>585</v>
      </c>
    </row>
    <row r="482">
      <c r="A482" s="135"/>
      <c r="B482" s="136"/>
      <c r="C482" s="136"/>
      <c r="D482" s="136"/>
      <c r="E482" s="138"/>
      <c r="F482" s="148" t="s">
        <v>585</v>
      </c>
      <c r="G482" s="148"/>
      <c r="H482" s="136" t="s">
        <v>585</v>
      </c>
      <c r="I482" s="136" t="s">
        <v>585</v>
      </c>
    </row>
    <row r="483">
      <c r="A483" s="135"/>
      <c r="B483" s="136"/>
      <c r="C483" s="136"/>
      <c r="D483" s="136"/>
      <c r="E483" s="138"/>
      <c r="F483" s="148" t="s">
        <v>585</v>
      </c>
      <c r="G483" s="148"/>
      <c r="H483" s="136" t="s">
        <v>585</v>
      </c>
      <c r="I483" s="136" t="s">
        <v>585</v>
      </c>
    </row>
    <row r="484">
      <c r="A484" s="135"/>
      <c r="B484" s="136"/>
      <c r="C484" s="136"/>
      <c r="D484" s="136"/>
      <c r="E484" s="138"/>
      <c r="F484" s="148" t="s">
        <v>585</v>
      </c>
      <c r="G484" s="148"/>
      <c r="H484" s="136" t="s">
        <v>585</v>
      </c>
      <c r="I484" s="136" t="s">
        <v>585</v>
      </c>
    </row>
    <row r="485">
      <c r="A485" s="135"/>
      <c r="B485" s="136"/>
      <c r="C485" s="136"/>
      <c r="D485" s="136"/>
      <c r="E485" s="138"/>
      <c r="F485" s="148" t="s">
        <v>585</v>
      </c>
      <c r="G485" s="148"/>
      <c r="H485" s="136" t="s">
        <v>585</v>
      </c>
      <c r="I485" s="136" t="s">
        <v>585</v>
      </c>
    </row>
    <row r="486">
      <c r="A486" s="135"/>
      <c r="B486" s="136"/>
      <c r="C486" s="136"/>
      <c r="D486" s="136"/>
      <c r="E486" s="138"/>
      <c r="F486" s="148" t="s">
        <v>585</v>
      </c>
      <c r="G486" s="148"/>
      <c r="H486" s="136" t="s">
        <v>585</v>
      </c>
      <c r="I486" s="136" t="s">
        <v>585</v>
      </c>
    </row>
    <row r="487">
      <c r="A487" s="135"/>
      <c r="B487" s="136"/>
      <c r="C487" s="136"/>
      <c r="D487" s="136"/>
      <c r="E487" s="138"/>
      <c r="F487" s="148" t="s">
        <v>585</v>
      </c>
      <c r="G487" s="148"/>
      <c r="H487" s="136" t="s">
        <v>585</v>
      </c>
      <c r="I487" s="136" t="s">
        <v>585</v>
      </c>
    </row>
    <row r="488">
      <c r="A488" s="135"/>
      <c r="B488" s="136"/>
      <c r="C488" s="136"/>
      <c r="D488" s="136"/>
      <c r="E488" s="138"/>
      <c r="F488" s="148" t="s">
        <v>585</v>
      </c>
      <c r="G488" s="148"/>
      <c r="H488" s="136" t="s">
        <v>585</v>
      </c>
      <c r="I488" s="136" t="s">
        <v>585</v>
      </c>
    </row>
    <row r="489">
      <c r="A489" s="135"/>
      <c r="B489" s="136"/>
      <c r="C489" s="136"/>
      <c r="D489" s="136"/>
      <c r="E489" s="138"/>
      <c r="F489" s="148" t="s">
        <v>585</v>
      </c>
      <c r="G489" s="148"/>
      <c r="H489" s="136" t="s">
        <v>585</v>
      </c>
      <c r="I489" s="136" t="s">
        <v>585</v>
      </c>
    </row>
    <row r="490">
      <c r="A490" s="135"/>
      <c r="B490" s="136"/>
      <c r="C490" s="136"/>
      <c r="D490" s="136"/>
      <c r="E490" s="138"/>
      <c r="F490" s="148" t="s">
        <v>585</v>
      </c>
      <c r="G490" s="148"/>
      <c r="H490" s="136" t="s">
        <v>585</v>
      </c>
      <c r="I490" s="136" t="s">
        <v>585</v>
      </c>
    </row>
    <row r="491">
      <c r="A491" s="135"/>
      <c r="B491" s="136"/>
      <c r="C491" s="136"/>
      <c r="D491" s="136"/>
      <c r="E491" s="138"/>
      <c r="F491" s="148" t="s">
        <v>585</v>
      </c>
      <c r="G491" s="148"/>
      <c r="H491" s="136" t="s">
        <v>585</v>
      </c>
      <c r="I491" s="136" t="s">
        <v>585</v>
      </c>
    </row>
    <row r="492">
      <c r="A492" s="135"/>
      <c r="B492" s="136"/>
      <c r="C492" s="136"/>
      <c r="D492" s="136"/>
      <c r="E492" s="138"/>
      <c r="F492" s="148" t="s">
        <v>585</v>
      </c>
      <c r="G492" s="148"/>
      <c r="H492" s="136" t="s">
        <v>585</v>
      </c>
      <c r="I492" s="136" t="s">
        <v>585</v>
      </c>
    </row>
    <row r="493">
      <c r="A493" s="135"/>
      <c r="B493" s="136"/>
      <c r="C493" s="136"/>
      <c r="D493" s="136"/>
      <c r="E493" s="138"/>
      <c r="F493" s="148" t="s">
        <v>585</v>
      </c>
      <c r="G493" s="148"/>
      <c r="H493" s="136" t="s">
        <v>585</v>
      </c>
      <c r="I493" s="136" t="s">
        <v>585</v>
      </c>
    </row>
    <row r="494">
      <c r="A494" s="135"/>
      <c r="B494" s="136"/>
      <c r="C494" s="136"/>
      <c r="D494" s="136"/>
      <c r="E494" s="138"/>
      <c r="F494" s="148" t="s">
        <v>585</v>
      </c>
      <c r="G494" s="148"/>
      <c r="H494" s="136" t="s">
        <v>585</v>
      </c>
      <c r="I494" s="136" t="s">
        <v>585</v>
      </c>
    </row>
    <row r="495">
      <c r="A495" s="135"/>
      <c r="B495" s="136"/>
      <c r="C495" s="136"/>
      <c r="D495" s="136"/>
      <c r="E495" s="138"/>
      <c r="F495" s="148" t="s">
        <v>585</v>
      </c>
      <c r="G495" s="148"/>
      <c r="H495" s="136" t="s">
        <v>585</v>
      </c>
      <c r="I495" s="136" t="s">
        <v>585</v>
      </c>
    </row>
    <row r="496">
      <c r="A496" s="135"/>
      <c r="B496" s="136"/>
      <c r="C496" s="136"/>
      <c r="D496" s="136"/>
      <c r="E496" s="138"/>
      <c r="F496" s="148" t="s">
        <v>585</v>
      </c>
      <c r="G496" s="148"/>
      <c r="H496" s="136" t="s">
        <v>585</v>
      </c>
      <c r="I496" s="136" t="s">
        <v>585</v>
      </c>
    </row>
    <row r="497">
      <c r="A497" s="135"/>
      <c r="B497" s="136"/>
      <c r="C497" s="136"/>
      <c r="D497" s="136"/>
      <c r="E497" s="138"/>
      <c r="F497" s="148" t="s">
        <v>585</v>
      </c>
      <c r="G497" s="148"/>
      <c r="H497" s="136" t="s">
        <v>585</v>
      </c>
      <c r="I497" s="136" t="s">
        <v>585</v>
      </c>
    </row>
    <row r="498">
      <c r="A498" s="135"/>
      <c r="B498" s="136"/>
      <c r="C498" s="136"/>
      <c r="D498" s="136"/>
      <c r="E498" s="138"/>
      <c r="F498" s="148" t="s">
        <v>585</v>
      </c>
      <c r="G498" s="148"/>
      <c r="H498" s="136" t="s">
        <v>585</v>
      </c>
      <c r="I498" s="136" t="s">
        <v>585</v>
      </c>
    </row>
    <row r="499">
      <c r="A499" s="135"/>
      <c r="B499" s="136"/>
      <c r="C499" s="136"/>
      <c r="D499" s="136"/>
      <c r="E499" s="138"/>
      <c r="F499" s="148" t="s">
        <v>585</v>
      </c>
      <c r="G499" s="148"/>
      <c r="H499" s="136" t="s">
        <v>585</v>
      </c>
      <c r="I499" s="136" t="s">
        <v>585</v>
      </c>
    </row>
    <row r="500">
      <c r="A500" s="135"/>
      <c r="B500" s="136"/>
      <c r="C500" s="136"/>
      <c r="D500" s="136"/>
      <c r="E500" s="138"/>
      <c r="F500" s="148" t="s">
        <v>585</v>
      </c>
      <c r="G500" s="148"/>
      <c r="H500" s="136" t="s">
        <v>585</v>
      </c>
      <c r="I500" s="136" t="s">
        <v>585</v>
      </c>
    </row>
    <row r="501">
      <c r="A501" s="135"/>
      <c r="B501" s="136"/>
      <c r="C501" s="136"/>
      <c r="D501" s="136"/>
      <c r="E501" s="138"/>
      <c r="F501" s="148" t="s">
        <v>585</v>
      </c>
      <c r="G501" s="148"/>
      <c r="H501" s="136" t="s">
        <v>585</v>
      </c>
      <c r="I501" s="136" t="s">
        <v>585</v>
      </c>
    </row>
    <row r="502">
      <c r="A502" s="135"/>
      <c r="B502" s="136"/>
      <c r="C502" s="136"/>
      <c r="D502" s="136"/>
      <c r="E502" s="138"/>
      <c r="F502" s="148" t="s">
        <v>585</v>
      </c>
      <c r="G502" s="148"/>
      <c r="H502" s="136" t="s">
        <v>585</v>
      </c>
      <c r="I502" s="136" t="s">
        <v>585</v>
      </c>
    </row>
    <row r="503">
      <c r="A503" s="135"/>
      <c r="B503" s="136"/>
      <c r="C503" s="136"/>
      <c r="D503" s="136"/>
      <c r="E503" s="138"/>
      <c r="F503" s="148" t="s">
        <v>585</v>
      </c>
      <c r="G503" s="148"/>
      <c r="H503" s="136" t="s">
        <v>585</v>
      </c>
      <c r="I503" s="136" t="s">
        <v>585</v>
      </c>
    </row>
    <row r="504">
      <c r="A504" s="135"/>
      <c r="B504" s="136"/>
      <c r="C504" s="136"/>
      <c r="D504" s="136"/>
      <c r="E504" s="138"/>
      <c r="F504" s="148" t="s">
        <v>585</v>
      </c>
      <c r="G504" s="148"/>
      <c r="H504" s="136" t="s">
        <v>585</v>
      </c>
      <c r="I504" s="136" t="s">
        <v>585</v>
      </c>
    </row>
    <row r="505">
      <c r="A505" s="135"/>
      <c r="B505" s="136"/>
      <c r="C505" s="136"/>
      <c r="D505" s="136"/>
      <c r="E505" s="138"/>
      <c r="F505" s="148" t="s">
        <v>585</v>
      </c>
      <c r="G505" s="148"/>
      <c r="H505" s="136" t="s">
        <v>585</v>
      </c>
      <c r="I505" s="136" t="s">
        <v>585</v>
      </c>
    </row>
    <row r="506">
      <c r="A506" s="135"/>
      <c r="B506" s="136"/>
      <c r="C506" s="136"/>
      <c r="D506" s="136"/>
      <c r="E506" s="138"/>
      <c r="F506" s="148" t="s">
        <v>585</v>
      </c>
      <c r="G506" s="148"/>
      <c r="H506" s="136" t="s">
        <v>585</v>
      </c>
      <c r="I506" s="136" t="s">
        <v>585</v>
      </c>
    </row>
    <row r="507">
      <c r="A507" s="135"/>
      <c r="B507" s="136"/>
      <c r="C507" s="136"/>
      <c r="D507" s="136"/>
      <c r="E507" s="138"/>
      <c r="F507" s="148" t="s">
        <v>585</v>
      </c>
      <c r="G507" s="148"/>
      <c r="H507" s="136" t="s">
        <v>585</v>
      </c>
      <c r="I507" s="136" t="s">
        <v>585</v>
      </c>
    </row>
    <row r="508">
      <c r="A508" s="135"/>
      <c r="B508" s="136"/>
      <c r="C508" s="136"/>
      <c r="D508" s="136"/>
      <c r="E508" s="138"/>
      <c r="F508" s="148" t="s">
        <v>585</v>
      </c>
      <c r="G508" s="148"/>
      <c r="H508" s="136" t="s">
        <v>585</v>
      </c>
      <c r="I508" s="136" t="s">
        <v>585</v>
      </c>
    </row>
    <row r="509">
      <c r="A509" s="135"/>
      <c r="B509" s="136"/>
      <c r="C509" s="136"/>
      <c r="D509" s="136"/>
      <c r="E509" s="138"/>
      <c r="F509" s="148" t="s">
        <v>585</v>
      </c>
      <c r="G509" s="148"/>
      <c r="H509" s="136" t="s">
        <v>585</v>
      </c>
      <c r="I509" s="136" t="s">
        <v>585</v>
      </c>
    </row>
    <row r="510">
      <c r="A510" s="135"/>
      <c r="B510" s="136"/>
      <c r="C510" s="136"/>
      <c r="D510" s="136"/>
      <c r="E510" s="138"/>
      <c r="F510" s="148" t="s">
        <v>585</v>
      </c>
      <c r="G510" s="148"/>
      <c r="H510" s="136" t="s">
        <v>585</v>
      </c>
      <c r="I510" s="136" t="s">
        <v>585</v>
      </c>
    </row>
    <row r="511">
      <c r="A511" s="135"/>
      <c r="B511" s="136"/>
      <c r="C511" s="136"/>
      <c r="D511" s="136"/>
      <c r="E511" s="138"/>
      <c r="F511" s="148" t="s">
        <v>585</v>
      </c>
      <c r="G511" s="148"/>
      <c r="H511" s="136" t="s">
        <v>585</v>
      </c>
      <c r="I511" s="136" t="s">
        <v>585</v>
      </c>
    </row>
    <row r="512">
      <c r="A512" s="135"/>
      <c r="B512" s="136"/>
      <c r="C512" s="136"/>
      <c r="D512" s="136"/>
      <c r="E512" s="138"/>
      <c r="F512" s="148" t="s">
        <v>585</v>
      </c>
      <c r="G512" s="148"/>
      <c r="H512" s="136" t="s">
        <v>585</v>
      </c>
      <c r="I512" s="136" t="s">
        <v>585</v>
      </c>
    </row>
    <row r="513">
      <c r="A513" s="135"/>
      <c r="B513" s="136"/>
      <c r="C513" s="136"/>
      <c r="D513" s="136"/>
      <c r="E513" s="138"/>
      <c r="F513" s="148" t="s">
        <v>585</v>
      </c>
      <c r="G513" s="148"/>
      <c r="H513" s="136" t="s">
        <v>585</v>
      </c>
      <c r="I513" s="136" t="s">
        <v>585</v>
      </c>
    </row>
    <row r="514">
      <c r="A514" s="135"/>
      <c r="B514" s="136"/>
      <c r="C514" s="136"/>
      <c r="D514" s="136"/>
      <c r="E514" s="138"/>
      <c r="F514" s="148" t="s">
        <v>585</v>
      </c>
      <c r="G514" s="148"/>
      <c r="H514" s="136" t="s">
        <v>585</v>
      </c>
      <c r="I514" s="136" t="s">
        <v>585</v>
      </c>
    </row>
    <row r="515">
      <c r="A515" s="135"/>
      <c r="B515" s="136"/>
      <c r="C515" s="136"/>
      <c r="D515" s="136"/>
      <c r="E515" s="138"/>
      <c r="F515" s="148" t="s">
        <v>585</v>
      </c>
      <c r="G515" s="148"/>
      <c r="H515" s="136" t="s">
        <v>585</v>
      </c>
      <c r="I515" s="136" t="s">
        <v>585</v>
      </c>
    </row>
    <row r="516">
      <c r="A516" s="135"/>
      <c r="B516" s="136"/>
      <c r="C516" s="136"/>
      <c r="D516" s="136"/>
      <c r="E516" s="138"/>
      <c r="F516" s="148" t="s">
        <v>585</v>
      </c>
      <c r="G516" s="148"/>
      <c r="H516" s="136" t="s">
        <v>585</v>
      </c>
      <c r="I516" s="136" t="s">
        <v>585</v>
      </c>
    </row>
    <row r="517">
      <c r="A517" s="135"/>
      <c r="B517" s="136"/>
      <c r="C517" s="136"/>
      <c r="D517" s="136"/>
      <c r="E517" s="138"/>
      <c r="F517" s="148" t="s">
        <v>585</v>
      </c>
      <c r="G517" s="148"/>
      <c r="H517" s="136" t="s">
        <v>585</v>
      </c>
      <c r="I517" s="136" t="s">
        <v>585</v>
      </c>
    </row>
    <row r="518">
      <c r="A518" s="135"/>
      <c r="B518" s="136"/>
      <c r="C518" s="136"/>
      <c r="D518" s="136"/>
      <c r="E518" s="138"/>
      <c r="F518" s="148" t="s">
        <v>585</v>
      </c>
      <c r="G518" s="148"/>
      <c r="H518" s="136" t="s">
        <v>585</v>
      </c>
      <c r="I518" s="136" t="s">
        <v>585</v>
      </c>
    </row>
    <row r="519">
      <c r="A519" s="135"/>
      <c r="B519" s="136"/>
      <c r="C519" s="136"/>
      <c r="D519" s="136"/>
      <c r="E519" s="138"/>
      <c r="F519" s="148" t="s">
        <v>585</v>
      </c>
      <c r="G519" s="148"/>
      <c r="H519" s="136" t="s">
        <v>585</v>
      </c>
      <c r="I519" s="136" t="s">
        <v>585</v>
      </c>
    </row>
    <row r="520">
      <c r="A520" s="135"/>
      <c r="B520" s="136"/>
      <c r="C520" s="136"/>
      <c r="D520" s="136"/>
      <c r="E520" s="138"/>
      <c r="F520" s="148" t="s">
        <v>585</v>
      </c>
      <c r="G520" s="148"/>
      <c r="H520" s="136" t="s">
        <v>585</v>
      </c>
      <c r="I520" s="136" t="s">
        <v>585</v>
      </c>
    </row>
    <row r="521">
      <c r="A521" s="135"/>
      <c r="B521" s="136"/>
      <c r="C521" s="136"/>
      <c r="D521" s="136"/>
      <c r="E521" s="138"/>
      <c r="F521" s="148" t="s">
        <v>585</v>
      </c>
      <c r="G521" s="148"/>
      <c r="H521" s="136" t="s">
        <v>585</v>
      </c>
      <c r="I521" s="136" t="s">
        <v>585</v>
      </c>
    </row>
    <row r="522">
      <c r="A522" s="135"/>
      <c r="B522" s="136"/>
      <c r="C522" s="136"/>
      <c r="D522" s="136"/>
      <c r="E522" s="138"/>
      <c r="F522" s="148" t="s">
        <v>585</v>
      </c>
      <c r="G522" s="148"/>
      <c r="H522" s="136" t="s">
        <v>585</v>
      </c>
      <c r="I522" s="136" t="s">
        <v>585</v>
      </c>
    </row>
    <row r="523">
      <c r="A523" s="135"/>
      <c r="B523" s="136"/>
      <c r="C523" s="136"/>
      <c r="D523" s="136"/>
      <c r="E523" s="138"/>
      <c r="F523" s="148" t="s">
        <v>585</v>
      </c>
      <c r="G523" s="148"/>
      <c r="H523" s="136" t="s">
        <v>585</v>
      </c>
      <c r="I523" s="136" t="s">
        <v>585</v>
      </c>
    </row>
    <row r="524">
      <c r="A524" s="135"/>
      <c r="B524" s="136"/>
      <c r="C524" s="136"/>
      <c r="D524" s="136"/>
      <c r="E524" s="138"/>
      <c r="F524" s="148" t="s">
        <v>585</v>
      </c>
      <c r="G524" s="148"/>
      <c r="H524" s="136" t="s">
        <v>585</v>
      </c>
      <c r="I524" s="136" t="s">
        <v>585</v>
      </c>
    </row>
    <row r="525">
      <c r="A525" s="135"/>
      <c r="B525" s="136"/>
      <c r="C525" s="136"/>
      <c r="D525" s="136"/>
      <c r="E525" s="138"/>
      <c r="F525" s="148" t="s">
        <v>585</v>
      </c>
      <c r="G525" s="148"/>
      <c r="H525" s="136" t="s">
        <v>585</v>
      </c>
      <c r="I525" s="136" t="s">
        <v>585</v>
      </c>
    </row>
    <row r="526">
      <c r="A526" s="135"/>
      <c r="B526" s="136"/>
      <c r="C526" s="136"/>
      <c r="D526" s="136"/>
      <c r="E526" s="138"/>
      <c r="F526" s="148" t="s">
        <v>585</v>
      </c>
      <c r="G526" s="148"/>
      <c r="H526" s="136" t="s">
        <v>585</v>
      </c>
      <c r="I526" s="136" t="s">
        <v>585</v>
      </c>
    </row>
    <row r="527">
      <c r="A527" s="135"/>
      <c r="B527" s="136"/>
      <c r="C527" s="136"/>
      <c r="D527" s="136"/>
      <c r="E527" s="138"/>
      <c r="F527" s="148" t="s">
        <v>585</v>
      </c>
      <c r="G527" s="148"/>
      <c r="H527" s="136" t="s">
        <v>585</v>
      </c>
      <c r="I527" s="136" t="s">
        <v>585</v>
      </c>
    </row>
    <row r="528">
      <c r="A528" s="135"/>
      <c r="B528" s="136"/>
      <c r="C528" s="136"/>
      <c r="D528" s="136"/>
      <c r="E528" s="138"/>
      <c r="F528" s="148" t="s">
        <v>585</v>
      </c>
      <c r="G528" s="148"/>
      <c r="H528" s="136" t="s">
        <v>585</v>
      </c>
      <c r="I528" s="136" t="s">
        <v>585</v>
      </c>
    </row>
    <row r="529">
      <c r="A529" s="135"/>
      <c r="B529" s="136"/>
      <c r="C529" s="136"/>
      <c r="D529" s="136"/>
      <c r="E529" s="138"/>
      <c r="F529" s="148" t="s">
        <v>585</v>
      </c>
      <c r="G529" s="148"/>
      <c r="H529" s="136" t="s">
        <v>585</v>
      </c>
      <c r="I529" s="136" t="s">
        <v>585</v>
      </c>
    </row>
    <row r="530">
      <c r="A530" s="135"/>
      <c r="B530" s="136"/>
      <c r="C530" s="136"/>
      <c r="D530" s="136"/>
      <c r="E530" s="138"/>
      <c r="F530" s="148" t="s">
        <v>585</v>
      </c>
      <c r="G530" s="148"/>
      <c r="H530" s="136" t="s">
        <v>585</v>
      </c>
      <c r="I530" s="136" t="s">
        <v>585</v>
      </c>
    </row>
    <row r="531">
      <c r="A531" s="135"/>
      <c r="B531" s="136"/>
      <c r="C531" s="136"/>
      <c r="D531" s="136"/>
      <c r="E531" s="138"/>
      <c r="F531" s="148" t="s">
        <v>585</v>
      </c>
      <c r="G531" s="148"/>
      <c r="H531" s="136" t="s">
        <v>585</v>
      </c>
      <c r="I531" s="136" t="s">
        <v>585</v>
      </c>
    </row>
    <row r="532">
      <c r="A532" s="135"/>
      <c r="B532" s="136"/>
      <c r="C532" s="136"/>
      <c r="D532" s="136"/>
      <c r="E532" s="138"/>
      <c r="F532" s="148" t="s">
        <v>585</v>
      </c>
      <c r="G532" s="148"/>
      <c r="H532" s="136" t="s">
        <v>585</v>
      </c>
      <c r="I532" s="136" t="s">
        <v>585</v>
      </c>
    </row>
    <row r="533">
      <c r="A533" s="135"/>
      <c r="B533" s="136"/>
      <c r="C533" s="136"/>
      <c r="D533" s="136"/>
      <c r="E533" s="138"/>
      <c r="F533" s="148" t="s">
        <v>585</v>
      </c>
      <c r="G533" s="148"/>
      <c r="H533" s="136" t="s">
        <v>585</v>
      </c>
      <c r="I533" s="136" t="s">
        <v>585</v>
      </c>
    </row>
    <row r="534">
      <c r="A534" s="135"/>
      <c r="B534" s="136"/>
      <c r="C534" s="136"/>
      <c r="D534" s="136"/>
      <c r="E534" s="138"/>
      <c r="F534" s="148" t="s">
        <v>585</v>
      </c>
      <c r="G534" s="148"/>
      <c r="H534" s="136" t="s">
        <v>585</v>
      </c>
      <c r="I534" s="136" t="s">
        <v>585</v>
      </c>
    </row>
    <row r="535">
      <c r="A535" s="135"/>
      <c r="B535" s="136"/>
      <c r="C535" s="136"/>
      <c r="D535" s="136"/>
      <c r="E535" s="138"/>
      <c r="F535" s="148" t="s">
        <v>585</v>
      </c>
      <c r="G535" s="148"/>
      <c r="H535" s="136" t="s">
        <v>585</v>
      </c>
      <c r="I535" s="136" t="s">
        <v>585</v>
      </c>
    </row>
    <row r="536">
      <c r="A536" s="135"/>
      <c r="B536" s="136"/>
      <c r="C536" s="136"/>
      <c r="D536" s="136"/>
      <c r="E536" s="138"/>
      <c r="F536" s="148" t="s">
        <v>585</v>
      </c>
      <c r="G536" s="148"/>
      <c r="H536" s="136" t="s">
        <v>585</v>
      </c>
      <c r="I536" s="136" t="s">
        <v>585</v>
      </c>
    </row>
    <row r="537">
      <c r="A537" s="135"/>
      <c r="B537" s="136"/>
      <c r="C537" s="136"/>
      <c r="D537" s="136"/>
      <c r="E537" s="138"/>
      <c r="F537" s="148" t="s">
        <v>585</v>
      </c>
      <c r="G537" s="148"/>
      <c r="H537" s="136" t="s">
        <v>585</v>
      </c>
      <c r="I537" s="136" t="s">
        <v>585</v>
      </c>
    </row>
    <row r="538">
      <c r="A538" s="135"/>
      <c r="B538" s="136"/>
      <c r="C538" s="136"/>
      <c r="D538" s="136"/>
      <c r="E538" s="138"/>
      <c r="F538" s="148" t="s">
        <v>585</v>
      </c>
      <c r="G538" s="148"/>
      <c r="H538" s="136" t="s">
        <v>585</v>
      </c>
      <c r="I538" s="136" t="s">
        <v>585</v>
      </c>
    </row>
    <row r="539">
      <c r="A539" s="135"/>
      <c r="B539" s="136"/>
      <c r="C539" s="136"/>
      <c r="D539" s="136"/>
      <c r="E539" s="138"/>
      <c r="F539" s="148" t="s">
        <v>585</v>
      </c>
      <c r="G539" s="148"/>
      <c r="H539" s="136" t="s">
        <v>585</v>
      </c>
      <c r="I539" s="136" t="s">
        <v>585</v>
      </c>
    </row>
    <row r="540">
      <c r="A540" s="135"/>
      <c r="B540" s="136"/>
      <c r="C540" s="136"/>
      <c r="D540" s="136"/>
      <c r="E540" s="138"/>
      <c r="F540" s="148" t="s">
        <v>585</v>
      </c>
      <c r="G540" s="148"/>
      <c r="H540" s="136" t="s">
        <v>585</v>
      </c>
      <c r="I540" s="136" t="s">
        <v>585</v>
      </c>
    </row>
    <row r="541">
      <c r="A541" s="135"/>
      <c r="B541" s="136"/>
      <c r="C541" s="136"/>
      <c r="D541" s="136"/>
      <c r="E541" s="138"/>
      <c r="F541" s="148" t="s">
        <v>585</v>
      </c>
      <c r="G541" s="148"/>
      <c r="H541" s="136" t="s">
        <v>585</v>
      </c>
      <c r="I541" s="136" t="s">
        <v>585</v>
      </c>
    </row>
    <row r="542">
      <c r="A542" s="135"/>
      <c r="B542" s="136"/>
      <c r="C542" s="136"/>
      <c r="D542" s="136"/>
      <c r="E542" s="138"/>
      <c r="F542" s="148" t="s">
        <v>585</v>
      </c>
      <c r="G542" s="148"/>
      <c r="H542" s="136" t="s">
        <v>585</v>
      </c>
      <c r="I542" s="136" t="s">
        <v>585</v>
      </c>
    </row>
    <row r="543">
      <c r="A543" s="135"/>
      <c r="B543" s="136"/>
      <c r="C543" s="136"/>
      <c r="D543" s="136"/>
      <c r="E543" s="138"/>
      <c r="F543" s="148" t="s">
        <v>585</v>
      </c>
      <c r="G543" s="148"/>
      <c r="H543" s="136" t="s">
        <v>585</v>
      </c>
      <c r="I543" s="136" t="s">
        <v>585</v>
      </c>
    </row>
    <row r="544">
      <c r="A544" s="135"/>
      <c r="B544" s="136"/>
      <c r="C544" s="136"/>
      <c r="D544" s="136"/>
      <c r="E544" s="138"/>
      <c r="F544" s="148" t="s">
        <v>585</v>
      </c>
      <c r="G544" s="148"/>
      <c r="H544" s="136" t="s">
        <v>585</v>
      </c>
      <c r="I544" s="136" t="s">
        <v>585</v>
      </c>
    </row>
    <row r="545">
      <c r="A545" s="135"/>
      <c r="B545" s="136"/>
      <c r="C545" s="136"/>
      <c r="D545" s="136"/>
      <c r="E545" s="138"/>
      <c r="F545" s="148" t="s">
        <v>585</v>
      </c>
      <c r="G545" s="148"/>
      <c r="H545" s="136" t="s">
        <v>585</v>
      </c>
      <c r="I545" s="136" t="s">
        <v>585</v>
      </c>
    </row>
    <row r="546">
      <c r="A546" s="135"/>
      <c r="B546" s="136"/>
      <c r="C546" s="136"/>
      <c r="D546" s="136"/>
      <c r="E546" s="138"/>
      <c r="F546" s="148" t="s">
        <v>585</v>
      </c>
      <c r="G546" s="148"/>
      <c r="H546" s="136" t="s">
        <v>585</v>
      </c>
      <c r="I546" s="136" t="s">
        <v>585</v>
      </c>
    </row>
    <row r="547">
      <c r="A547" s="135"/>
      <c r="B547" s="136"/>
      <c r="C547" s="136"/>
      <c r="D547" s="136"/>
      <c r="E547" s="138"/>
      <c r="F547" s="148" t="s">
        <v>585</v>
      </c>
      <c r="G547" s="148"/>
      <c r="H547" s="136" t="s">
        <v>585</v>
      </c>
      <c r="I547" s="136" t="s">
        <v>585</v>
      </c>
    </row>
    <row r="548">
      <c r="A548" s="135"/>
      <c r="B548" s="136"/>
      <c r="C548" s="136"/>
      <c r="D548" s="136"/>
      <c r="E548" s="138"/>
      <c r="F548" s="148" t="s">
        <v>585</v>
      </c>
      <c r="G548" s="148"/>
      <c r="H548" s="136" t="s">
        <v>585</v>
      </c>
      <c r="I548" s="136" t="s">
        <v>585</v>
      </c>
    </row>
    <row r="549">
      <c r="A549" s="135"/>
      <c r="B549" s="136"/>
      <c r="C549" s="136"/>
      <c r="D549" s="136"/>
      <c r="E549" s="138"/>
      <c r="F549" s="148" t="s">
        <v>585</v>
      </c>
      <c r="G549" s="148"/>
      <c r="H549" s="136" t="s">
        <v>585</v>
      </c>
      <c r="I549" s="136" t="s">
        <v>585</v>
      </c>
    </row>
    <row r="550">
      <c r="A550" s="135"/>
      <c r="B550" s="136"/>
      <c r="C550" s="136"/>
      <c r="D550" s="136"/>
      <c r="E550" s="138"/>
      <c r="F550" s="148" t="s">
        <v>585</v>
      </c>
      <c r="G550" s="148"/>
      <c r="H550" s="136" t="s">
        <v>585</v>
      </c>
      <c r="I550" s="136" t="s">
        <v>585</v>
      </c>
    </row>
    <row r="551">
      <c r="A551" s="135"/>
      <c r="B551" s="136"/>
      <c r="C551" s="136"/>
      <c r="D551" s="136"/>
      <c r="E551" s="138"/>
      <c r="F551" s="148" t="s">
        <v>585</v>
      </c>
      <c r="G551" s="148"/>
      <c r="H551" s="136" t="s">
        <v>585</v>
      </c>
      <c r="I551" s="136" t="s">
        <v>585</v>
      </c>
    </row>
    <row r="552">
      <c r="A552" s="135"/>
      <c r="B552" s="136"/>
      <c r="C552" s="136"/>
      <c r="D552" s="136"/>
      <c r="E552" s="138"/>
      <c r="F552" s="148" t="s">
        <v>585</v>
      </c>
      <c r="G552" s="148"/>
      <c r="H552" s="136" t="s">
        <v>585</v>
      </c>
      <c r="I552" s="136" t="s">
        <v>585</v>
      </c>
    </row>
    <row r="553">
      <c r="A553" s="135"/>
      <c r="B553" s="136"/>
      <c r="C553" s="136"/>
      <c r="D553" s="136"/>
      <c r="E553" s="138"/>
      <c r="F553" s="148" t="s">
        <v>585</v>
      </c>
      <c r="G553" s="148"/>
      <c r="H553" s="136" t="s">
        <v>585</v>
      </c>
      <c r="I553" s="136" t="s">
        <v>585</v>
      </c>
    </row>
    <row r="554">
      <c r="A554" s="135"/>
      <c r="B554" s="136"/>
      <c r="C554" s="136"/>
      <c r="D554" s="136"/>
      <c r="E554" s="138"/>
      <c r="F554" s="148" t="s">
        <v>585</v>
      </c>
      <c r="G554" s="148"/>
      <c r="H554" s="136" t="s">
        <v>585</v>
      </c>
      <c r="I554" s="136" t="s">
        <v>585</v>
      </c>
    </row>
    <row r="555">
      <c r="A555" s="135"/>
      <c r="B555" s="136"/>
      <c r="C555" s="136"/>
      <c r="D555" s="136"/>
      <c r="E555" s="138"/>
      <c r="F555" s="148" t="s">
        <v>585</v>
      </c>
      <c r="G555" s="148"/>
      <c r="H555" s="136" t="s">
        <v>585</v>
      </c>
      <c r="I555" s="136" t="s">
        <v>585</v>
      </c>
    </row>
    <row r="556">
      <c r="A556" s="135"/>
      <c r="B556" s="136"/>
      <c r="C556" s="136"/>
      <c r="D556" s="136"/>
      <c r="E556" s="138"/>
      <c r="F556" s="148" t="s">
        <v>585</v>
      </c>
      <c r="G556" s="148"/>
      <c r="H556" s="136" t="s">
        <v>585</v>
      </c>
      <c r="I556" s="136" t="s">
        <v>585</v>
      </c>
    </row>
    <row r="557">
      <c r="A557" s="135"/>
      <c r="B557" s="136"/>
      <c r="C557" s="136"/>
      <c r="D557" s="136"/>
      <c r="E557" s="138"/>
      <c r="F557" s="148" t="s">
        <v>585</v>
      </c>
      <c r="G557" s="148"/>
      <c r="H557" s="136" t="s">
        <v>585</v>
      </c>
      <c r="I557" s="136" t="s">
        <v>585</v>
      </c>
    </row>
    <row r="558">
      <c r="A558" s="135"/>
      <c r="B558" s="136"/>
      <c r="C558" s="136"/>
      <c r="D558" s="136"/>
      <c r="E558" s="138"/>
      <c r="F558" s="148" t="s">
        <v>585</v>
      </c>
      <c r="G558" s="148"/>
      <c r="H558" s="136" t="s">
        <v>585</v>
      </c>
      <c r="I558" s="136" t="s">
        <v>585</v>
      </c>
    </row>
    <row r="559">
      <c r="A559" s="135"/>
      <c r="B559" s="136"/>
      <c r="C559" s="136"/>
      <c r="D559" s="136"/>
      <c r="E559" s="138"/>
      <c r="F559" s="148" t="s">
        <v>585</v>
      </c>
      <c r="G559" s="148"/>
      <c r="H559" s="136" t="s">
        <v>585</v>
      </c>
      <c r="I559" s="136" t="s">
        <v>585</v>
      </c>
    </row>
    <row r="560">
      <c r="A560" s="135"/>
      <c r="B560" s="136"/>
      <c r="C560" s="136"/>
      <c r="D560" s="136"/>
      <c r="E560" s="138"/>
      <c r="F560" s="148" t="s">
        <v>585</v>
      </c>
      <c r="G560" s="148"/>
      <c r="H560" s="136" t="s">
        <v>585</v>
      </c>
      <c r="I560" s="136" t="s">
        <v>585</v>
      </c>
    </row>
    <row r="561">
      <c r="A561" s="135"/>
      <c r="B561" s="136"/>
      <c r="C561" s="136"/>
      <c r="D561" s="136"/>
      <c r="E561" s="138"/>
      <c r="F561" s="148" t="s">
        <v>585</v>
      </c>
      <c r="G561" s="148"/>
      <c r="H561" s="136" t="s">
        <v>585</v>
      </c>
      <c r="I561" s="136" t="s">
        <v>585</v>
      </c>
    </row>
    <row r="562">
      <c r="A562" s="135"/>
      <c r="B562" s="136"/>
      <c r="C562" s="136"/>
      <c r="D562" s="136"/>
      <c r="E562" s="138"/>
      <c r="F562" s="148" t="s">
        <v>585</v>
      </c>
      <c r="G562" s="148"/>
      <c r="H562" s="136" t="s">
        <v>585</v>
      </c>
      <c r="I562" s="136" t="s">
        <v>585</v>
      </c>
    </row>
    <row r="563">
      <c r="A563" s="135"/>
      <c r="B563" s="136"/>
      <c r="C563" s="136"/>
      <c r="D563" s="136"/>
      <c r="E563" s="138"/>
      <c r="F563" s="148" t="s">
        <v>585</v>
      </c>
      <c r="G563" s="148"/>
      <c r="H563" s="136" t="s">
        <v>585</v>
      </c>
      <c r="I563" s="136" t="s">
        <v>585</v>
      </c>
    </row>
    <row r="564">
      <c r="A564" s="135"/>
      <c r="B564" s="136"/>
      <c r="C564" s="136"/>
      <c r="D564" s="136"/>
      <c r="E564" s="138"/>
      <c r="F564" s="148" t="s">
        <v>585</v>
      </c>
      <c r="G564" s="148"/>
      <c r="H564" s="136" t="s">
        <v>585</v>
      </c>
      <c r="I564" s="136" t="s">
        <v>585</v>
      </c>
    </row>
    <row r="565">
      <c r="A565" s="135"/>
      <c r="B565" s="136"/>
      <c r="C565" s="136"/>
      <c r="D565" s="136"/>
      <c r="E565" s="138"/>
      <c r="F565" s="148" t="s">
        <v>585</v>
      </c>
      <c r="G565" s="148"/>
      <c r="H565" s="136" t="s">
        <v>585</v>
      </c>
      <c r="I565" s="136" t="s">
        <v>585</v>
      </c>
    </row>
    <row r="566">
      <c r="A566" s="135"/>
      <c r="B566" s="136"/>
      <c r="C566" s="136"/>
      <c r="D566" s="136"/>
      <c r="E566" s="138"/>
      <c r="F566" s="148" t="s">
        <v>585</v>
      </c>
      <c r="G566" s="148"/>
      <c r="H566" s="136" t="s">
        <v>585</v>
      </c>
      <c r="I566" s="136" t="s">
        <v>585</v>
      </c>
    </row>
    <row r="567">
      <c r="A567" s="135"/>
      <c r="B567" s="136"/>
      <c r="C567" s="136"/>
      <c r="D567" s="136"/>
      <c r="E567" s="138"/>
      <c r="F567" s="148" t="s">
        <v>585</v>
      </c>
      <c r="G567" s="148"/>
      <c r="H567" s="136" t="s">
        <v>585</v>
      </c>
      <c r="I567" s="136" t="s">
        <v>585</v>
      </c>
    </row>
    <row r="568">
      <c r="A568" s="135"/>
      <c r="B568" s="136"/>
      <c r="C568" s="136"/>
      <c r="D568" s="136"/>
      <c r="E568" s="138"/>
      <c r="F568" s="148" t="s">
        <v>585</v>
      </c>
      <c r="G568" s="148"/>
      <c r="H568" s="136" t="s">
        <v>585</v>
      </c>
      <c r="I568" s="136" t="s">
        <v>585</v>
      </c>
    </row>
    <row r="569">
      <c r="A569" s="135"/>
      <c r="B569" s="136"/>
      <c r="C569" s="136"/>
      <c r="D569" s="136"/>
      <c r="E569" s="138"/>
      <c r="F569" s="148" t="s">
        <v>585</v>
      </c>
      <c r="G569" s="148"/>
      <c r="H569" s="136" t="s">
        <v>585</v>
      </c>
      <c r="I569" s="136" t="s">
        <v>585</v>
      </c>
    </row>
    <row r="570">
      <c r="A570" s="135"/>
      <c r="B570" s="136"/>
      <c r="C570" s="136"/>
      <c r="D570" s="136"/>
      <c r="E570" s="138"/>
      <c r="F570" s="148" t="s">
        <v>585</v>
      </c>
      <c r="G570" s="148"/>
      <c r="H570" s="136" t="s">
        <v>585</v>
      </c>
      <c r="I570" s="136" t="s">
        <v>585</v>
      </c>
    </row>
    <row r="571">
      <c r="A571" s="135"/>
      <c r="B571" s="136"/>
      <c r="C571" s="136"/>
      <c r="D571" s="136"/>
      <c r="E571" s="138"/>
      <c r="F571" s="148" t="s">
        <v>585</v>
      </c>
      <c r="G571" s="148"/>
      <c r="H571" s="136" t="s">
        <v>585</v>
      </c>
      <c r="I571" s="136" t="s">
        <v>585</v>
      </c>
    </row>
    <row r="572">
      <c r="A572" s="135"/>
      <c r="B572" s="136"/>
      <c r="C572" s="136"/>
      <c r="D572" s="136"/>
      <c r="E572" s="138"/>
      <c r="F572" s="148" t="s">
        <v>585</v>
      </c>
      <c r="G572" s="148"/>
      <c r="H572" s="136" t="s">
        <v>585</v>
      </c>
      <c r="I572" s="136" t="s">
        <v>585</v>
      </c>
    </row>
    <row r="573">
      <c r="A573" s="135"/>
      <c r="B573" s="136"/>
      <c r="C573" s="136"/>
      <c r="D573" s="136"/>
      <c r="E573" s="138"/>
      <c r="F573" s="148" t="s">
        <v>585</v>
      </c>
      <c r="G573" s="148"/>
      <c r="H573" s="136" t="s">
        <v>585</v>
      </c>
      <c r="I573" s="136" t="s">
        <v>585</v>
      </c>
    </row>
    <row r="574">
      <c r="A574" s="135"/>
      <c r="B574" s="136"/>
      <c r="C574" s="136"/>
      <c r="D574" s="136"/>
      <c r="E574" s="138"/>
      <c r="F574" s="148" t="s">
        <v>585</v>
      </c>
      <c r="G574" s="148"/>
      <c r="H574" s="136" t="s">
        <v>585</v>
      </c>
      <c r="I574" s="136" t="s">
        <v>585</v>
      </c>
    </row>
    <row r="575">
      <c r="A575" s="135"/>
      <c r="B575" s="136"/>
      <c r="C575" s="136"/>
      <c r="D575" s="136"/>
      <c r="E575" s="138"/>
      <c r="F575" s="148" t="s">
        <v>585</v>
      </c>
      <c r="G575" s="148"/>
      <c r="H575" s="136" t="s">
        <v>585</v>
      </c>
      <c r="I575" s="136" t="s">
        <v>585</v>
      </c>
    </row>
    <row r="576">
      <c r="A576" s="135"/>
      <c r="B576" s="136"/>
      <c r="C576" s="136"/>
      <c r="D576" s="136"/>
      <c r="E576" s="138"/>
      <c r="F576" s="148" t="s">
        <v>585</v>
      </c>
      <c r="G576" s="148"/>
      <c r="H576" s="136" t="s">
        <v>585</v>
      </c>
      <c r="I576" s="136" t="s">
        <v>585</v>
      </c>
    </row>
    <row r="577">
      <c r="A577" s="135"/>
      <c r="B577" s="136"/>
      <c r="C577" s="136"/>
      <c r="D577" s="136"/>
      <c r="E577" s="138"/>
      <c r="F577" s="148" t="s">
        <v>585</v>
      </c>
      <c r="G577" s="148"/>
      <c r="H577" s="136" t="s">
        <v>585</v>
      </c>
      <c r="I577" s="136" t="s">
        <v>585</v>
      </c>
    </row>
    <row r="578">
      <c r="A578" s="135"/>
      <c r="B578" s="136"/>
      <c r="C578" s="136"/>
      <c r="D578" s="136"/>
      <c r="E578" s="138"/>
      <c r="F578" s="148" t="s">
        <v>585</v>
      </c>
      <c r="G578" s="148"/>
      <c r="H578" s="136" t="s">
        <v>585</v>
      </c>
      <c r="I578" s="136" t="s">
        <v>585</v>
      </c>
    </row>
    <row r="579">
      <c r="A579" s="135"/>
      <c r="B579" s="136"/>
      <c r="C579" s="136"/>
      <c r="D579" s="136"/>
      <c r="E579" s="138"/>
      <c r="F579" s="148" t="s">
        <v>585</v>
      </c>
      <c r="G579" s="148"/>
      <c r="H579" s="136" t="s">
        <v>585</v>
      </c>
      <c r="I579" s="136" t="s">
        <v>585</v>
      </c>
    </row>
    <row r="580">
      <c r="A580" s="135"/>
      <c r="B580" s="136"/>
      <c r="C580" s="136"/>
      <c r="D580" s="136"/>
      <c r="E580" s="138"/>
      <c r="F580" s="148" t="s">
        <v>585</v>
      </c>
      <c r="G580" s="148"/>
      <c r="H580" s="136" t="s">
        <v>585</v>
      </c>
      <c r="I580" s="136" t="s">
        <v>585</v>
      </c>
    </row>
    <row r="581">
      <c r="A581" s="135"/>
      <c r="B581" s="136"/>
      <c r="C581" s="136"/>
      <c r="D581" s="136"/>
      <c r="E581" s="138"/>
      <c r="F581" s="148" t="s">
        <v>585</v>
      </c>
      <c r="G581" s="148"/>
      <c r="H581" s="136" t="s">
        <v>585</v>
      </c>
      <c r="I581" s="136" t="s">
        <v>585</v>
      </c>
    </row>
    <row r="582">
      <c r="A582" s="135"/>
      <c r="B582" s="136"/>
      <c r="C582" s="136"/>
      <c r="D582" s="136"/>
      <c r="E582" s="138"/>
      <c r="F582" s="148" t="s">
        <v>585</v>
      </c>
      <c r="G582" s="148"/>
      <c r="H582" s="136" t="s">
        <v>585</v>
      </c>
      <c r="I582" s="136" t="s">
        <v>585</v>
      </c>
    </row>
    <row r="583">
      <c r="A583" s="135"/>
      <c r="B583" s="136"/>
      <c r="C583" s="136"/>
      <c r="D583" s="136"/>
      <c r="E583" s="138"/>
      <c r="F583" s="148" t="s">
        <v>585</v>
      </c>
      <c r="G583" s="148"/>
      <c r="H583" s="136" t="s">
        <v>585</v>
      </c>
      <c r="I583" s="136" t="s">
        <v>585</v>
      </c>
    </row>
    <row r="584">
      <c r="A584" s="135"/>
      <c r="B584" s="136"/>
      <c r="C584" s="136"/>
      <c r="D584" s="136"/>
      <c r="E584" s="138"/>
      <c r="F584" s="148" t="s">
        <v>585</v>
      </c>
      <c r="G584" s="148"/>
      <c r="H584" s="136" t="s">
        <v>585</v>
      </c>
      <c r="I584" s="136" t="s">
        <v>585</v>
      </c>
    </row>
    <row r="585">
      <c r="A585" s="135"/>
      <c r="B585" s="136"/>
      <c r="C585" s="136"/>
      <c r="D585" s="136"/>
      <c r="E585" s="138"/>
      <c r="F585" s="148" t="s">
        <v>585</v>
      </c>
      <c r="G585" s="148"/>
      <c r="H585" s="136" t="s">
        <v>585</v>
      </c>
      <c r="I585" s="136" t="s">
        <v>585</v>
      </c>
    </row>
    <row r="586">
      <c r="A586" s="135"/>
      <c r="B586" s="136"/>
      <c r="C586" s="136"/>
      <c r="D586" s="136"/>
      <c r="E586" s="138"/>
      <c r="F586" s="148" t="s">
        <v>585</v>
      </c>
      <c r="G586" s="148"/>
      <c r="H586" s="136" t="s">
        <v>585</v>
      </c>
      <c r="I586" s="136" t="s">
        <v>585</v>
      </c>
    </row>
    <row r="587">
      <c r="A587" s="135"/>
      <c r="B587" s="136"/>
      <c r="C587" s="136"/>
      <c r="D587" s="136"/>
      <c r="E587" s="138"/>
      <c r="F587" s="148" t="s">
        <v>585</v>
      </c>
      <c r="G587" s="148"/>
      <c r="H587" s="136" t="s">
        <v>585</v>
      </c>
      <c r="I587" s="136" t="s">
        <v>585</v>
      </c>
    </row>
    <row r="588">
      <c r="A588" s="135"/>
      <c r="B588" s="136"/>
      <c r="C588" s="136"/>
      <c r="D588" s="136"/>
      <c r="E588" s="138"/>
      <c r="F588" s="148" t="s">
        <v>585</v>
      </c>
      <c r="G588" s="148"/>
      <c r="H588" s="136" t="s">
        <v>585</v>
      </c>
      <c r="I588" s="136" t="s">
        <v>585</v>
      </c>
    </row>
    <row r="589">
      <c r="A589" s="135"/>
      <c r="B589" s="136"/>
      <c r="C589" s="136"/>
      <c r="D589" s="136"/>
      <c r="E589" s="138"/>
      <c r="F589" s="148" t="s">
        <v>585</v>
      </c>
      <c r="G589" s="148"/>
      <c r="H589" s="136" t="s">
        <v>585</v>
      </c>
      <c r="I589" s="136" t="s">
        <v>585</v>
      </c>
    </row>
    <row r="590">
      <c r="A590" s="135"/>
      <c r="B590" s="136"/>
      <c r="C590" s="136"/>
      <c r="D590" s="136"/>
      <c r="E590" s="138"/>
      <c r="F590" s="148" t="s">
        <v>585</v>
      </c>
      <c r="G590" s="148"/>
      <c r="H590" s="136" t="s">
        <v>585</v>
      </c>
      <c r="I590" s="136" t="s">
        <v>585</v>
      </c>
    </row>
    <row r="591">
      <c r="A591" s="135"/>
      <c r="B591" s="136"/>
      <c r="C591" s="136"/>
      <c r="D591" s="136"/>
      <c r="E591" s="138"/>
      <c r="F591" s="148" t="s">
        <v>585</v>
      </c>
      <c r="G591" s="148"/>
      <c r="H591" s="136" t="s">
        <v>585</v>
      </c>
      <c r="I591" s="136" t="s">
        <v>585</v>
      </c>
    </row>
    <row r="592">
      <c r="A592" s="135"/>
      <c r="B592" s="136"/>
      <c r="C592" s="136"/>
      <c r="D592" s="136"/>
      <c r="E592" s="138"/>
      <c r="F592" s="148" t="s">
        <v>585</v>
      </c>
      <c r="G592" s="148"/>
      <c r="H592" s="136" t="s">
        <v>585</v>
      </c>
      <c r="I592" s="136" t="s">
        <v>585</v>
      </c>
    </row>
    <row r="593">
      <c r="A593" s="135"/>
      <c r="B593" s="136"/>
      <c r="C593" s="136"/>
      <c r="D593" s="136"/>
      <c r="E593" s="138"/>
      <c r="F593" s="148" t="s">
        <v>585</v>
      </c>
      <c r="G593" s="148"/>
      <c r="H593" s="136" t="s">
        <v>585</v>
      </c>
      <c r="I593" s="136" t="s">
        <v>585</v>
      </c>
    </row>
    <row r="594">
      <c r="A594" s="135"/>
      <c r="B594" s="136"/>
      <c r="C594" s="136"/>
      <c r="D594" s="136"/>
      <c r="E594" s="138"/>
      <c r="F594" s="148" t="s">
        <v>585</v>
      </c>
      <c r="G594" s="148"/>
      <c r="H594" s="136" t="s">
        <v>585</v>
      </c>
      <c r="I594" s="136" t="s">
        <v>585</v>
      </c>
    </row>
    <row r="595">
      <c r="A595" s="135"/>
      <c r="B595" s="136"/>
      <c r="C595" s="136"/>
      <c r="D595" s="136"/>
      <c r="E595" s="138"/>
      <c r="F595" s="148" t="s">
        <v>585</v>
      </c>
      <c r="G595" s="148"/>
      <c r="H595" s="136" t="s">
        <v>585</v>
      </c>
      <c r="I595" s="136" t="s">
        <v>585</v>
      </c>
    </row>
    <row r="596">
      <c r="A596" s="135"/>
      <c r="B596" s="136"/>
      <c r="C596" s="136"/>
      <c r="D596" s="136"/>
      <c r="E596" s="138"/>
      <c r="F596" s="148" t="s">
        <v>585</v>
      </c>
      <c r="G596" s="148"/>
      <c r="H596" s="136" t="s">
        <v>585</v>
      </c>
      <c r="I596" s="136" t="s">
        <v>585</v>
      </c>
    </row>
    <row r="597">
      <c r="A597" s="135"/>
      <c r="B597" s="136"/>
      <c r="C597" s="136"/>
      <c r="D597" s="136"/>
      <c r="E597" s="138"/>
      <c r="F597" s="148" t="s">
        <v>585</v>
      </c>
      <c r="G597" s="148"/>
      <c r="H597" s="136" t="s">
        <v>585</v>
      </c>
      <c r="I597" s="136" t="s">
        <v>585</v>
      </c>
    </row>
    <row r="598">
      <c r="A598" s="135"/>
      <c r="B598" s="136"/>
      <c r="C598" s="136"/>
      <c r="D598" s="136"/>
      <c r="E598" s="138"/>
      <c r="F598" s="148" t="s">
        <v>585</v>
      </c>
      <c r="G598" s="148"/>
      <c r="H598" s="136" t="s">
        <v>585</v>
      </c>
      <c r="I598" s="136" t="s">
        <v>585</v>
      </c>
    </row>
    <row r="599">
      <c r="A599" s="135"/>
      <c r="B599" s="136"/>
      <c r="C599" s="136"/>
      <c r="D599" s="136"/>
      <c r="E599" s="138"/>
      <c r="F599" s="148" t="s">
        <v>585</v>
      </c>
      <c r="G599" s="148"/>
      <c r="H599" s="136" t="s">
        <v>585</v>
      </c>
      <c r="I599" s="136" t="s">
        <v>585</v>
      </c>
    </row>
    <row r="600">
      <c r="A600" s="135"/>
      <c r="B600" s="136"/>
      <c r="C600" s="136"/>
      <c r="D600" s="136"/>
      <c r="E600" s="138"/>
      <c r="F600" s="148" t="s">
        <v>585</v>
      </c>
      <c r="G600" s="148"/>
      <c r="H600" s="136" t="s">
        <v>585</v>
      </c>
      <c r="I600" s="136" t="s">
        <v>585</v>
      </c>
    </row>
    <row r="601">
      <c r="A601" s="135"/>
      <c r="B601" s="136"/>
      <c r="C601" s="136"/>
      <c r="D601" s="136"/>
      <c r="E601" s="138"/>
      <c r="F601" s="148" t="s">
        <v>585</v>
      </c>
      <c r="G601" s="148"/>
      <c r="H601" s="136" t="s">
        <v>585</v>
      </c>
      <c r="I601" s="136" t="s">
        <v>585</v>
      </c>
    </row>
    <row r="602">
      <c r="A602" s="135"/>
      <c r="B602" s="136"/>
      <c r="C602" s="136"/>
      <c r="D602" s="136"/>
      <c r="E602" s="138"/>
      <c r="F602" s="148" t="s">
        <v>585</v>
      </c>
      <c r="G602" s="148"/>
      <c r="H602" s="136" t="s">
        <v>585</v>
      </c>
      <c r="I602" s="136" t="s">
        <v>585</v>
      </c>
    </row>
    <row r="603">
      <c r="A603" s="135"/>
      <c r="B603" s="136"/>
      <c r="C603" s="136"/>
      <c r="D603" s="136"/>
      <c r="E603" s="138"/>
      <c r="F603" s="148" t="s">
        <v>585</v>
      </c>
      <c r="G603" s="148"/>
      <c r="H603" s="136" t="s">
        <v>585</v>
      </c>
      <c r="I603" s="136" t="s">
        <v>585</v>
      </c>
    </row>
    <row r="604">
      <c r="A604" s="135"/>
      <c r="B604" s="136"/>
      <c r="C604" s="136"/>
      <c r="D604" s="136"/>
      <c r="E604" s="138"/>
      <c r="F604" s="148" t="s">
        <v>585</v>
      </c>
      <c r="G604" s="148"/>
      <c r="H604" s="136" t="s">
        <v>585</v>
      </c>
      <c r="I604" s="136" t="s">
        <v>585</v>
      </c>
    </row>
    <row r="605">
      <c r="A605" s="135"/>
      <c r="B605" s="136"/>
      <c r="C605" s="136"/>
      <c r="D605" s="136"/>
      <c r="E605" s="138"/>
      <c r="F605" s="148" t="s">
        <v>585</v>
      </c>
      <c r="G605" s="148"/>
      <c r="H605" s="136" t="s">
        <v>585</v>
      </c>
      <c r="I605" s="136" t="s">
        <v>585</v>
      </c>
    </row>
    <row r="606">
      <c r="A606" s="135"/>
      <c r="B606" s="136"/>
      <c r="C606" s="136"/>
      <c r="D606" s="136"/>
      <c r="E606" s="138"/>
      <c r="F606" s="148" t="s">
        <v>585</v>
      </c>
      <c r="G606" s="148"/>
      <c r="H606" s="136" t="s">
        <v>585</v>
      </c>
      <c r="I606" s="136" t="s">
        <v>585</v>
      </c>
    </row>
    <row r="607">
      <c r="A607" s="135"/>
      <c r="B607" s="136"/>
      <c r="C607" s="136"/>
      <c r="D607" s="136"/>
      <c r="E607" s="138"/>
      <c r="F607" s="148" t="s">
        <v>585</v>
      </c>
      <c r="G607" s="148"/>
      <c r="H607" s="136" t="s">
        <v>585</v>
      </c>
      <c r="I607" s="136" t="s">
        <v>585</v>
      </c>
    </row>
    <row r="608">
      <c r="A608" s="135"/>
      <c r="B608" s="136"/>
      <c r="C608" s="136"/>
      <c r="D608" s="136"/>
      <c r="E608" s="138"/>
      <c r="F608" s="148" t="s">
        <v>585</v>
      </c>
      <c r="G608" s="148"/>
      <c r="H608" s="136" t="s">
        <v>585</v>
      </c>
      <c r="I608" s="136" t="s">
        <v>585</v>
      </c>
    </row>
    <row r="609">
      <c r="A609" s="135"/>
      <c r="B609" s="136"/>
      <c r="C609" s="136"/>
      <c r="D609" s="136"/>
      <c r="E609" s="138"/>
      <c r="F609" s="148" t="s">
        <v>585</v>
      </c>
      <c r="G609" s="148"/>
      <c r="H609" s="136" t="s">
        <v>585</v>
      </c>
      <c r="I609" s="136" t="s">
        <v>585</v>
      </c>
    </row>
    <row r="610">
      <c r="A610" s="135"/>
      <c r="B610" s="136"/>
      <c r="C610" s="136"/>
      <c r="D610" s="136"/>
      <c r="E610" s="138"/>
      <c r="F610" s="148" t="s">
        <v>585</v>
      </c>
      <c r="G610" s="148"/>
      <c r="H610" s="136" t="s">
        <v>585</v>
      </c>
      <c r="I610" s="136" t="s">
        <v>585</v>
      </c>
    </row>
    <row r="611">
      <c r="A611" s="135"/>
      <c r="B611" s="136"/>
      <c r="C611" s="136"/>
      <c r="D611" s="136"/>
      <c r="E611" s="138"/>
      <c r="F611" s="148" t="s">
        <v>585</v>
      </c>
      <c r="G611" s="148"/>
      <c r="H611" s="136" t="s">
        <v>585</v>
      </c>
      <c r="I611" s="136" t="s">
        <v>585</v>
      </c>
    </row>
    <row r="612">
      <c r="A612" s="135"/>
      <c r="B612" s="136"/>
      <c r="C612" s="136"/>
      <c r="D612" s="136"/>
      <c r="E612" s="138"/>
      <c r="F612" s="148" t="s">
        <v>585</v>
      </c>
      <c r="G612" s="148"/>
      <c r="H612" s="136" t="s">
        <v>585</v>
      </c>
      <c r="I612" s="136" t="s">
        <v>585</v>
      </c>
    </row>
    <row r="613">
      <c r="A613" s="135"/>
      <c r="B613" s="136"/>
      <c r="C613" s="136"/>
      <c r="D613" s="136"/>
      <c r="E613" s="138"/>
      <c r="F613" s="148" t="s">
        <v>585</v>
      </c>
      <c r="G613" s="148"/>
      <c r="H613" s="136" t="s">
        <v>585</v>
      </c>
      <c r="I613" s="136" t="s">
        <v>585</v>
      </c>
    </row>
    <row r="614">
      <c r="A614" s="135"/>
      <c r="B614" s="136"/>
      <c r="C614" s="136"/>
      <c r="D614" s="136"/>
      <c r="E614" s="138"/>
      <c r="F614" s="148" t="s">
        <v>585</v>
      </c>
      <c r="G614" s="148"/>
      <c r="H614" s="136" t="s">
        <v>585</v>
      </c>
      <c r="I614" s="136" t="s">
        <v>585</v>
      </c>
    </row>
    <row r="615">
      <c r="A615" s="135"/>
      <c r="B615" s="136"/>
      <c r="C615" s="136"/>
      <c r="D615" s="136"/>
      <c r="E615" s="138"/>
      <c r="F615" s="148" t="s">
        <v>585</v>
      </c>
      <c r="G615" s="148"/>
      <c r="H615" s="136" t="s">
        <v>585</v>
      </c>
      <c r="I615" s="136" t="s">
        <v>585</v>
      </c>
    </row>
    <row r="616">
      <c r="A616" s="135"/>
      <c r="B616" s="136"/>
      <c r="C616" s="136"/>
      <c r="D616" s="136"/>
      <c r="E616" s="138"/>
      <c r="F616" s="148" t="s">
        <v>585</v>
      </c>
      <c r="G616" s="148"/>
      <c r="H616" s="136" t="s">
        <v>585</v>
      </c>
      <c r="I616" s="136" t="s">
        <v>585</v>
      </c>
    </row>
    <row r="617">
      <c r="A617" s="135"/>
      <c r="B617" s="136"/>
      <c r="C617" s="136"/>
      <c r="D617" s="136"/>
      <c r="E617" s="138"/>
      <c r="F617" s="148" t="s">
        <v>585</v>
      </c>
      <c r="G617" s="148"/>
      <c r="H617" s="136" t="s">
        <v>585</v>
      </c>
      <c r="I617" s="136" t="s">
        <v>585</v>
      </c>
    </row>
    <row r="618">
      <c r="A618" s="135"/>
      <c r="B618" s="136"/>
      <c r="C618" s="136"/>
      <c r="D618" s="136"/>
      <c r="E618" s="138"/>
      <c r="F618" s="148" t="s">
        <v>585</v>
      </c>
      <c r="G618" s="148"/>
      <c r="H618" s="136" t="s">
        <v>585</v>
      </c>
      <c r="I618" s="136" t="s">
        <v>585</v>
      </c>
    </row>
    <row r="619">
      <c r="A619" s="135"/>
      <c r="B619" s="136"/>
      <c r="C619" s="136"/>
      <c r="D619" s="136"/>
      <c r="E619" s="138"/>
      <c r="F619" s="148" t="s">
        <v>585</v>
      </c>
      <c r="G619" s="148"/>
      <c r="H619" s="136" t="s">
        <v>585</v>
      </c>
      <c r="I619" s="136" t="s">
        <v>585</v>
      </c>
    </row>
    <row r="620">
      <c r="A620" s="135"/>
      <c r="B620" s="136"/>
      <c r="C620" s="136"/>
      <c r="D620" s="136"/>
      <c r="E620" s="138"/>
      <c r="F620" s="148" t="s">
        <v>585</v>
      </c>
      <c r="G620" s="148"/>
      <c r="H620" s="136" t="s">
        <v>585</v>
      </c>
      <c r="I620" s="136" t="s">
        <v>585</v>
      </c>
    </row>
    <row r="621">
      <c r="A621" s="135"/>
      <c r="B621" s="136"/>
      <c r="C621" s="136"/>
      <c r="D621" s="136"/>
      <c r="E621" s="138"/>
      <c r="F621" s="148" t="s">
        <v>585</v>
      </c>
      <c r="G621" s="148"/>
      <c r="H621" s="136" t="s">
        <v>585</v>
      </c>
      <c r="I621" s="136" t="s">
        <v>585</v>
      </c>
    </row>
    <row r="622">
      <c r="A622" s="135"/>
      <c r="B622" s="136"/>
      <c r="C622" s="136"/>
      <c r="D622" s="136"/>
      <c r="E622" s="138"/>
      <c r="F622" s="148" t="s">
        <v>585</v>
      </c>
      <c r="G622" s="148"/>
      <c r="H622" s="136" t="s">
        <v>585</v>
      </c>
      <c r="I622" s="136" t="s">
        <v>585</v>
      </c>
    </row>
    <row r="623">
      <c r="A623" s="135"/>
      <c r="B623" s="136"/>
      <c r="C623" s="136"/>
      <c r="D623" s="136"/>
      <c r="E623" s="138"/>
      <c r="F623" s="148" t="s">
        <v>585</v>
      </c>
      <c r="G623" s="148"/>
      <c r="H623" s="136" t="s">
        <v>585</v>
      </c>
      <c r="I623" s="136" t="s">
        <v>585</v>
      </c>
    </row>
    <row r="624">
      <c r="A624" s="135"/>
      <c r="B624" s="136"/>
      <c r="C624" s="136"/>
      <c r="D624" s="136"/>
      <c r="E624" s="138"/>
      <c r="F624" s="148" t="s">
        <v>585</v>
      </c>
      <c r="G624" s="148"/>
      <c r="H624" s="136" t="s">
        <v>585</v>
      </c>
      <c r="I624" s="136" t="s">
        <v>585</v>
      </c>
    </row>
    <row r="625">
      <c r="A625" s="135"/>
      <c r="B625" s="136"/>
      <c r="C625" s="136"/>
      <c r="D625" s="136"/>
      <c r="E625" s="138"/>
      <c r="F625" s="148" t="s">
        <v>585</v>
      </c>
      <c r="G625" s="148"/>
      <c r="H625" s="136" t="s">
        <v>585</v>
      </c>
      <c r="I625" s="136" t="s">
        <v>585</v>
      </c>
    </row>
    <row r="626">
      <c r="A626" s="135"/>
      <c r="B626" s="136"/>
      <c r="C626" s="136"/>
      <c r="D626" s="136"/>
      <c r="E626" s="138"/>
      <c r="F626" s="148" t="s">
        <v>585</v>
      </c>
      <c r="G626" s="148"/>
      <c r="H626" s="136" t="s">
        <v>585</v>
      </c>
      <c r="I626" s="136" t="s">
        <v>585</v>
      </c>
    </row>
    <row r="627">
      <c r="A627" s="135"/>
      <c r="B627" s="136"/>
      <c r="C627" s="136"/>
      <c r="D627" s="136"/>
      <c r="E627" s="138"/>
      <c r="F627" s="148" t="s">
        <v>585</v>
      </c>
      <c r="G627" s="148"/>
      <c r="H627" s="136" t="s">
        <v>585</v>
      </c>
      <c r="I627" s="136" t="s">
        <v>585</v>
      </c>
    </row>
    <row r="628">
      <c r="A628" s="135"/>
      <c r="B628" s="136"/>
      <c r="C628" s="136"/>
      <c r="D628" s="136"/>
      <c r="E628" s="138"/>
      <c r="F628" s="148" t="s">
        <v>585</v>
      </c>
      <c r="G628" s="148"/>
      <c r="H628" s="136" t="s">
        <v>585</v>
      </c>
      <c r="I628" s="136" t="s">
        <v>585</v>
      </c>
    </row>
    <row r="629">
      <c r="A629" s="135"/>
      <c r="B629" s="136"/>
      <c r="C629" s="136"/>
      <c r="D629" s="136"/>
      <c r="E629" s="138"/>
      <c r="F629" s="148" t="s">
        <v>585</v>
      </c>
      <c r="G629" s="148"/>
      <c r="H629" s="136" t="s">
        <v>585</v>
      </c>
      <c r="I629" s="136" t="s">
        <v>585</v>
      </c>
    </row>
    <row r="630">
      <c r="A630" s="135"/>
      <c r="B630" s="136"/>
      <c r="C630" s="136"/>
      <c r="D630" s="136"/>
      <c r="E630" s="138"/>
      <c r="F630" s="148" t="s">
        <v>585</v>
      </c>
      <c r="G630" s="148"/>
      <c r="H630" s="136" t="s">
        <v>585</v>
      </c>
      <c r="I630" s="136" t="s">
        <v>585</v>
      </c>
    </row>
    <row r="631">
      <c r="A631" s="135"/>
      <c r="B631" s="136"/>
      <c r="C631" s="136"/>
      <c r="D631" s="136"/>
      <c r="E631" s="138"/>
      <c r="F631" s="148" t="s">
        <v>585</v>
      </c>
      <c r="G631" s="148"/>
      <c r="H631" s="136" t="s">
        <v>585</v>
      </c>
      <c r="I631" s="136" t="s">
        <v>585</v>
      </c>
    </row>
    <row r="632">
      <c r="A632" s="135"/>
      <c r="B632" s="136"/>
      <c r="C632" s="136"/>
      <c r="D632" s="136"/>
      <c r="E632" s="138"/>
      <c r="F632" s="148" t="s">
        <v>585</v>
      </c>
      <c r="G632" s="148"/>
      <c r="H632" s="136" t="s">
        <v>585</v>
      </c>
      <c r="I632" s="136" t="s">
        <v>585</v>
      </c>
    </row>
    <row r="633">
      <c r="A633" s="135"/>
      <c r="B633" s="136"/>
      <c r="C633" s="136"/>
      <c r="D633" s="136"/>
      <c r="E633" s="138"/>
      <c r="F633" s="148" t="s">
        <v>585</v>
      </c>
      <c r="G633" s="148"/>
      <c r="H633" s="136" t="s">
        <v>585</v>
      </c>
      <c r="I633" s="136" t="s">
        <v>585</v>
      </c>
    </row>
    <row r="634">
      <c r="A634" s="135"/>
      <c r="B634" s="136"/>
      <c r="C634" s="136"/>
      <c r="D634" s="136"/>
      <c r="E634" s="138"/>
      <c r="F634" s="148" t="s">
        <v>585</v>
      </c>
      <c r="G634" s="148"/>
      <c r="H634" s="136" t="s">
        <v>585</v>
      </c>
      <c r="I634" s="136" t="s">
        <v>585</v>
      </c>
    </row>
    <row r="635">
      <c r="A635" s="135"/>
      <c r="B635" s="136"/>
      <c r="C635" s="136"/>
      <c r="D635" s="136"/>
      <c r="E635" s="138"/>
      <c r="F635" s="148" t="s">
        <v>585</v>
      </c>
      <c r="G635" s="148"/>
      <c r="H635" s="136" t="s">
        <v>585</v>
      </c>
      <c r="I635" s="136" t="s">
        <v>585</v>
      </c>
    </row>
    <row r="636">
      <c r="A636" s="135"/>
      <c r="B636" s="136"/>
      <c r="C636" s="136"/>
      <c r="D636" s="136"/>
      <c r="E636" s="138"/>
      <c r="F636" s="148" t="s">
        <v>585</v>
      </c>
      <c r="G636" s="148"/>
      <c r="H636" s="136" t="s">
        <v>585</v>
      </c>
      <c r="I636" s="136" t="s">
        <v>585</v>
      </c>
    </row>
    <row r="637">
      <c r="A637" s="135"/>
      <c r="B637" s="136"/>
      <c r="C637" s="136"/>
      <c r="D637" s="136"/>
      <c r="E637" s="138"/>
      <c r="F637" s="148" t="s">
        <v>585</v>
      </c>
      <c r="G637" s="148"/>
      <c r="H637" s="136" t="s">
        <v>585</v>
      </c>
      <c r="I637" s="136" t="s">
        <v>585</v>
      </c>
    </row>
    <row r="638">
      <c r="A638" s="135"/>
      <c r="B638" s="136"/>
      <c r="C638" s="136"/>
      <c r="D638" s="136"/>
      <c r="E638" s="138"/>
      <c r="F638" s="148" t="s">
        <v>585</v>
      </c>
      <c r="G638" s="148"/>
      <c r="H638" s="136" t="s">
        <v>585</v>
      </c>
      <c r="I638" s="136" t="s">
        <v>585</v>
      </c>
    </row>
    <row r="639">
      <c r="A639" s="135"/>
      <c r="B639" s="136"/>
      <c r="C639" s="136"/>
      <c r="D639" s="136"/>
      <c r="E639" s="138"/>
      <c r="F639" s="148" t="s">
        <v>585</v>
      </c>
      <c r="G639" s="148"/>
      <c r="H639" s="136" t="s">
        <v>585</v>
      </c>
      <c r="I639" s="136" t="s">
        <v>585</v>
      </c>
    </row>
    <row r="640">
      <c r="A640" s="135"/>
      <c r="B640" s="136"/>
      <c r="C640" s="136"/>
      <c r="D640" s="136"/>
      <c r="E640" s="138"/>
      <c r="F640" s="148" t="s">
        <v>585</v>
      </c>
      <c r="G640" s="148"/>
      <c r="H640" s="136" t="s">
        <v>585</v>
      </c>
      <c r="I640" s="136" t="s">
        <v>585</v>
      </c>
    </row>
    <row r="641">
      <c r="A641" s="135"/>
      <c r="B641" s="136"/>
      <c r="C641" s="136"/>
      <c r="D641" s="136"/>
      <c r="E641" s="138"/>
      <c r="F641" s="148" t="s">
        <v>585</v>
      </c>
      <c r="G641" s="148"/>
      <c r="H641" s="136" t="s">
        <v>585</v>
      </c>
      <c r="I641" s="136" t="s">
        <v>585</v>
      </c>
    </row>
    <row r="642">
      <c r="A642" s="135"/>
      <c r="B642" s="136"/>
      <c r="C642" s="136"/>
      <c r="D642" s="136"/>
      <c r="E642" s="138"/>
      <c r="F642" s="148" t="s">
        <v>585</v>
      </c>
      <c r="G642" s="148"/>
      <c r="H642" s="136" t="s">
        <v>585</v>
      </c>
      <c r="I642" s="136" t="s">
        <v>585</v>
      </c>
    </row>
    <row r="643">
      <c r="A643" s="135"/>
      <c r="B643" s="136"/>
      <c r="C643" s="136"/>
      <c r="D643" s="136"/>
      <c r="E643" s="138"/>
      <c r="F643" s="148" t="s">
        <v>585</v>
      </c>
      <c r="G643" s="148"/>
      <c r="H643" s="136" t="s">
        <v>585</v>
      </c>
      <c r="I643" s="136" t="s">
        <v>585</v>
      </c>
    </row>
    <row r="644">
      <c r="A644" s="135"/>
      <c r="B644" s="136"/>
      <c r="C644" s="136"/>
      <c r="D644" s="136"/>
      <c r="E644" s="138"/>
      <c r="F644" s="148" t="s">
        <v>585</v>
      </c>
      <c r="G644" s="148"/>
      <c r="H644" s="136" t="s">
        <v>585</v>
      </c>
      <c r="I644" s="136" t="s">
        <v>585</v>
      </c>
    </row>
    <row r="645">
      <c r="A645" s="135"/>
      <c r="B645" s="136"/>
      <c r="C645" s="136"/>
      <c r="D645" s="136"/>
      <c r="E645" s="138"/>
      <c r="F645" s="148" t="s">
        <v>585</v>
      </c>
      <c r="G645" s="148"/>
      <c r="H645" s="136" t="s">
        <v>585</v>
      </c>
      <c r="I645" s="136" t="s">
        <v>585</v>
      </c>
    </row>
    <row r="646">
      <c r="A646" s="135"/>
      <c r="B646" s="136"/>
      <c r="C646" s="136"/>
      <c r="D646" s="136"/>
      <c r="E646" s="138"/>
      <c r="F646" s="148" t="s">
        <v>585</v>
      </c>
      <c r="G646" s="148"/>
      <c r="H646" s="136" t="s">
        <v>585</v>
      </c>
      <c r="I646" s="136" t="s">
        <v>585</v>
      </c>
    </row>
    <row r="647">
      <c r="A647" s="135"/>
      <c r="B647" s="136"/>
      <c r="C647" s="136"/>
      <c r="D647" s="136"/>
      <c r="E647" s="138"/>
      <c r="F647" s="148" t="s">
        <v>585</v>
      </c>
      <c r="G647" s="148"/>
      <c r="H647" s="136" t="s">
        <v>585</v>
      </c>
      <c r="I647" s="136" t="s">
        <v>585</v>
      </c>
    </row>
    <row r="648">
      <c r="A648" s="135"/>
      <c r="B648" s="136"/>
      <c r="C648" s="136"/>
      <c r="D648" s="136"/>
      <c r="E648" s="138"/>
      <c r="F648" s="148" t="s">
        <v>585</v>
      </c>
      <c r="G648" s="148"/>
      <c r="H648" s="136" t="s">
        <v>585</v>
      </c>
      <c r="I648" s="136" t="s">
        <v>585</v>
      </c>
    </row>
    <row r="649">
      <c r="A649" s="135"/>
      <c r="B649" s="136"/>
      <c r="C649" s="136"/>
      <c r="D649" s="136"/>
      <c r="E649" s="138"/>
      <c r="F649" s="148" t="s">
        <v>585</v>
      </c>
      <c r="G649" s="148"/>
      <c r="H649" s="136" t="s">
        <v>585</v>
      </c>
      <c r="I649" s="136" t="s">
        <v>585</v>
      </c>
    </row>
    <row r="650">
      <c r="A650" s="135"/>
      <c r="B650" s="136"/>
      <c r="C650" s="136"/>
      <c r="D650" s="136"/>
      <c r="E650" s="138"/>
      <c r="F650" s="148" t="s">
        <v>585</v>
      </c>
      <c r="G650" s="148"/>
      <c r="H650" s="136" t="s">
        <v>585</v>
      </c>
      <c r="I650" s="136" t="s">
        <v>585</v>
      </c>
    </row>
    <row r="651">
      <c r="A651" s="135"/>
      <c r="B651" s="136"/>
      <c r="C651" s="136"/>
      <c r="D651" s="136"/>
      <c r="E651" s="138"/>
      <c r="F651" s="148" t="s">
        <v>585</v>
      </c>
      <c r="G651" s="148"/>
      <c r="H651" s="136" t="s">
        <v>585</v>
      </c>
      <c r="I651" s="136" t="s">
        <v>585</v>
      </c>
    </row>
    <row r="652">
      <c r="A652" s="135"/>
      <c r="B652" s="136"/>
      <c r="C652" s="136"/>
      <c r="D652" s="136"/>
      <c r="E652" s="138"/>
      <c r="F652" s="148" t="s">
        <v>585</v>
      </c>
      <c r="G652" s="148"/>
      <c r="H652" s="136" t="s">
        <v>585</v>
      </c>
      <c r="I652" s="136" t="s">
        <v>585</v>
      </c>
    </row>
    <row r="653">
      <c r="A653" s="135"/>
      <c r="B653" s="136"/>
      <c r="C653" s="136"/>
      <c r="D653" s="136"/>
      <c r="E653" s="138"/>
      <c r="F653" s="148" t="s">
        <v>585</v>
      </c>
      <c r="G653" s="148"/>
      <c r="H653" s="136" t="s">
        <v>585</v>
      </c>
      <c r="I653" s="136" t="s">
        <v>585</v>
      </c>
    </row>
    <row r="654">
      <c r="A654" s="135"/>
      <c r="B654" s="136"/>
      <c r="C654" s="136"/>
      <c r="D654" s="136"/>
      <c r="E654" s="138"/>
      <c r="F654" s="148" t="s">
        <v>585</v>
      </c>
      <c r="G654" s="148"/>
      <c r="H654" s="136" t="s">
        <v>585</v>
      </c>
      <c r="I654" s="136" t="s">
        <v>585</v>
      </c>
    </row>
    <row r="655">
      <c r="A655" s="135"/>
      <c r="B655" s="136"/>
      <c r="C655" s="136"/>
      <c r="D655" s="136"/>
      <c r="E655" s="138"/>
      <c r="F655" s="148" t="s">
        <v>585</v>
      </c>
      <c r="G655" s="148"/>
      <c r="H655" s="136" t="s">
        <v>585</v>
      </c>
      <c r="I655" s="136" t="s">
        <v>585</v>
      </c>
    </row>
    <row r="656">
      <c r="A656" s="135"/>
      <c r="B656" s="136"/>
      <c r="C656" s="136"/>
      <c r="D656" s="136"/>
      <c r="E656" s="138"/>
      <c r="F656" s="148" t="s">
        <v>585</v>
      </c>
      <c r="G656" s="148"/>
      <c r="H656" s="136" t="s">
        <v>585</v>
      </c>
      <c r="I656" s="136" t="s">
        <v>585</v>
      </c>
    </row>
    <row r="657">
      <c r="A657" s="135"/>
      <c r="B657" s="136"/>
      <c r="C657" s="136"/>
      <c r="D657" s="136"/>
      <c r="E657" s="138"/>
      <c r="F657" s="148" t="s">
        <v>585</v>
      </c>
      <c r="G657" s="148"/>
      <c r="H657" s="136" t="s">
        <v>585</v>
      </c>
      <c r="I657" s="136" t="s">
        <v>585</v>
      </c>
    </row>
    <row r="658">
      <c r="A658" s="135"/>
      <c r="B658" s="136"/>
      <c r="C658" s="136"/>
      <c r="D658" s="136"/>
      <c r="E658" s="138"/>
      <c r="F658" s="148" t="s">
        <v>585</v>
      </c>
      <c r="G658" s="148"/>
      <c r="H658" s="136" t="s">
        <v>585</v>
      </c>
      <c r="I658" s="136" t="s">
        <v>585</v>
      </c>
    </row>
    <row r="659">
      <c r="A659" s="135"/>
      <c r="B659" s="136"/>
      <c r="C659" s="136"/>
      <c r="D659" s="136"/>
      <c r="E659" s="138"/>
      <c r="F659" s="148" t="s">
        <v>585</v>
      </c>
      <c r="G659" s="148"/>
      <c r="H659" s="136" t="s">
        <v>585</v>
      </c>
      <c r="I659" s="136" t="s">
        <v>585</v>
      </c>
    </row>
    <row r="660">
      <c r="A660" s="135"/>
      <c r="B660" s="136"/>
      <c r="C660" s="136"/>
      <c r="D660" s="136"/>
      <c r="E660" s="138"/>
      <c r="F660" s="148" t="s">
        <v>585</v>
      </c>
      <c r="G660" s="148"/>
      <c r="H660" s="136" t="s">
        <v>585</v>
      </c>
      <c r="I660" s="136" t="s">
        <v>585</v>
      </c>
    </row>
    <row r="661">
      <c r="A661" s="135"/>
      <c r="B661" s="136"/>
      <c r="C661" s="136"/>
      <c r="D661" s="136"/>
      <c r="E661" s="138"/>
      <c r="F661" s="148" t="s">
        <v>585</v>
      </c>
      <c r="G661" s="148"/>
      <c r="H661" s="136" t="s">
        <v>585</v>
      </c>
      <c r="I661" s="136" t="s">
        <v>585</v>
      </c>
    </row>
    <row r="662">
      <c r="A662" s="135"/>
      <c r="B662" s="136"/>
      <c r="C662" s="136"/>
      <c r="D662" s="136"/>
      <c r="E662" s="138"/>
      <c r="F662" s="148" t="s">
        <v>585</v>
      </c>
      <c r="G662" s="148"/>
      <c r="H662" s="136" t="s">
        <v>585</v>
      </c>
      <c r="I662" s="136" t="s">
        <v>585</v>
      </c>
    </row>
    <row r="663">
      <c r="A663" s="135"/>
      <c r="B663" s="136"/>
      <c r="C663" s="136"/>
      <c r="D663" s="136"/>
      <c r="E663" s="138"/>
      <c r="F663" s="148" t="s">
        <v>585</v>
      </c>
      <c r="G663" s="148"/>
      <c r="H663" s="136" t="s">
        <v>585</v>
      </c>
      <c r="I663" s="136" t="s">
        <v>585</v>
      </c>
    </row>
    <row r="664">
      <c r="A664" s="135"/>
      <c r="B664" s="136"/>
      <c r="C664" s="136"/>
      <c r="D664" s="136"/>
      <c r="E664" s="138"/>
      <c r="F664" s="148" t="s">
        <v>585</v>
      </c>
      <c r="G664" s="148"/>
      <c r="H664" s="136" t="s">
        <v>585</v>
      </c>
      <c r="I664" s="136" t="s">
        <v>585</v>
      </c>
    </row>
    <row r="665">
      <c r="A665" s="135"/>
      <c r="B665" s="136"/>
      <c r="C665" s="136"/>
      <c r="D665" s="136"/>
      <c r="E665" s="138"/>
      <c r="F665" s="148" t="s">
        <v>585</v>
      </c>
      <c r="G665" s="148"/>
      <c r="H665" s="136" t="s">
        <v>585</v>
      </c>
      <c r="I665" s="136" t="s">
        <v>585</v>
      </c>
    </row>
    <row r="666">
      <c r="A666" s="135"/>
      <c r="B666" s="136"/>
      <c r="C666" s="136"/>
      <c r="D666" s="136"/>
      <c r="E666" s="138"/>
      <c r="F666" s="148" t="s">
        <v>585</v>
      </c>
      <c r="G666" s="148"/>
      <c r="H666" s="136" t="s">
        <v>585</v>
      </c>
      <c r="I666" s="136" t="s">
        <v>585</v>
      </c>
    </row>
    <row r="667">
      <c r="A667" s="135"/>
      <c r="B667" s="136"/>
      <c r="C667" s="136"/>
      <c r="D667" s="136"/>
      <c r="E667" s="138"/>
      <c r="F667" s="148" t="s">
        <v>585</v>
      </c>
      <c r="G667" s="148"/>
      <c r="H667" s="136" t="s">
        <v>585</v>
      </c>
      <c r="I667" s="136" t="s">
        <v>585</v>
      </c>
    </row>
    <row r="668">
      <c r="A668" s="135"/>
      <c r="B668" s="136"/>
      <c r="C668" s="136"/>
      <c r="D668" s="136"/>
      <c r="E668" s="138"/>
      <c r="F668" s="148" t="s">
        <v>585</v>
      </c>
      <c r="G668" s="148"/>
      <c r="H668" s="136" t="s">
        <v>585</v>
      </c>
      <c r="I668" s="136" t="s">
        <v>585</v>
      </c>
    </row>
    <row r="669">
      <c r="A669" s="135"/>
      <c r="B669" s="136"/>
      <c r="C669" s="136"/>
      <c r="D669" s="136"/>
      <c r="E669" s="138"/>
      <c r="F669" s="148" t="s">
        <v>585</v>
      </c>
      <c r="G669" s="148"/>
      <c r="H669" s="136" t="s">
        <v>585</v>
      </c>
      <c r="I669" s="136" t="s">
        <v>585</v>
      </c>
    </row>
    <row r="670">
      <c r="A670" s="135"/>
      <c r="B670" s="136"/>
      <c r="C670" s="136"/>
      <c r="D670" s="136"/>
      <c r="E670" s="138"/>
      <c r="F670" s="148" t="s">
        <v>585</v>
      </c>
      <c r="G670" s="148"/>
      <c r="H670" s="136" t="s">
        <v>585</v>
      </c>
      <c r="I670" s="136" t="s">
        <v>585</v>
      </c>
    </row>
    <row r="671">
      <c r="A671" s="135"/>
      <c r="B671" s="136"/>
      <c r="C671" s="136"/>
      <c r="D671" s="136"/>
      <c r="E671" s="138"/>
      <c r="F671" s="148" t="s">
        <v>585</v>
      </c>
      <c r="G671" s="148"/>
      <c r="H671" s="136" t="s">
        <v>585</v>
      </c>
      <c r="I671" s="136" t="s">
        <v>585</v>
      </c>
    </row>
    <row r="672">
      <c r="A672" s="135"/>
      <c r="B672" s="136"/>
      <c r="C672" s="136"/>
      <c r="D672" s="136"/>
      <c r="E672" s="138"/>
      <c r="F672" s="148" t="s">
        <v>585</v>
      </c>
      <c r="G672" s="148"/>
      <c r="H672" s="136" t="s">
        <v>585</v>
      </c>
      <c r="I672" s="136" t="s">
        <v>585</v>
      </c>
    </row>
    <row r="673">
      <c r="A673" s="135"/>
      <c r="B673" s="136"/>
      <c r="C673" s="136"/>
      <c r="D673" s="136"/>
      <c r="E673" s="138"/>
      <c r="F673" s="148" t="s">
        <v>585</v>
      </c>
      <c r="G673" s="148"/>
      <c r="H673" s="136" t="s">
        <v>585</v>
      </c>
      <c r="I673" s="136" t="s">
        <v>585</v>
      </c>
    </row>
    <row r="674">
      <c r="A674" s="135"/>
      <c r="B674" s="136"/>
      <c r="C674" s="136"/>
      <c r="D674" s="136"/>
      <c r="E674" s="138"/>
      <c r="F674" s="148" t="s">
        <v>585</v>
      </c>
      <c r="G674" s="148"/>
      <c r="H674" s="136" t="s">
        <v>585</v>
      </c>
      <c r="I674" s="136" t="s">
        <v>585</v>
      </c>
    </row>
    <row r="675">
      <c r="A675" s="135"/>
      <c r="B675" s="136"/>
      <c r="C675" s="136"/>
      <c r="D675" s="136"/>
      <c r="E675" s="138"/>
      <c r="F675" s="148" t="s">
        <v>585</v>
      </c>
      <c r="G675" s="148"/>
      <c r="H675" s="136" t="s">
        <v>585</v>
      </c>
      <c r="I675" s="136" t="s">
        <v>585</v>
      </c>
    </row>
    <row r="676">
      <c r="A676" s="135"/>
      <c r="B676" s="136"/>
      <c r="C676" s="136"/>
      <c r="D676" s="136"/>
      <c r="E676" s="138"/>
      <c r="F676" s="148" t="s">
        <v>585</v>
      </c>
      <c r="G676" s="148"/>
      <c r="H676" s="136" t="s">
        <v>585</v>
      </c>
      <c r="I676" s="136" t="s">
        <v>585</v>
      </c>
    </row>
    <row r="677">
      <c r="A677" s="135"/>
      <c r="B677" s="136"/>
      <c r="C677" s="136"/>
      <c r="D677" s="136"/>
      <c r="E677" s="138"/>
      <c r="F677" s="148" t="s">
        <v>585</v>
      </c>
      <c r="G677" s="148"/>
      <c r="H677" s="136" t="s">
        <v>585</v>
      </c>
      <c r="I677" s="136" t="s">
        <v>585</v>
      </c>
    </row>
    <row r="678">
      <c r="A678" s="135"/>
      <c r="B678" s="136"/>
      <c r="C678" s="136"/>
      <c r="D678" s="136"/>
      <c r="E678" s="138"/>
      <c r="F678" s="148" t="s">
        <v>585</v>
      </c>
      <c r="G678" s="148"/>
      <c r="H678" s="136" t="s">
        <v>585</v>
      </c>
      <c r="I678" s="136" t="s">
        <v>585</v>
      </c>
    </row>
    <row r="679">
      <c r="A679" s="135"/>
      <c r="B679" s="136"/>
      <c r="C679" s="136"/>
      <c r="D679" s="136"/>
      <c r="E679" s="138"/>
      <c r="F679" s="148" t="s">
        <v>585</v>
      </c>
      <c r="G679" s="148"/>
      <c r="H679" s="136" t="s">
        <v>585</v>
      </c>
      <c r="I679" s="136" t="s">
        <v>585</v>
      </c>
    </row>
    <row r="680">
      <c r="A680" s="135"/>
      <c r="B680" s="136"/>
      <c r="C680" s="136"/>
      <c r="D680" s="136"/>
      <c r="E680" s="138"/>
      <c r="F680" s="148" t="s">
        <v>585</v>
      </c>
      <c r="G680" s="148"/>
      <c r="H680" s="136" t="s">
        <v>585</v>
      </c>
      <c r="I680" s="136" t="s">
        <v>585</v>
      </c>
    </row>
    <row r="681">
      <c r="A681" s="135"/>
      <c r="B681" s="136"/>
      <c r="C681" s="136"/>
      <c r="D681" s="136"/>
      <c r="E681" s="138"/>
      <c r="F681" s="148" t="s">
        <v>585</v>
      </c>
      <c r="G681" s="148"/>
      <c r="H681" s="136" t="s">
        <v>585</v>
      </c>
      <c r="I681" s="136" t="s">
        <v>585</v>
      </c>
    </row>
    <row r="682">
      <c r="A682" s="135"/>
      <c r="B682" s="136"/>
      <c r="C682" s="136"/>
      <c r="D682" s="136"/>
      <c r="E682" s="138"/>
      <c r="F682" s="148" t="s">
        <v>585</v>
      </c>
      <c r="G682" s="148"/>
      <c r="H682" s="136" t="s">
        <v>585</v>
      </c>
      <c r="I682" s="136" t="s">
        <v>585</v>
      </c>
    </row>
    <row r="683">
      <c r="A683" s="135"/>
      <c r="B683" s="136"/>
      <c r="C683" s="136"/>
      <c r="D683" s="136"/>
      <c r="E683" s="138"/>
      <c r="F683" s="148" t="s">
        <v>585</v>
      </c>
      <c r="G683" s="148"/>
      <c r="H683" s="136" t="s">
        <v>585</v>
      </c>
      <c r="I683" s="136" t="s">
        <v>585</v>
      </c>
    </row>
    <row r="684">
      <c r="A684" s="135"/>
      <c r="B684" s="136"/>
      <c r="C684" s="136"/>
      <c r="D684" s="136"/>
      <c r="E684" s="138"/>
      <c r="F684" s="148" t="s">
        <v>585</v>
      </c>
      <c r="G684" s="148"/>
      <c r="H684" s="136" t="s">
        <v>585</v>
      </c>
      <c r="I684" s="136" t="s">
        <v>585</v>
      </c>
    </row>
    <row r="685">
      <c r="A685" s="135"/>
      <c r="B685" s="136"/>
      <c r="C685" s="136"/>
      <c r="D685" s="136"/>
      <c r="E685" s="138"/>
      <c r="F685" s="148" t="s">
        <v>585</v>
      </c>
      <c r="G685" s="148"/>
      <c r="H685" s="136" t="s">
        <v>585</v>
      </c>
      <c r="I685" s="136" t="s">
        <v>585</v>
      </c>
    </row>
    <row r="686">
      <c r="A686" s="135"/>
      <c r="B686" s="136"/>
      <c r="C686" s="136"/>
      <c r="D686" s="136"/>
      <c r="E686" s="138"/>
      <c r="F686" s="148" t="s">
        <v>585</v>
      </c>
      <c r="G686" s="148"/>
      <c r="H686" s="136" t="s">
        <v>585</v>
      </c>
      <c r="I686" s="136" t="s">
        <v>585</v>
      </c>
    </row>
    <row r="687">
      <c r="A687" s="135"/>
      <c r="B687" s="136"/>
      <c r="C687" s="136"/>
      <c r="D687" s="136"/>
      <c r="E687" s="138"/>
      <c r="F687" s="148" t="s">
        <v>585</v>
      </c>
      <c r="G687" s="148"/>
      <c r="H687" s="136" t="s">
        <v>585</v>
      </c>
      <c r="I687" s="136" t="s">
        <v>585</v>
      </c>
    </row>
    <row r="688">
      <c r="A688" s="135"/>
      <c r="B688" s="136"/>
      <c r="C688" s="136"/>
      <c r="D688" s="136"/>
      <c r="E688" s="138"/>
      <c r="F688" s="148" t="s">
        <v>585</v>
      </c>
      <c r="G688" s="148"/>
      <c r="H688" s="136" t="s">
        <v>585</v>
      </c>
      <c r="I688" s="136" t="s">
        <v>585</v>
      </c>
    </row>
    <row r="689">
      <c r="A689" s="135"/>
      <c r="B689" s="136"/>
      <c r="C689" s="136"/>
      <c r="D689" s="136"/>
      <c r="E689" s="138"/>
      <c r="F689" s="148" t="s">
        <v>585</v>
      </c>
      <c r="G689" s="148"/>
      <c r="H689" s="136" t="s">
        <v>585</v>
      </c>
      <c r="I689" s="136" t="s">
        <v>585</v>
      </c>
    </row>
    <row r="690">
      <c r="A690" s="135"/>
      <c r="B690" s="136"/>
      <c r="C690" s="136"/>
      <c r="D690" s="136"/>
      <c r="E690" s="138"/>
      <c r="F690" s="148" t="s">
        <v>585</v>
      </c>
      <c r="G690" s="148"/>
      <c r="H690" s="136" t="s">
        <v>585</v>
      </c>
      <c r="I690" s="136" t="s">
        <v>585</v>
      </c>
    </row>
    <row r="691">
      <c r="A691" s="135"/>
      <c r="B691" s="136"/>
      <c r="C691" s="136"/>
      <c r="D691" s="136"/>
      <c r="E691" s="138"/>
      <c r="F691" s="148" t="s">
        <v>585</v>
      </c>
      <c r="G691" s="148"/>
      <c r="H691" s="136" t="s">
        <v>585</v>
      </c>
      <c r="I691" s="136" t="s">
        <v>585</v>
      </c>
    </row>
    <row r="692">
      <c r="A692" s="135"/>
      <c r="B692" s="136"/>
      <c r="C692" s="136"/>
      <c r="D692" s="136"/>
      <c r="E692" s="138"/>
      <c r="F692" s="148" t="s">
        <v>585</v>
      </c>
      <c r="G692" s="148"/>
      <c r="H692" s="136" t="s">
        <v>585</v>
      </c>
      <c r="I692" s="136" t="s">
        <v>585</v>
      </c>
    </row>
    <row r="693">
      <c r="A693" s="135"/>
      <c r="B693" s="136"/>
      <c r="C693" s="136"/>
      <c r="D693" s="136"/>
      <c r="E693" s="138"/>
      <c r="F693" s="148" t="s">
        <v>585</v>
      </c>
      <c r="G693" s="148"/>
      <c r="H693" s="136" t="s">
        <v>585</v>
      </c>
      <c r="I693" s="136" t="s">
        <v>585</v>
      </c>
    </row>
    <row r="694">
      <c r="A694" s="135"/>
      <c r="B694" s="136"/>
      <c r="C694" s="136"/>
      <c r="D694" s="136"/>
      <c r="E694" s="138"/>
      <c r="F694" s="148" t="s">
        <v>585</v>
      </c>
      <c r="G694" s="148"/>
      <c r="H694" s="136" t="s">
        <v>585</v>
      </c>
      <c r="I694" s="136" t="s">
        <v>585</v>
      </c>
    </row>
    <row r="695">
      <c r="A695" s="135"/>
      <c r="B695" s="136"/>
      <c r="C695" s="136"/>
      <c r="D695" s="136"/>
      <c r="E695" s="138"/>
      <c r="F695" s="148" t="s">
        <v>585</v>
      </c>
      <c r="G695" s="148"/>
      <c r="H695" s="136" t="s">
        <v>585</v>
      </c>
      <c r="I695" s="136" t="s">
        <v>585</v>
      </c>
    </row>
    <row r="696">
      <c r="A696" s="135"/>
      <c r="B696" s="136"/>
      <c r="C696" s="136"/>
      <c r="D696" s="136"/>
      <c r="E696" s="138"/>
      <c r="F696" s="148" t="s">
        <v>585</v>
      </c>
      <c r="G696" s="148"/>
      <c r="H696" s="136" t="s">
        <v>585</v>
      </c>
      <c r="I696" s="136" t="s">
        <v>585</v>
      </c>
    </row>
    <row r="697">
      <c r="A697" s="135"/>
      <c r="B697" s="136"/>
      <c r="C697" s="136"/>
      <c r="D697" s="136"/>
      <c r="E697" s="138"/>
      <c r="F697" s="148" t="s">
        <v>585</v>
      </c>
      <c r="G697" s="148"/>
      <c r="H697" s="136" t="s">
        <v>585</v>
      </c>
      <c r="I697" s="136" t="s">
        <v>585</v>
      </c>
    </row>
    <row r="698">
      <c r="A698" s="135"/>
      <c r="B698" s="136"/>
      <c r="C698" s="136"/>
      <c r="D698" s="136"/>
      <c r="E698" s="138"/>
      <c r="F698" s="148" t="s">
        <v>585</v>
      </c>
      <c r="G698" s="148"/>
      <c r="H698" s="136" t="s">
        <v>585</v>
      </c>
      <c r="I698" s="136" t="s">
        <v>585</v>
      </c>
    </row>
    <row r="699">
      <c r="A699" s="135"/>
      <c r="B699" s="136"/>
      <c r="C699" s="136"/>
      <c r="D699" s="136"/>
      <c r="E699" s="138"/>
      <c r="F699" s="148" t="s">
        <v>585</v>
      </c>
      <c r="G699" s="148"/>
      <c r="H699" s="136" t="s">
        <v>585</v>
      </c>
      <c r="I699" s="136" t="s">
        <v>585</v>
      </c>
    </row>
    <row r="700">
      <c r="A700" s="135"/>
      <c r="B700" s="136"/>
      <c r="C700" s="136"/>
      <c r="D700" s="136"/>
      <c r="E700" s="138"/>
      <c r="F700" s="148" t="s">
        <v>585</v>
      </c>
      <c r="G700" s="148"/>
      <c r="H700" s="136" t="s">
        <v>585</v>
      </c>
      <c r="I700" s="136" t="s">
        <v>585</v>
      </c>
    </row>
    <row r="701">
      <c r="A701" s="135"/>
      <c r="B701" s="136"/>
      <c r="C701" s="136"/>
      <c r="D701" s="136"/>
      <c r="E701" s="138"/>
      <c r="F701" s="148" t="s">
        <v>585</v>
      </c>
      <c r="G701" s="148"/>
      <c r="H701" s="136" t="s">
        <v>585</v>
      </c>
      <c r="I701" s="136" t="s">
        <v>585</v>
      </c>
    </row>
    <row r="702">
      <c r="A702" s="135"/>
      <c r="B702" s="136"/>
      <c r="C702" s="136"/>
      <c r="D702" s="136"/>
      <c r="E702" s="138"/>
      <c r="F702" s="148" t="s">
        <v>585</v>
      </c>
      <c r="G702" s="148"/>
      <c r="H702" s="136" t="s">
        <v>585</v>
      </c>
      <c r="I702" s="136" t="s">
        <v>585</v>
      </c>
    </row>
    <row r="703">
      <c r="A703" s="135"/>
      <c r="B703" s="136"/>
      <c r="C703" s="136"/>
      <c r="D703" s="136"/>
      <c r="E703" s="138"/>
      <c r="F703" s="148" t="s">
        <v>585</v>
      </c>
      <c r="G703" s="148"/>
      <c r="H703" s="136" t="s">
        <v>585</v>
      </c>
      <c r="I703" s="136" t="s">
        <v>585</v>
      </c>
    </row>
    <row r="704">
      <c r="A704" s="135"/>
      <c r="B704" s="136"/>
      <c r="C704" s="136"/>
      <c r="D704" s="136"/>
      <c r="E704" s="138"/>
      <c r="F704" s="148" t="s">
        <v>585</v>
      </c>
      <c r="G704" s="148"/>
      <c r="H704" s="136" t="s">
        <v>585</v>
      </c>
      <c r="I704" s="136" t="s">
        <v>585</v>
      </c>
    </row>
    <row r="705">
      <c r="A705" s="135"/>
      <c r="B705" s="136"/>
      <c r="C705" s="136"/>
      <c r="D705" s="136"/>
      <c r="E705" s="138"/>
      <c r="F705" s="148" t="s">
        <v>585</v>
      </c>
      <c r="G705" s="148"/>
      <c r="H705" s="136" t="s">
        <v>585</v>
      </c>
      <c r="I705" s="136" t="s">
        <v>585</v>
      </c>
    </row>
    <row r="706">
      <c r="A706" s="135"/>
      <c r="B706" s="136"/>
      <c r="C706" s="136"/>
      <c r="D706" s="136"/>
      <c r="E706" s="138"/>
      <c r="F706" s="148" t="s">
        <v>585</v>
      </c>
      <c r="G706" s="148"/>
      <c r="H706" s="136" t="s">
        <v>585</v>
      </c>
      <c r="I706" s="136" t="s">
        <v>585</v>
      </c>
    </row>
    <row r="707">
      <c r="A707" s="135"/>
      <c r="B707" s="136"/>
      <c r="C707" s="136"/>
      <c r="D707" s="136"/>
      <c r="E707" s="138"/>
      <c r="F707" s="148" t="s">
        <v>585</v>
      </c>
      <c r="G707" s="148"/>
      <c r="H707" s="136" t="s">
        <v>585</v>
      </c>
      <c r="I707" s="136" t="s">
        <v>585</v>
      </c>
    </row>
    <row r="708">
      <c r="A708" s="135"/>
      <c r="B708" s="136"/>
      <c r="C708" s="136"/>
      <c r="D708" s="136"/>
      <c r="E708" s="138"/>
      <c r="F708" s="148" t="s">
        <v>585</v>
      </c>
      <c r="G708" s="148"/>
      <c r="H708" s="136" t="s">
        <v>585</v>
      </c>
      <c r="I708" s="136" t="s">
        <v>585</v>
      </c>
    </row>
    <row r="709">
      <c r="A709" s="135"/>
      <c r="B709" s="136"/>
      <c r="C709" s="136"/>
      <c r="D709" s="136"/>
      <c r="E709" s="138"/>
      <c r="F709" s="148" t="s">
        <v>585</v>
      </c>
      <c r="G709" s="148"/>
      <c r="H709" s="136" t="s">
        <v>585</v>
      </c>
      <c r="I709" s="136" t="s">
        <v>585</v>
      </c>
    </row>
    <row r="710">
      <c r="A710" s="135"/>
      <c r="B710" s="136"/>
      <c r="C710" s="136"/>
      <c r="D710" s="136"/>
      <c r="E710" s="138"/>
      <c r="F710" s="148" t="s">
        <v>585</v>
      </c>
      <c r="G710" s="148"/>
      <c r="H710" s="136" t="s">
        <v>585</v>
      </c>
      <c r="I710" s="136" t="s">
        <v>585</v>
      </c>
    </row>
    <row r="711">
      <c r="A711" s="135"/>
      <c r="B711" s="136"/>
      <c r="C711" s="136"/>
      <c r="D711" s="136"/>
      <c r="E711" s="138"/>
      <c r="F711" s="148" t="s">
        <v>585</v>
      </c>
      <c r="G711" s="148"/>
      <c r="H711" s="136" t="s">
        <v>585</v>
      </c>
      <c r="I711" s="136" t="s">
        <v>585</v>
      </c>
    </row>
    <row r="712">
      <c r="A712" s="135"/>
      <c r="B712" s="136"/>
      <c r="C712" s="136"/>
      <c r="D712" s="136"/>
      <c r="E712" s="138"/>
      <c r="F712" s="148" t="s">
        <v>585</v>
      </c>
      <c r="G712" s="148"/>
      <c r="H712" s="136" t="s">
        <v>585</v>
      </c>
      <c r="I712" s="136" t="s">
        <v>585</v>
      </c>
    </row>
    <row r="713">
      <c r="A713" s="135"/>
      <c r="B713" s="136"/>
      <c r="C713" s="136"/>
      <c r="D713" s="136"/>
      <c r="E713" s="138"/>
      <c r="F713" s="148" t="s">
        <v>585</v>
      </c>
      <c r="G713" s="148"/>
      <c r="H713" s="136" t="s">
        <v>585</v>
      </c>
      <c r="I713" s="136" t="s">
        <v>585</v>
      </c>
    </row>
    <row r="714">
      <c r="A714" s="135"/>
      <c r="B714" s="136"/>
      <c r="C714" s="136"/>
      <c r="D714" s="136"/>
      <c r="E714" s="138"/>
      <c r="F714" s="148" t="s">
        <v>585</v>
      </c>
      <c r="G714" s="148"/>
      <c r="H714" s="136" t="s">
        <v>585</v>
      </c>
      <c r="I714" s="136" t="s">
        <v>585</v>
      </c>
    </row>
    <row r="715">
      <c r="A715" s="135"/>
      <c r="B715" s="136"/>
      <c r="C715" s="136"/>
      <c r="D715" s="136"/>
      <c r="E715" s="138"/>
      <c r="F715" s="148" t="s">
        <v>585</v>
      </c>
      <c r="G715" s="148"/>
      <c r="H715" s="136" t="s">
        <v>585</v>
      </c>
      <c r="I715" s="136" t="s">
        <v>585</v>
      </c>
    </row>
    <row r="716">
      <c r="A716" s="135"/>
      <c r="B716" s="136"/>
      <c r="C716" s="136"/>
      <c r="D716" s="136"/>
      <c r="E716" s="138"/>
      <c r="F716" s="148" t="s">
        <v>585</v>
      </c>
      <c r="G716" s="148"/>
      <c r="H716" s="136" t="s">
        <v>585</v>
      </c>
      <c r="I716" s="136" t="s">
        <v>585</v>
      </c>
    </row>
    <row r="717">
      <c r="A717" s="135"/>
      <c r="B717" s="136"/>
      <c r="C717" s="136"/>
      <c r="D717" s="136"/>
      <c r="E717" s="138"/>
      <c r="F717" s="148" t="s">
        <v>585</v>
      </c>
      <c r="G717" s="148"/>
      <c r="H717" s="136" t="s">
        <v>585</v>
      </c>
      <c r="I717" s="136" t="s">
        <v>585</v>
      </c>
    </row>
    <row r="718">
      <c r="A718" s="135"/>
      <c r="B718" s="136"/>
      <c r="C718" s="136"/>
      <c r="D718" s="136"/>
      <c r="E718" s="138"/>
      <c r="F718" s="148" t="s">
        <v>585</v>
      </c>
      <c r="G718" s="148"/>
      <c r="H718" s="136" t="s">
        <v>585</v>
      </c>
      <c r="I718" s="136" t="s">
        <v>585</v>
      </c>
    </row>
    <row r="719">
      <c r="A719" s="135"/>
      <c r="B719" s="136"/>
      <c r="C719" s="136"/>
      <c r="D719" s="136"/>
      <c r="E719" s="138"/>
      <c r="F719" s="148" t="s">
        <v>585</v>
      </c>
      <c r="G719" s="148"/>
      <c r="H719" s="136" t="s">
        <v>585</v>
      </c>
      <c r="I719" s="136" t="s">
        <v>585</v>
      </c>
    </row>
    <row r="720">
      <c r="A720" s="135"/>
      <c r="B720" s="136"/>
      <c r="C720" s="136"/>
      <c r="D720" s="136"/>
      <c r="E720" s="138"/>
      <c r="F720" s="148" t="s">
        <v>585</v>
      </c>
      <c r="G720" s="148"/>
      <c r="H720" s="136" t="s">
        <v>585</v>
      </c>
      <c r="I720" s="136" t="s">
        <v>585</v>
      </c>
    </row>
    <row r="721">
      <c r="A721" s="135"/>
      <c r="B721" s="136"/>
      <c r="C721" s="136"/>
      <c r="D721" s="136"/>
      <c r="E721" s="138"/>
      <c r="F721" s="148" t="s">
        <v>585</v>
      </c>
      <c r="G721" s="148"/>
      <c r="H721" s="136" t="s">
        <v>585</v>
      </c>
      <c r="I721" s="136" t="s">
        <v>585</v>
      </c>
    </row>
    <row r="722">
      <c r="A722" s="135"/>
      <c r="B722" s="136"/>
      <c r="C722" s="136"/>
      <c r="D722" s="136"/>
      <c r="E722" s="138"/>
      <c r="F722" s="148" t="s">
        <v>585</v>
      </c>
      <c r="G722" s="148"/>
      <c r="H722" s="136" t="s">
        <v>585</v>
      </c>
      <c r="I722" s="136" t="s">
        <v>585</v>
      </c>
    </row>
    <row r="723">
      <c r="A723" s="135"/>
      <c r="B723" s="136"/>
      <c r="C723" s="136"/>
      <c r="D723" s="136"/>
      <c r="E723" s="138"/>
      <c r="F723" s="148" t="s">
        <v>585</v>
      </c>
      <c r="G723" s="148"/>
      <c r="H723" s="136" t="s">
        <v>585</v>
      </c>
      <c r="I723" s="136" t="s">
        <v>585</v>
      </c>
    </row>
    <row r="724">
      <c r="A724" s="135"/>
      <c r="B724" s="136"/>
      <c r="C724" s="136"/>
      <c r="D724" s="136"/>
      <c r="E724" s="138"/>
      <c r="F724" s="148" t="s">
        <v>585</v>
      </c>
      <c r="G724" s="148"/>
      <c r="H724" s="136" t="s">
        <v>585</v>
      </c>
      <c r="I724" s="136" t="s">
        <v>585</v>
      </c>
    </row>
    <row r="725">
      <c r="A725" s="135"/>
      <c r="B725" s="136"/>
      <c r="C725" s="136"/>
      <c r="D725" s="136"/>
      <c r="E725" s="138"/>
      <c r="F725" s="148" t="s">
        <v>585</v>
      </c>
      <c r="G725" s="148"/>
      <c r="H725" s="136" t="s">
        <v>585</v>
      </c>
      <c r="I725" s="136" t="s">
        <v>585</v>
      </c>
    </row>
    <row r="726">
      <c r="A726" s="135"/>
      <c r="B726" s="136"/>
      <c r="C726" s="136"/>
      <c r="D726" s="136"/>
      <c r="E726" s="138"/>
      <c r="F726" s="148" t="s">
        <v>585</v>
      </c>
      <c r="G726" s="148"/>
      <c r="H726" s="136" t="s">
        <v>585</v>
      </c>
      <c r="I726" s="136" t="s">
        <v>585</v>
      </c>
    </row>
    <row r="727">
      <c r="A727" s="135"/>
      <c r="B727" s="136"/>
      <c r="C727" s="136"/>
      <c r="D727" s="136"/>
      <c r="E727" s="138"/>
      <c r="F727" s="148" t="s">
        <v>585</v>
      </c>
      <c r="G727" s="148"/>
      <c r="H727" s="136" t="s">
        <v>585</v>
      </c>
      <c r="I727" s="136" t="s">
        <v>585</v>
      </c>
    </row>
    <row r="728">
      <c r="A728" s="135"/>
      <c r="B728" s="136"/>
      <c r="C728" s="136"/>
      <c r="D728" s="136"/>
      <c r="E728" s="138"/>
      <c r="F728" s="148" t="s">
        <v>585</v>
      </c>
      <c r="G728" s="148"/>
      <c r="H728" s="136" t="s">
        <v>585</v>
      </c>
      <c r="I728" s="136" t="s">
        <v>585</v>
      </c>
    </row>
    <row r="729">
      <c r="A729" s="135"/>
      <c r="B729" s="136"/>
      <c r="C729" s="136"/>
      <c r="D729" s="136"/>
      <c r="E729" s="138"/>
      <c r="F729" s="148" t="s">
        <v>585</v>
      </c>
      <c r="G729" s="148"/>
      <c r="H729" s="136" t="s">
        <v>585</v>
      </c>
      <c r="I729" s="136" t="s">
        <v>585</v>
      </c>
    </row>
    <row r="730">
      <c r="A730" s="135"/>
      <c r="B730" s="136"/>
      <c r="C730" s="136"/>
      <c r="D730" s="136"/>
      <c r="E730" s="138"/>
      <c r="F730" s="148" t="s">
        <v>585</v>
      </c>
      <c r="G730" s="148"/>
      <c r="H730" s="136" t="s">
        <v>585</v>
      </c>
      <c r="I730" s="136" t="s">
        <v>585</v>
      </c>
    </row>
    <row r="731">
      <c r="A731" s="135"/>
      <c r="B731" s="136"/>
      <c r="C731" s="136"/>
      <c r="D731" s="136"/>
      <c r="E731" s="138"/>
      <c r="F731" s="148" t="s">
        <v>585</v>
      </c>
      <c r="G731" s="148"/>
      <c r="H731" s="136" t="s">
        <v>585</v>
      </c>
      <c r="I731" s="136" t="s">
        <v>585</v>
      </c>
    </row>
    <row r="732">
      <c r="A732" s="135"/>
      <c r="B732" s="136"/>
      <c r="C732" s="136"/>
      <c r="D732" s="136"/>
      <c r="E732" s="138"/>
      <c r="F732" s="148" t="s">
        <v>585</v>
      </c>
      <c r="G732" s="148"/>
      <c r="H732" s="136" t="s">
        <v>585</v>
      </c>
      <c r="I732" s="136" t="s">
        <v>585</v>
      </c>
    </row>
    <row r="733">
      <c r="A733" s="135"/>
      <c r="B733" s="136"/>
      <c r="C733" s="136"/>
      <c r="D733" s="136"/>
      <c r="E733" s="138"/>
      <c r="F733" s="148" t="s">
        <v>585</v>
      </c>
      <c r="G733" s="148"/>
      <c r="H733" s="136" t="s">
        <v>585</v>
      </c>
      <c r="I733" s="136" t="s">
        <v>585</v>
      </c>
    </row>
    <row r="734">
      <c r="A734" s="135"/>
      <c r="B734" s="136"/>
      <c r="C734" s="136"/>
      <c r="D734" s="136"/>
      <c r="E734" s="138"/>
      <c r="F734" s="148" t="s">
        <v>585</v>
      </c>
      <c r="G734" s="148"/>
      <c r="H734" s="136" t="s">
        <v>585</v>
      </c>
      <c r="I734" s="136" t="s">
        <v>585</v>
      </c>
    </row>
    <row r="735">
      <c r="A735" s="135"/>
      <c r="B735" s="136"/>
      <c r="C735" s="136"/>
      <c r="D735" s="136"/>
      <c r="E735" s="138"/>
      <c r="F735" s="148" t="s">
        <v>585</v>
      </c>
      <c r="G735" s="148"/>
      <c r="H735" s="136" t="s">
        <v>585</v>
      </c>
      <c r="I735" s="136" t="s">
        <v>585</v>
      </c>
    </row>
    <row r="736">
      <c r="A736" s="135"/>
      <c r="B736" s="136"/>
      <c r="C736" s="136"/>
      <c r="D736" s="136"/>
      <c r="E736" s="138"/>
      <c r="F736" s="148" t="s">
        <v>585</v>
      </c>
      <c r="G736" s="148"/>
      <c r="H736" s="136" t="s">
        <v>585</v>
      </c>
      <c r="I736" s="136" t="s">
        <v>585</v>
      </c>
    </row>
    <row r="737">
      <c r="A737" s="135"/>
      <c r="B737" s="136"/>
      <c r="C737" s="136"/>
      <c r="D737" s="136"/>
      <c r="E737" s="138"/>
      <c r="F737" s="148" t="s">
        <v>585</v>
      </c>
      <c r="G737" s="148"/>
      <c r="H737" s="136" t="s">
        <v>585</v>
      </c>
      <c r="I737" s="136" t="s">
        <v>585</v>
      </c>
    </row>
    <row r="738">
      <c r="A738" s="135"/>
      <c r="B738" s="136"/>
      <c r="C738" s="136"/>
      <c r="D738" s="136"/>
      <c r="E738" s="138"/>
      <c r="F738" s="148" t="s">
        <v>585</v>
      </c>
      <c r="G738" s="148"/>
      <c r="H738" s="136" t="s">
        <v>585</v>
      </c>
      <c r="I738" s="136" t="s">
        <v>585</v>
      </c>
    </row>
    <row r="739">
      <c r="A739" s="135"/>
      <c r="B739" s="136"/>
      <c r="C739" s="136"/>
      <c r="D739" s="136"/>
      <c r="E739" s="138"/>
      <c r="F739" s="148" t="s">
        <v>585</v>
      </c>
      <c r="G739" s="148"/>
      <c r="H739" s="136" t="s">
        <v>585</v>
      </c>
      <c r="I739" s="136" t="s">
        <v>585</v>
      </c>
    </row>
    <row r="740">
      <c r="A740" s="135"/>
      <c r="B740" s="136"/>
      <c r="C740" s="136"/>
      <c r="D740" s="136"/>
      <c r="E740" s="138"/>
      <c r="F740" s="148" t="s">
        <v>585</v>
      </c>
      <c r="G740" s="148"/>
      <c r="H740" s="136" t="s">
        <v>585</v>
      </c>
      <c r="I740" s="136" t="s">
        <v>585</v>
      </c>
    </row>
    <row r="741">
      <c r="A741" s="135"/>
      <c r="B741" s="136"/>
      <c r="C741" s="136"/>
      <c r="D741" s="136"/>
      <c r="E741" s="138"/>
      <c r="F741" s="148" t="s">
        <v>585</v>
      </c>
      <c r="G741" s="148"/>
      <c r="H741" s="136" t="s">
        <v>585</v>
      </c>
      <c r="I741" s="136" t="s">
        <v>585</v>
      </c>
    </row>
    <row r="742">
      <c r="A742" s="135"/>
      <c r="B742" s="136"/>
      <c r="C742" s="136"/>
      <c r="D742" s="136"/>
      <c r="E742" s="138"/>
      <c r="F742" s="148" t="s">
        <v>585</v>
      </c>
      <c r="G742" s="148"/>
      <c r="H742" s="136" t="s">
        <v>585</v>
      </c>
      <c r="I742" s="136" t="s">
        <v>585</v>
      </c>
    </row>
    <row r="743">
      <c r="A743" s="135"/>
      <c r="B743" s="136"/>
      <c r="C743" s="136"/>
      <c r="D743" s="136"/>
      <c r="E743" s="138"/>
      <c r="F743" s="148" t="s">
        <v>585</v>
      </c>
      <c r="G743" s="148"/>
      <c r="H743" s="136" t="s">
        <v>585</v>
      </c>
      <c r="I743" s="136" t="s">
        <v>585</v>
      </c>
    </row>
    <row r="744">
      <c r="A744" s="135"/>
      <c r="B744" s="136"/>
      <c r="C744" s="136"/>
      <c r="D744" s="136"/>
      <c r="E744" s="138"/>
      <c r="F744" s="148" t="s">
        <v>585</v>
      </c>
      <c r="G744" s="148"/>
      <c r="H744" s="136" t="s">
        <v>585</v>
      </c>
      <c r="I744" s="136" t="s">
        <v>585</v>
      </c>
    </row>
    <row r="745">
      <c r="A745" s="135"/>
      <c r="B745" s="136"/>
      <c r="C745" s="136"/>
      <c r="D745" s="136"/>
      <c r="E745" s="138"/>
      <c r="F745" s="148" t="s">
        <v>585</v>
      </c>
      <c r="G745" s="148"/>
      <c r="H745" s="136" t="s">
        <v>585</v>
      </c>
      <c r="I745" s="136" t="s">
        <v>585</v>
      </c>
    </row>
    <row r="746">
      <c r="A746" s="135"/>
      <c r="B746" s="136"/>
      <c r="C746" s="136"/>
      <c r="D746" s="136"/>
      <c r="E746" s="138"/>
      <c r="F746" s="148" t="s">
        <v>585</v>
      </c>
      <c r="G746" s="148"/>
      <c r="H746" s="136" t="s">
        <v>585</v>
      </c>
      <c r="I746" s="136" t="s">
        <v>585</v>
      </c>
    </row>
    <row r="747">
      <c r="A747" s="135"/>
      <c r="B747" s="136"/>
      <c r="C747" s="136"/>
      <c r="D747" s="136"/>
      <c r="E747" s="138"/>
      <c r="F747" s="148" t="s">
        <v>585</v>
      </c>
      <c r="G747" s="148"/>
      <c r="H747" s="136" t="s">
        <v>585</v>
      </c>
      <c r="I747" s="136" t="s">
        <v>585</v>
      </c>
    </row>
    <row r="748">
      <c r="A748" s="135"/>
      <c r="B748" s="136"/>
      <c r="C748" s="136"/>
      <c r="D748" s="136"/>
      <c r="E748" s="138"/>
      <c r="F748" s="148" t="s">
        <v>585</v>
      </c>
      <c r="G748" s="148"/>
      <c r="H748" s="136" t="s">
        <v>585</v>
      </c>
      <c r="I748" s="136" t="s">
        <v>585</v>
      </c>
    </row>
    <row r="749">
      <c r="A749" s="135"/>
      <c r="B749" s="136"/>
      <c r="C749" s="136"/>
      <c r="D749" s="136"/>
      <c r="E749" s="138"/>
      <c r="F749" s="148" t="s">
        <v>585</v>
      </c>
      <c r="G749" s="148"/>
      <c r="H749" s="136" t="s">
        <v>585</v>
      </c>
      <c r="I749" s="136" t="s">
        <v>585</v>
      </c>
    </row>
    <row r="750">
      <c r="A750" s="135"/>
      <c r="B750" s="136"/>
      <c r="C750" s="136"/>
      <c r="D750" s="136"/>
      <c r="E750" s="138"/>
      <c r="F750" s="148" t="s">
        <v>585</v>
      </c>
      <c r="G750" s="148"/>
      <c r="H750" s="136" t="s">
        <v>585</v>
      </c>
      <c r="I750" s="136" t="s">
        <v>585</v>
      </c>
    </row>
    <row r="751">
      <c r="A751" s="135"/>
      <c r="B751" s="136"/>
      <c r="C751" s="136"/>
      <c r="D751" s="136"/>
      <c r="E751" s="138"/>
      <c r="F751" s="148" t="s">
        <v>585</v>
      </c>
      <c r="G751" s="148"/>
      <c r="H751" s="136" t="s">
        <v>585</v>
      </c>
      <c r="I751" s="136" t="s">
        <v>585</v>
      </c>
    </row>
    <row r="752">
      <c r="A752" s="135"/>
      <c r="B752" s="136"/>
      <c r="C752" s="136"/>
      <c r="D752" s="136"/>
      <c r="E752" s="138"/>
      <c r="F752" s="148" t="s">
        <v>585</v>
      </c>
      <c r="G752" s="148"/>
      <c r="H752" s="136" t="s">
        <v>585</v>
      </c>
      <c r="I752" s="136" t="s">
        <v>585</v>
      </c>
    </row>
    <row r="753">
      <c r="A753" s="135"/>
      <c r="B753" s="136"/>
      <c r="C753" s="136"/>
      <c r="D753" s="136"/>
      <c r="E753" s="138"/>
      <c r="F753" s="148" t="s">
        <v>585</v>
      </c>
      <c r="G753" s="148"/>
      <c r="H753" s="136" t="s">
        <v>585</v>
      </c>
      <c r="I753" s="136" t="s">
        <v>585</v>
      </c>
    </row>
    <row r="754">
      <c r="A754" s="135"/>
      <c r="B754" s="136"/>
      <c r="C754" s="136"/>
      <c r="D754" s="136"/>
      <c r="E754" s="138"/>
      <c r="F754" s="148" t="s">
        <v>585</v>
      </c>
      <c r="G754" s="148"/>
      <c r="H754" s="136" t="s">
        <v>585</v>
      </c>
      <c r="I754" s="136" t="s">
        <v>585</v>
      </c>
    </row>
    <row r="755">
      <c r="A755" s="135"/>
      <c r="B755" s="136"/>
      <c r="C755" s="136"/>
      <c r="D755" s="136"/>
      <c r="E755" s="138"/>
      <c r="F755" s="148" t="s">
        <v>585</v>
      </c>
      <c r="G755" s="148"/>
      <c r="H755" s="136" t="s">
        <v>585</v>
      </c>
      <c r="I755" s="136" t="s">
        <v>585</v>
      </c>
    </row>
    <row r="756">
      <c r="A756" s="135"/>
      <c r="B756" s="136"/>
      <c r="C756" s="136"/>
      <c r="D756" s="136"/>
      <c r="E756" s="138"/>
      <c r="F756" s="148" t="s">
        <v>585</v>
      </c>
      <c r="G756" s="148"/>
      <c r="H756" s="136" t="s">
        <v>585</v>
      </c>
      <c r="I756" s="136" t="s">
        <v>585</v>
      </c>
    </row>
    <row r="757">
      <c r="A757" s="135"/>
      <c r="B757" s="136"/>
      <c r="C757" s="136"/>
      <c r="D757" s="136"/>
      <c r="E757" s="138"/>
      <c r="F757" s="148" t="s">
        <v>585</v>
      </c>
      <c r="G757" s="148"/>
      <c r="H757" s="136" t="s">
        <v>585</v>
      </c>
      <c r="I757" s="136" t="s">
        <v>585</v>
      </c>
    </row>
    <row r="758">
      <c r="A758" s="135"/>
      <c r="B758" s="136"/>
      <c r="C758" s="136"/>
      <c r="D758" s="136"/>
      <c r="E758" s="138"/>
      <c r="F758" s="148" t="s">
        <v>585</v>
      </c>
      <c r="G758" s="148"/>
      <c r="H758" s="136" t="s">
        <v>585</v>
      </c>
      <c r="I758" s="136" t="s">
        <v>585</v>
      </c>
    </row>
    <row r="759">
      <c r="A759" s="135"/>
      <c r="B759" s="136"/>
      <c r="C759" s="136"/>
      <c r="D759" s="136"/>
      <c r="E759" s="138"/>
      <c r="F759" s="148" t="s">
        <v>585</v>
      </c>
      <c r="G759" s="148"/>
      <c r="H759" s="136" t="s">
        <v>585</v>
      </c>
      <c r="I759" s="136" t="s">
        <v>585</v>
      </c>
    </row>
    <row r="760">
      <c r="A760" s="135"/>
      <c r="B760" s="136"/>
      <c r="C760" s="136"/>
      <c r="D760" s="136"/>
      <c r="E760" s="138"/>
      <c r="F760" s="148" t="s">
        <v>585</v>
      </c>
      <c r="G760" s="148"/>
      <c r="H760" s="136" t="s">
        <v>585</v>
      </c>
      <c r="I760" s="136" t="s">
        <v>585</v>
      </c>
    </row>
    <row r="761">
      <c r="A761" s="135"/>
      <c r="B761" s="136"/>
      <c r="C761" s="136"/>
      <c r="D761" s="136"/>
      <c r="E761" s="138"/>
      <c r="F761" s="148" t="s">
        <v>585</v>
      </c>
      <c r="G761" s="148"/>
      <c r="H761" s="136" t="s">
        <v>585</v>
      </c>
      <c r="I761" s="136" t="s">
        <v>585</v>
      </c>
    </row>
    <row r="762">
      <c r="A762" s="135"/>
      <c r="B762" s="136"/>
      <c r="C762" s="136"/>
      <c r="D762" s="136"/>
      <c r="E762" s="138"/>
      <c r="F762" s="148" t="s">
        <v>585</v>
      </c>
      <c r="G762" s="148"/>
      <c r="H762" s="136" t="s">
        <v>585</v>
      </c>
      <c r="I762" s="136" t="s">
        <v>585</v>
      </c>
    </row>
    <row r="763">
      <c r="A763" s="135"/>
      <c r="B763" s="136"/>
      <c r="C763" s="136"/>
      <c r="D763" s="136"/>
      <c r="E763" s="138"/>
      <c r="F763" s="148" t="s">
        <v>585</v>
      </c>
      <c r="G763" s="148"/>
      <c r="H763" s="136" t="s">
        <v>585</v>
      </c>
      <c r="I763" s="136" t="s">
        <v>585</v>
      </c>
    </row>
    <row r="764">
      <c r="A764" s="135"/>
      <c r="B764" s="136"/>
      <c r="C764" s="136"/>
      <c r="D764" s="136"/>
      <c r="E764" s="138"/>
      <c r="F764" s="148" t="s">
        <v>585</v>
      </c>
      <c r="G764" s="148"/>
      <c r="H764" s="136" t="s">
        <v>585</v>
      </c>
      <c r="I764" s="136" t="s">
        <v>585</v>
      </c>
    </row>
    <row r="765">
      <c r="A765" s="135"/>
      <c r="B765" s="136"/>
      <c r="C765" s="136"/>
      <c r="D765" s="136"/>
      <c r="E765" s="138"/>
      <c r="F765" s="148" t="s">
        <v>585</v>
      </c>
      <c r="G765" s="148"/>
      <c r="H765" s="136" t="s">
        <v>585</v>
      </c>
      <c r="I765" s="136" t="s">
        <v>585</v>
      </c>
    </row>
    <row r="766">
      <c r="A766" s="135"/>
      <c r="B766" s="136"/>
      <c r="C766" s="136"/>
      <c r="D766" s="136"/>
      <c r="E766" s="138"/>
      <c r="F766" s="148" t="s">
        <v>585</v>
      </c>
      <c r="G766" s="148"/>
      <c r="H766" s="136" t="s">
        <v>585</v>
      </c>
      <c r="I766" s="136" t="s">
        <v>585</v>
      </c>
    </row>
    <row r="767">
      <c r="A767" s="135"/>
      <c r="B767" s="136"/>
      <c r="C767" s="136"/>
      <c r="D767" s="136"/>
      <c r="E767" s="138"/>
      <c r="F767" s="148" t="s">
        <v>585</v>
      </c>
      <c r="G767" s="148"/>
      <c r="H767" s="136" t="s">
        <v>585</v>
      </c>
      <c r="I767" s="136" t="s">
        <v>585</v>
      </c>
    </row>
    <row r="768">
      <c r="A768" s="135"/>
      <c r="B768" s="136"/>
      <c r="C768" s="136"/>
      <c r="D768" s="136"/>
      <c r="E768" s="138"/>
      <c r="F768" s="148" t="s">
        <v>585</v>
      </c>
      <c r="G768" s="148"/>
      <c r="H768" s="136" t="s">
        <v>585</v>
      </c>
      <c r="I768" s="136" t="s">
        <v>585</v>
      </c>
    </row>
    <row r="769">
      <c r="A769" s="135"/>
      <c r="B769" s="136"/>
      <c r="C769" s="136"/>
      <c r="D769" s="136"/>
      <c r="E769" s="138"/>
      <c r="F769" s="148" t="s">
        <v>585</v>
      </c>
      <c r="G769" s="148"/>
      <c r="H769" s="136" t="s">
        <v>585</v>
      </c>
      <c r="I769" s="136" t="s">
        <v>585</v>
      </c>
    </row>
    <row r="770">
      <c r="A770" s="135"/>
      <c r="B770" s="136"/>
      <c r="C770" s="136"/>
      <c r="D770" s="136"/>
      <c r="E770" s="138"/>
      <c r="F770" s="148" t="s">
        <v>585</v>
      </c>
      <c r="G770" s="148"/>
      <c r="H770" s="136" t="s">
        <v>585</v>
      </c>
      <c r="I770" s="136" t="s">
        <v>585</v>
      </c>
    </row>
    <row r="771">
      <c r="A771" s="135"/>
      <c r="B771" s="136"/>
      <c r="C771" s="136"/>
      <c r="D771" s="136"/>
      <c r="E771" s="138"/>
      <c r="F771" s="148" t="s">
        <v>585</v>
      </c>
      <c r="G771" s="148"/>
      <c r="H771" s="136" t="s">
        <v>585</v>
      </c>
      <c r="I771" s="136" t="s">
        <v>585</v>
      </c>
    </row>
    <row r="772">
      <c r="A772" s="135"/>
      <c r="B772" s="136"/>
      <c r="C772" s="136"/>
      <c r="D772" s="136"/>
      <c r="E772" s="138"/>
      <c r="F772" s="148" t="s">
        <v>585</v>
      </c>
      <c r="G772" s="148"/>
      <c r="H772" s="136" t="s">
        <v>585</v>
      </c>
      <c r="I772" s="136" t="s">
        <v>585</v>
      </c>
    </row>
    <row r="773">
      <c r="A773" s="135"/>
      <c r="B773" s="136"/>
      <c r="C773" s="136"/>
      <c r="D773" s="136"/>
      <c r="E773" s="138"/>
      <c r="F773" s="148" t="s">
        <v>585</v>
      </c>
      <c r="G773" s="148"/>
      <c r="H773" s="136" t="s">
        <v>585</v>
      </c>
      <c r="I773" s="136" t="s">
        <v>585</v>
      </c>
    </row>
    <row r="774">
      <c r="A774" s="135"/>
      <c r="B774" s="136"/>
      <c r="C774" s="136"/>
      <c r="D774" s="136"/>
      <c r="E774" s="138"/>
      <c r="F774" s="148" t="s">
        <v>585</v>
      </c>
      <c r="G774" s="148"/>
      <c r="H774" s="136" t="s">
        <v>585</v>
      </c>
      <c r="I774" s="136" t="s">
        <v>585</v>
      </c>
    </row>
    <row r="775">
      <c r="A775" s="135"/>
      <c r="B775" s="136"/>
      <c r="C775" s="136"/>
      <c r="D775" s="136"/>
      <c r="E775" s="138"/>
      <c r="F775" s="148" t="s">
        <v>585</v>
      </c>
      <c r="G775" s="148"/>
      <c r="H775" s="136" t="s">
        <v>585</v>
      </c>
      <c r="I775" s="136" t="s">
        <v>585</v>
      </c>
    </row>
    <row r="776">
      <c r="A776" s="135"/>
      <c r="B776" s="136"/>
      <c r="C776" s="136"/>
      <c r="D776" s="136"/>
      <c r="E776" s="138"/>
      <c r="F776" s="148" t="s">
        <v>585</v>
      </c>
      <c r="G776" s="148"/>
      <c r="H776" s="136" t="s">
        <v>585</v>
      </c>
      <c r="I776" s="136" t="s">
        <v>585</v>
      </c>
    </row>
    <row r="777">
      <c r="A777" s="135"/>
      <c r="B777" s="136"/>
      <c r="C777" s="136"/>
      <c r="D777" s="136"/>
      <c r="E777" s="138"/>
      <c r="F777" s="148" t="s">
        <v>585</v>
      </c>
      <c r="G777" s="148"/>
      <c r="H777" s="136" t="s">
        <v>585</v>
      </c>
      <c r="I777" s="136" t="s">
        <v>585</v>
      </c>
    </row>
    <row r="778">
      <c r="A778" s="135"/>
      <c r="B778" s="136"/>
      <c r="C778" s="136"/>
      <c r="D778" s="136"/>
      <c r="E778" s="138"/>
      <c r="F778" s="148" t="s">
        <v>585</v>
      </c>
      <c r="G778" s="148"/>
      <c r="H778" s="136" t="s">
        <v>585</v>
      </c>
      <c r="I778" s="136" t="s">
        <v>585</v>
      </c>
    </row>
    <row r="779">
      <c r="A779" s="135"/>
      <c r="B779" s="136"/>
      <c r="C779" s="136"/>
      <c r="D779" s="136"/>
      <c r="E779" s="138"/>
      <c r="F779" s="148" t="s">
        <v>585</v>
      </c>
      <c r="G779" s="148"/>
      <c r="H779" s="136" t="s">
        <v>585</v>
      </c>
      <c r="I779" s="136" t="s">
        <v>585</v>
      </c>
    </row>
    <row r="780">
      <c r="A780" s="135"/>
      <c r="B780" s="136"/>
      <c r="C780" s="136"/>
      <c r="D780" s="136"/>
      <c r="E780" s="138"/>
      <c r="F780" s="148" t="s">
        <v>585</v>
      </c>
      <c r="G780" s="148"/>
      <c r="H780" s="136" t="s">
        <v>585</v>
      </c>
      <c r="I780" s="136" t="s">
        <v>585</v>
      </c>
    </row>
    <row r="781">
      <c r="A781" s="135"/>
      <c r="B781" s="136"/>
      <c r="C781" s="136"/>
      <c r="D781" s="136"/>
      <c r="E781" s="138"/>
      <c r="F781" s="148" t="s">
        <v>585</v>
      </c>
      <c r="G781" s="148"/>
      <c r="H781" s="136" t="s">
        <v>585</v>
      </c>
      <c r="I781" s="136" t="s">
        <v>585</v>
      </c>
    </row>
    <row r="782">
      <c r="A782" s="135"/>
      <c r="B782" s="136"/>
      <c r="C782" s="136"/>
      <c r="D782" s="136"/>
      <c r="E782" s="138"/>
      <c r="F782" s="148" t="s">
        <v>585</v>
      </c>
      <c r="G782" s="148"/>
      <c r="H782" s="136" t="s">
        <v>585</v>
      </c>
      <c r="I782" s="136" t="s">
        <v>585</v>
      </c>
    </row>
    <row r="783">
      <c r="A783" s="135"/>
      <c r="B783" s="136"/>
      <c r="C783" s="136"/>
      <c r="D783" s="136"/>
      <c r="E783" s="138"/>
      <c r="F783" s="148" t="s">
        <v>585</v>
      </c>
      <c r="G783" s="148"/>
      <c r="H783" s="136" t="s">
        <v>585</v>
      </c>
      <c r="I783" s="136" t="s">
        <v>585</v>
      </c>
    </row>
    <row r="784">
      <c r="A784" s="135"/>
      <c r="B784" s="136"/>
      <c r="C784" s="136"/>
      <c r="D784" s="136"/>
      <c r="E784" s="138"/>
      <c r="F784" s="148" t="s">
        <v>585</v>
      </c>
      <c r="G784" s="148"/>
      <c r="H784" s="136" t="s">
        <v>585</v>
      </c>
      <c r="I784" s="136" t="s">
        <v>585</v>
      </c>
    </row>
    <row r="785">
      <c r="A785" s="135"/>
      <c r="B785" s="136"/>
      <c r="C785" s="136"/>
      <c r="D785" s="136"/>
      <c r="E785" s="138"/>
      <c r="F785" s="148" t="s">
        <v>585</v>
      </c>
      <c r="G785" s="148"/>
      <c r="H785" s="136" t="s">
        <v>585</v>
      </c>
      <c r="I785" s="136" t="s">
        <v>585</v>
      </c>
    </row>
    <row r="786">
      <c r="A786" s="135"/>
      <c r="B786" s="136"/>
      <c r="C786" s="136"/>
      <c r="D786" s="136"/>
      <c r="E786" s="138"/>
      <c r="F786" s="148" t="s">
        <v>585</v>
      </c>
      <c r="G786" s="148"/>
      <c r="H786" s="136" t="s">
        <v>585</v>
      </c>
      <c r="I786" s="136" t="s">
        <v>585</v>
      </c>
    </row>
    <row r="787">
      <c r="A787" s="135"/>
      <c r="B787" s="136"/>
      <c r="C787" s="136"/>
      <c r="D787" s="136"/>
      <c r="E787" s="138"/>
      <c r="F787" s="148" t="s">
        <v>585</v>
      </c>
      <c r="G787" s="148"/>
      <c r="H787" s="136" t="s">
        <v>585</v>
      </c>
      <c r="I787" s="136" t="s">
        <v>585</v>
      </c>
    </row>
    <row r="788">
      <c r="A788" s="135"/>
      <c r="B788" s="136"/>
      <c r="C788" s="136"/>
      <c r="D788" s="136"/>
      <c r="E788" s="138"/>
      <c r="F788" s="148" t="s">
        <v>585</v>
      </c>
      <c r="G788" s="148"/>
      <c r="H788" s="136" t="s">
        <v>585</v>
      </c>
      <c r="I788" s="136" t="s">
        <v>585</v>
      </c>
    </row>
    <row r="789">
      <c r="A789" s="135"/>
      <c r="B789" s="136"/>
      <c r="C789" s="136"/>
      <c r="D789" s="136"/>
      <c r="E789" s="138"/>
      <c r="F789" s="148" t="s">
        <v>585</v>
      </c>
      <c r="G789" s="148"/>
      <c r="H789" s="136" t="s">
        <v>585</v>
      </c>
      <c r="I789" s="136" t="s">
        <v>585</v>
      </c>
    </row>
    <row r="790">
      <c r="A790" s="135"/>
      <c r="B790" s="136"/>
      <c r="C790" s="136"/>
      <c r="D790" s="136"/>
      <c r="E790" s="138"/>
      <c r="F790" s="148" t="s">
        <v>585</v>
      </c>
      <c r="G790" s="148"/>
      <c r="H790" s="136" t="s">
        <v>585</v>
      </c>
      <c r="I790" s="136" t="s">
        <v>585</v>
      </c>
    </row>
    <row r="791">
      <c r="A791" s="135"/>
      <c r="B791" s="136"/>
      <c r="C791" s="136"/>
      <c r="D791" s="136"/>
      <c r="E791" s="138"/>
      <c r="F791" s="148" t="s">
        <v>585</v>
      </c>
      <c r="G791" s="148"/>
      <c r="H791" s="136" t="s">
        <v>585</v>
      </c>
      <c r="I791" s="136" t="s">
        <v>585</v>
      </c>
    </row>
    <row r="792">
      <c r="A792" s="135"/>
      <c r="B792" s="136"/>
      <c r="C792" s="136"/>
      <c r="D792" s="136"/>
      <c r="E792" s="138"/>
      <c r="F792" s="148" t="s">
        <v>585</v>
      </c>
      <c r="G792" s="148"/>
      <c r="H792" s="136" t="s">
        <v>585</v>
      </c>
      <c r="I792" s="136" t="s">
        <v>585</v>
      </c>
    </row>
    <row r="793">
      <c r="A793" s="135"/>
      <c r="B793" s="136"/>
      <c r="C793" s="136"/>
      <c r="D793" s="136"/>
      <c r="E793" s="138"/>
      <c r="F793" s="148" t="s">
        <v>585</v>
      </c>
      <c r="G793" s="148"/>
      <c r="H793" s="136" t="s">
        <v>585</v>
      </c>
      <c r="I793" s="136" t="s">
        <v>585</v>
      </c>
    </row>
    <row r="794">
      <c r="A794" s="135"/>
      <c r="B794" s="136"/>
      <c r="C794" s="136"/>
      <c r="D794" s="136"/>
      <c r="E794" s="138"/>
      <c r="F794" s="148" t="s">
        <v>585</v>
      </c>
      <c r="G794" s="148"/>
      <c r="H794" s="136" t="s">
        <v>585</v>
      </c>
      <c r="I794" s="136" t="s">
        <v>585</v>
      </c>
    </row>
    <row r="795">
      <c r="A795" s="135"/>
      <c r="B795" s="136"/>
      <c r="C795" s="136"/>
      <c r="D795" s="136"/>
      <c r="E795" s="138"/>
      <c r="F795" s="148" t="s">
        <v>585</v>
      </c>
      <c r="G795" s="148"/>
      <c r="H795" s="136" t="s">
        <v>585</v>
      </c>
      <c r="I795" s="136" t="s">
        <v>585</v>
      </c>
    </row>
    <row r="796">
      <c r="A796" s="135"/>
      <c r="B796" s="136"/>
      <c r="C796" s="136"/>
      <c r="D796" s="136"/>
      <c r="E796" s="138"/>
      <c r="F796" s="148" t="s">
        <v>585</v>
      </c>
      <c r="G796" s="148"/>
      <c r="H796" s="136" t="s">
        <v>585</v>
      </c>
      <c r="I796" s="136" t="s">
        <v>585</v>
      </c>
    </row>
    <row r="797">
      <c r="A797" s="135"/>
      <c r="B797" s="136"/>
      <c r="C797" s="136"/>
      <c r="D797" s="136"/>
      <c r="E797" s="138"/>
      <c r="F797" s="148" t="s">
        <v>585</v>
      </c>
      <c r="G797" s="148"/>
      <c r="H797" s="136" t="s">
        <v>585</v>
      </c>
      <c r="I797" s="136" t="s">
        <v>585</v>
      </c>
    </row>
    <row r="798">
      <c r="A798" s="135"/>
      <c r="B798" s="136"/>
      <c r="C798" s="136"/>
      <c r="D798" s="136"/>
      <c r="E798" s="138"/>
      <c r="F798" s="148" t="s">
        <v>585</v>
      </c>
      <c r="G798" s="148"/>
      <c r="H798" s="136" t="s">
        <v>585</v>
      </c>
      <c r="I798" s="136" t="s">
        <v>585</v>
      </c>
    </row>
    <row r="799">
      <c r="A799" s="135"/>
      <c r="B799" s="136"/>
      <c r="C799" s="136"/>
      <c r="D799" s="136"/>
      <c r="E799" s="138"/>
      <c r="F799" s="148" t="s">
        <v>585</v>
      </c>
      <c r="G799" s="148"/>
      <c r="H799" s="136" t="s">
        <v>585</v>
      </c>
      <c r="I799" s="136" t="s">
        <v>585</v>
      </c>
    </row>
    <row r="800">
      <c r="A800" s="135"/>
      <c r="B800" s="136"/>
      <c r="C800" s="136"/>
      <c r="D800" s="136"/>
      <c r="E800" s="138"/>
      <c r="F800" s="148" t="s">
        <v>585</v>
      </c>
      <c r="G800" s="148"/>
      <c r="H800" s="136" t="s">
        <v>585</v>
      </c>
      <c r="I800" s="136" t="s">
        <v>585</v>
      </c>
    </row>
    <row r="801">
      <c r="A801" s="135"/>
      <c r="B801" s="136"/>
      <c r="C801" s="136"/>
      <c r="D801" s="136"/>
      <c r="E801" s="138"/>
      <c r="F801" s="148" t="s">
        <v>585</v>
      </c>
      <c r="G801" s="148"/>
      <c r="H801" s="136" t="s">
        <v>585</v>
      </c>
      <c r="I801" s="136" t="s">
        <v>585</v>
      </c>
    </row>
    <row r="802">
      <c r="A802" s="135"/>
      <c r="B802" s="136"/>
      <c r="C802" s="136"/>
      <c r="D802" s="136"/>
      <c r="E802" s="138"/>
      <c r="F802" s="148" t="s">
        <v>585</v>
      </c>
      <c r="G802" s="148"/>
      <c r="H802" s="136" t="s">
        <v>585</v>
      </c>
      <c r="I802" s="136" t="s">
        <v>585</v>
      </c>
    </row>
    <row r="803">
      <c r="A803" s="135"/>
      <c r="B803" s="136"/>
      <c r="C803" s="136"/>
      <c r="D803" s="136"/>
      <c r="E803" s="138"/>
      <c r="F803" s="148" t="s">
        <v>585</v>
      </c>
      <c r="G803" s="148"/>
      <c r="H803" s="136" t="s">
        <v>585</v>
      </c>
      <c r="I803" s="136" t="s">
        <v>585</v>
      </c>
    </row>
    <row r="804">
      <c r="A804" s="135"/>
      <c r="B804" s="136"/>
      <c r="C804" s="136"/>
      <c r="D804" s="136"/>
      <c r="E804" s="138"/>
      <c r="F804" s="148" t="s">
        <v>585</v>
      </c>
      <c r="G804" s="148"/>
      <c r="H804" s="136" t="s">
        <v>585</v>
      </c>
      <c r="I804" s="136" t="s">
        <v>585</v>
      </c>
    </row>
    <row r="805">
      <c r="A805" s="135"/>
      <c r="B805" s="136"/>
      <c r="C805" s="136"/>
      <c r="D805" s="136"/>
      <c r="E805" s="138"/>
      <c r="F805" s="148" t="s">
        <v>585</v>
      </c>
      <c r="G805" s="148"/>
      <c r="H805" s="136" t="s">
        <v>585</v>
      </c>
      <c r="I805" s="136" t="s">
        <v>585</v>
      </c>
    </row>
    <row r="806">
      <c r="A806" s="135"/>
      <c r="B806" s="136"/>
      <c r="C806" s="136"/>
      <c r="D806" s="136"/>
      <c r="E806" s="138"/>
      <c r="F806" s="148" t="s">
        <v>585</v>
      </c>
      <c r="G806" s="148"/>
      <c r="H806" s="136" t="s">
        <v>585</v>
      </c>
      <c r="I806" s="136" t="s">
        <v>585</v>
      </c>
    </row>
    <row r="807">
      <c r="A807" s="135"/>
      <c r="B807" s="136"/>
      <c r="C807" s="136"/>
      <c r="D807" s="136"/>
      <c r="E807" s="138"/>
      <c r="F807" s="148" t="s">
        <v>585</v>
      </c>
      <c r="G807" s="148"/>
      <c r="H807" s="136" t="s">
        <v>585</v>
      </c>
      <c r="I807" s="136" t="s">
        <v>585</v>
      </c>
    </row>
    <row r="808">
      <c r="A808" s="135"/>
      <c r="B808" s="136"/>
      <c r="C808" s="136"/>
      <c r="D808" s="136"/>
      <c r="E808" s="138"/>
      <c r="F808" s="148" t="s">
        <v>585</v>
      </c>
      <c r="G808" s="148"/>
      <c r="H808" s="136" t="s">
        <v>585</v>
      </c>
      <c r="I808" s="136" t="s">
        <v>585</v>
      </c>
    </row>
    <row r="809">
      <c r="A809" s="135"/>
      <c r="B809" s="136"/>
      <c r="C809" s="136"/>
      <c r="D809" s="136"/>
      <c r="E809" s="138"/>
      <c r="F809" s="148" t="s">
        <v>585</v>
      </c>
      <c r="G809" s="148"/>
      <c r="H809" s="136" t="s">
        <v>585</v>
      </c>
      <c r="I809" s="136" t="s">
        <v>585</v>
      </c>
    </row>
    <row r="810">
      <c r="A810" s="135"/>
      <c r="B810" s="136"/>
      <c r="C810" s="136"/>
      <c r="D810" s="136"/>
      <c r="E810" s="138"/>
      <c r="F810" s="148" t="s">
        <v>585</v>
      </c>
      <c r="G810" s="148"/>
      <c r="H810" s="136" t="s">
        <v>585</v>
      </c>
      <c r="I810" s="136" t="s">
        <v>585</v>
      </c>
    </row>
    <row r="811">
      <c r="A811" s="135"/>
      <c r="B811" s="136"/>
      <c r="C811" s="136"/>
      <c r="D811" s="136"/>
      <c r="E811" s="138"/>
      <c r="F811" s="148" t="s">
        <v>585</v>
      </c>
      <c r="G811" s="148"/>
      <c r="H811" s="136" t="s">
        <v>585</v>
      </c>
      <c r="I811" s="136" t="s">
        <v>585</v>
      </c>
    </row>
    <row r="812">
      <c r="A812" s="135"/>
      <c r="B812" s="136"/>
      <c r="C812" s="136"/>
      <c r="D812" s="136"/>
      <c r="E812" s="138"/>
      <c r="F812" s="148" t="s">
        <v>585</v>
      </c>
      <c r="G812" s="148"/>
      <c r="H812" s="136" t="s">
        <v>585</v>
      </c>
      <c r="I812" s="136" t="s">
        <v>585</v>
      </c>
    </row>
    <row r="813">
      <c r="A813" s="135"/>
      <c r="B813" s="136"/>
      <c r="C813" s="136"/>
      <c r="D813" s="136"/>
      <c r="E813" s="138"/>
      <c r="F813" s="148" t="s">
        <v>585</v>
      </c>
      <c r="G813" s="148"/>
      <c r="H813" s="136" t="s">
        <v>585</v>
      </c>
      <c r="I813" s="136" t="s">
        <v>585</v>
      </c>
    </row>
    <row r="814">
      <c r="A814" s="135"/>
      <c r="B814" s="136"/>
      <c r="C814" s="136"/>
      <c r="D814" s="136"/>
      <c r="E814" s="138"/>
      <c r="F814" s="148" t="s">
        <v>585</v>
      </c>
      <c r="G814" s="148"/>
      <c r="H814" s="136" t="s">
        <v>585</v>
      </c>
      <c r="I814" s="136" t="s">
        <v>585</v>
      </c>
    </row>
    <row r="815">
      <c r="A815" s="135"/>
      <c r="B815" s="136"/>
      <c r="C815" s="136"/>
      <c r="D815" s="136"/>
      <c r="E815" s="138"/>
      <c r="F815" s="148" t="s">
        <v>585</v>
      </c>
      <c r="G815" s="148"/>
      <c r="H815" s="136" t="s">
        <v>585</v>
      </c>
      <c r="I815" s="136" t="s">
        <v>585</v>
      </c>
    </row>
    <row r="816">
      <c r="A816" s="135"/>
      <c r="B816" s="136"/>
      <c r="C816" s="136"/>
      <c r="D816" s="136"/>
      <c r="E816" s="138"/>
      <c r="F816" s="148" t="s">
        <v>585</v>
      </c>
      <c r="G816" s="148"/>
      <c r="H816" s="136" t="s">
        <v>585</v>
      </c>
      <c r="I816" s="136" t="s">
        <v>585</v>
      </c>
    </row>
    <row r="817">
      <c r="A817" s="135"/>
      <c r="B817" s="136"/>
      <c r="C817" s="136"/>
      <c r="D817" s="136"/>
      <c r="E817" s="138"/>
      <c r="F817" s="148" t="s">
        <v>585</v>
      </c>
      <c r="G817" s="148"/>
      <c r="H817" s="136" t="s">
        <v>585</v>
      </c>
      <c r="I817" s="136" t="s">
        <v>585</v>
      </c>
    </row>
    <row r="818">
      <c r="A818" s="135"/>
      <c r="B818" s="136"/>
      <c r="C818" s="136"/>
      <c r="D818" s="136"/>
      <c r="E818" s="138"/>
      <c r="F818" s="148" t="s">
        <v>585</v>
      </c>
      <c r="G818" s="148"/>
      <c r="H818" s="136" t="s">
        <v>585</v>
      </c>
      <c r="I818" s="136" t="s">
        <v>585</v>
      </c>
    </row>
    <row r="819">
      <c r="A819" s="135"/>
      <c r="B819" s="136"/>
      <c r="C819" s="136"/>
      <c r="D819" s="136"/>
      <c r="E819" s="138"/>
      <c r="F819" s="148" t="s">
        <v>585</v>
      </c>
      <c r="G819" s="148"/>
      <c r="H819" s="136" t="s">
        <v>585</v>
      </c>
      <c r="I819" s="136" t="s">
        <v>585</v>
      </c>
    </row>
    <row r="820">
      <c r="A820" s="135"/>
      <c r="B820" s="136"/>
      <c r="C820" s="136"/>
      <c r="D820" s="136"/>
      <c r="E820" s="138"/>
      <c r="F820" s="148" t="s">
        <v>585</v>
      </c>
      <c r="G820" s="148"/>
      <c r="H820" s="136" t="s">
        <v>585</v>
      </c>
      <c r="I820" s="136" t="s">
        <v>585</v>
      </c>
    </row>
    <row r="821">
      <c r="A821" s="135"/>
      <c r="B821" s="136"/>
      <c r="C821" s="136"/>
      <c r="D821" s="136"/>
      <c r="E821" s="138"/>
      <c r="F821" s="148" t="s">
        <v>585</v>
      </c>
      <c r="G821" s="148"/>
      <c r="H821" s="136" t="s">
        <v>585</v>
      </c>
      <c r="I821" s="136" t="s">
        <v>585</v>
      </c>
    </row>
    <row r="822">
      <c r="A822" s="135"/>
      <c r="B822" s="136"/>
      <c r="C822" s="136"/>
      <c r="D822" s="136"/>
      <c r="E822" s="138"/>
      <c r="F822" s="148" t="s">
        <v>585</v>
      </c>
      <c r="G822" s="148"/>
      <c r="H822" s="136" t="s">
        <v>585</v>
      </c>
      <c r="I822" s="136" t="s">
        <v>585</v>
      </c>
    </row>
    <row r="823">
      <c r="A823" s="135"/>
      <c r="B823" s="136"/>
      <c r="C823" s="136"/>
      <c r="D823" s="136"/>
      <c r="E823" s="138"/>
      <c r="F823" s="148" t="s">
        <v>585</v>
      </c>
      <c r="G823" s="148"/>
      <c r="H823" s="136" t="s">
        <v>585</v>
      </c>
      <c r="I823" s="136" t="s">
        <v>585</v>
      </c>
    </row>
    <row r="824">
      <c r="A824" s="135"/>
      <c r="B824" s="136"/>
      <c r="C824" s="136"/>
      <c r="D824" s="136"/>
      <c r="E824" s="138"/>
      <c r="F824" s="148" t="s">
        <v>585</v>
      </c>
      <c r="G824" s="148"/>
      <c r="H824" s="136" t="s">
        <v>585</v>
      </c>
      <c r="I824" s="136" t="s">
        <v>585</v>
      </c>
    </row>
    <row r="825">
      <c r="A825" s="135"/>
      <c r="B825" s="136"/>
      <c r="C825" s="136"/>
      <c r="D825" s="136"/>
      <c r="E825" s="138"/>
      <c r="F825" s="148" t="s">
        <v>585</v>
      </c>
      <c r="G825" s="148"/>
      <c r="H825" s="136" t="s">
        <v>585</v>
      </c>
      <c r="I825" s="136" t="s">
        <v>585</v>
      </c>
    </row>
    <row r="826">
      <c r="A826" s="135"/>
      <c r="B826" s="136"/>
      <c r="C826" s="136"/>
      <c r="D826" s="136"/>
      <c r="E826" s="138"/>
      <c r="F826" s="148" t="s">
        <v>585</v>
      </c>
      <c r="G826" s="148"/>
      <c r="H826" s="136" t="s">
        <v>585</v>
      </c>
      <c r="I826" s="136" t="s">
        <v>585</v>
      </c>
    </row>
    <row r="827">
      <c r="A827" s="135"/>
      <c r="B827" s="136"/>
      <c r="C827" s="136"/>
      <c r="D827" s="136"/>
      <c r="E827" s="138"/>
      <c r="F827" s="148" t="s">
        <v>585</v>
      </c>
      <c r="G827" s="148"/>
      <c r="H827" s="136" t="s">
        <v>585</v>
      </c>
      <c r="I827" s="136" t="s">
        <v>585</v>
      </c>
    </row>
    <row r="828">
      <c r="A828" s="135"/>
      <c r="B828" s="136"/>
      <c r="C828" s="136"/>
      <c r="D828" s="136"/>
      <c r="E828" s="138"/>
      <c r="F828" s="148" t="s">
        <v>585</v>
      </c>
      <c r="G828" s="148"/>
      <c r="H828" s="136" t="s">
        <v>585</v>
      </c>
      <c r="I828" s="136" t="s">
        <v>585</v>
      </c>
    </row>
    <row r="829">
      <c r="A829" s="135"/>
      <c r="B829" s="136"/>
      <c r="C829" s="136"/>
      <c r="D829" s="136"/>
      <c r="E829" s="138"/>
      <c r="F829" s="148" t="s">
        <v>585</v>
      </c>
      <c r="G829" s="148"/>
      <c r="H829" s="136" t="s">
        <v>585</v>
      </c>
      <c r="I829" s="136" t="s">
        <v>585</v>
      </c>
    </row>
    <row r="830">
      <c r="A830" s="135"/>
      <c r="B830" s="136"/>
      <c r="C830" s="136"/>
      <c r="D830" s="136"/>
      <c r="E830" s="138"/>
      <c r="F830" s="148" t="s">
        <v>585</v>
      </c>
      <c r="G830" s="148"/>
      <c r="H830" s="136" t="s">
        <v>585</v>
      </c>
      <c r="I830" s="136" t="s">
        <v>585</v>
      </c>
    </row>
    <row r="831">
      <c r="A831" s="135"/>
      <c r="B831" s="136"/>
      <c r="C831" s="136"/>
      <c r="D831" s="136"/>
      <c r="E831" s="138"/>
      <c r="F831" s="148" t="s">
        <v>585</v>
      </c>
      <c r="G831" s="148"/>
      <c r="H831" s="136" t="s">
        <v>585</v>
      </c>
      <c r="I831" s="136" t="s">
        <v>585</v>
      </c>
    </row>
    <row r="832">
      <c r="A832" s="135"/>
      <c r="B832" s="136"/>
      <c r="C832" s="136"/>
      <c r="D832" s="136"/>
      <c r="E832" s="138"/>
      <c r="F832" s="148" t="s">
        <v>585</v>
      </c>
      <c r="G832" s="148"/>
      <c r="H832" s="136" t="s">
        <v>585</v>
      </c>
      <c r="I832" s="136" t="s">
        <v>585</v>
      </c>
    </row>
    <row r="833">
      <c r="A833" s="135"/>
      <c r="B833" s="136"/>
      <c r="C833" s="136"/>
      <c r="D833" s="136"/>
      <c r="E833" s="138"/>
      <c r="F833" s="148" t="s">
        <v>585</v>
      </c>
      <c r="G833" s="148"/>
      <c r="H833" s="136" t="s">
        <v>585</v>
      </c>
      <c r="I833" s="136" t="s">
        <v>585</v>
      </c>
    </row>
    <row r="834">
      <c r="A834" s="135"/>
      <c r="B834" s="136"/>
      <c r="C834" s="136"/>
      <c r="D834" s="136"/>
      <c r="E834" s="138"/>
      <c r="F834" s="148" t="s">
        <v>585</v>
      </c>
      <c r="G834" s="148"/>
      <c r="H834" s="136" t="s">
        <v>585</v>
      </c>
      <c r="I834" s="136" t="s">
        <v>585</v>
      </c>
    </row>
    <row r="835">
      <c r="A835" s="135"/>
      <c r="B835" s="136"/>
      <c r="C835" s="136"/>
      <c r="D835" s="136"/>
      <c r="E835" s="138"/>
      <c r="F835" s="148" t="s">
        <v>585</v>
      </c>
      <c r="G835" s="148"/>
      <c r="H835" s="136" t="s">
        <v>585</v>
      </c>
      <c r="I835" s="136" t="s">
        <v>585</v>
      </c>
    </row>
    <row r="836">
      <c r="A836" s="135"/>
      <c r="B836" s="136"/>
      <c r="C836" s="136"/>
      <c r="D836" s="136"/>
      <c r="E836" s="138"/>
      <c r="F836" s="148" t="s">
        <v>585</v>
      </c>
      <c r="G836" s="148"/>
      <c r="H836" s="136" t="s">
        <v>585</v>
      </c>
      <c r="I836" s="136" t="s">
        <v>585</v>
      </c>
    </row>
    <row r="837">
      <c r="A837" s="135"/>
      <c r="B837" s="136"/>
      <c r="C837" s="136"/>
      <c r="D837" s="136"/>
      <c r="E837" s="138"/>
      <c r="F837" s="148" t="s">
        <v>585</v>
      </c>
      <c r="G837" s="148"/>
      <c r="H837" s="136" t="s">
        <v>585</v>
      </c>
      <c r="I837" s="136" t="s">
        <v>585</v>
      </c>
    </row>
    <row r="838">
      <c r="A838" s="135"/>
      <c r="B838" s="136"/>
      <c r="C838" s="136"/>
      <c r="D838" s="136"/>
      <c r="E838" s="138"/>
      <c r="F838" s="148" t="s">
        <v>585</v>
      </c>
      <c r="G838" s="148"/>
      <c r="H838" s="136" t="s">
        <v>585</v>
      </c>
      <c r="I838" s="136" t="s">
        <v>585</v>
      </c>
    </row>
    <row r="839">
      <c r="A839" s="135"/>
      <c r="B839" s="136"/>
      <c r="C839" s="136"/>
      <c r="D839" s="136"/>
      <c r="E839" s="138"/>
      <c r="F839" s="148" t="s">
        <v>585</v>
      </c>
      <c r="G839" s="148"/>
      <c r="H839" s="136" t="s">
        <v>585</v>
      </c>
      <c r="I839" s="136" t="s">
        <v>585</v>
      </c>
    </row>
    <row r="840">
      <c r="A840" s="135"/>
      <c r="B840" s="136"/>
      <c r="C840" s="136"/>
      <c r="D840" s="136"/>
      <c r="E840" s="138"/>
      <c r="F840" s="148" t="s">
        <v>585</v>
      </c>
      <c r="G840" s="148"/>
      <c r="H840" s="136" t="s">
        <v>585</v>
      </c>
      <c r="I840" s="136" t="s">
        <v>585</v>
      </c>
    </row>
    <row r="841">
      <c r="A841" s="135"/>
      <c r="B841" s="136"/>
      <c r="C841" s="136"/>
      <c r="D841" s="136"/>
      <c r="E841" s="138"/>
      <c r="F841" s="148" t="s">
        <v>585</v>
      </c>
      <c r="G841" s="148"/>
      <c r="H841" s="136" t="s">
        <v>585</v>
      </c>
      <c r="I841" s="136" t="s">
        <v>585</v>
      </c>
    </row>
    <row r="842">
      <c r="A842" s="135"/>
      <c r="B842" s="136"/>
      <c r="C842" s="136"/>
      <c r="D842" s="136"/>
      <c r="E842" s="138"/>
      <c r="F842" s="148" t="s">
        <v>585</v>
      </c>
      <c r="G842" s="148"/>
      <c r="H842" s="136" t="s">
        <v>585</v>
      </c>
      <c r="I842" s="136" t="s">
        <v>585</v>
      </c>
    </row>
    <row r="843">
      <c r="A843" s="135"/>
      <c r="B843" s="136"/>
      <c r="C843" s="136"/>
      <c r="D843" s="136"/>
      <c r="E843" s="138"/>
      <c r="F843" s="148" t="s">
        <v>585</v>
      </c>
      <c r="G843" s="148"/>
      <c r="H843" s="136" t="s">
        <v>585</v>
      </c>
      <c r="I843" s="136" t="s">
        <v>585</v>
      </c>
    </row>
    <row r="844">
      <c r="A844" s="135"/>
      <c r="B844" s="136"/>
      <c r="C844" s="136"/>
      <c r="D844" s="136"/>
      <c r="E844" s="138"/>
      <c r="F844" s="148" t="s">
        <v>585</v>
      </c>
      <c r="G844" s="148"/>
      <c r="H844" s="136" t="s">
        <v>585</v>
      </c>
      <c r="I844" s="136" t="s">
        <v>585</v>
      </c>
    </row>
    <row r="845">
      <c r="A845" s="135"/>
      <c r="B845" s="136"/>
      <c r="C845" s="136"/>
      <c r="D845" s="136"/>
      <c r="E845" s="138"/>
      <c r="F845" s="148" t="s">
        <v>585</v>
      </c>
      <c r="G845" s="148"/>
      <c r="H845" s="136" t="s">
        <v>585</v>
      </c>
      <c r="I845" s="136" t="s">
        <v>585</v>
      </c>
    </row>
    <row r="846">
      <c r="A846" s="135"/>
      <c r="B846" s="136"/>
      <c r="C846" s="136"/>
      <c r="D846" s="136"/>
      <c r="E846" s="138"/>
      <c r="F846" s="148" t="s">
        <v>585</v>
      </c>
      <c r="G846" s="148"/>
      <c r="H846" s="136" t="s">
        <v>585</v>
      </c>
      <c r="I846" s="136" t="s">
        <v>585</v>
      </c>
    </row>
    <row r="847">
      <c r="A847" s="135"/>
      <c r="B847" s="136"/>
      <c r="C847" s="136"/>
      <c r="D847" s="136"/>
      <c r="E847" s="138"/>
      <c r="F847" s="148" t="s">
        <v>585</v>
      </c>
      <c r="G847" s="148"/>
      <c r="H847" s="136" t="s">
        <v>585</v>
      </c>
      <c r="I847" s="136" t="s">
        <v>585</v>
      </c>
    </row>
    <row r="848">
      <c r="A848" s="135"/>
      <c r="B848" s="136"/>
      <c r="C848" s="136"/>
      <c r="D848" s="136"/>
      <c r="E848" s="138"/>
      <c r="F848" s="148" t="s">
        <v>585</v>
      </c>
      <c r="G848" s="148"/>
      <c r="H848" s="136" t="s">
        <v>585</v>
      </c>
      <c r="I848" s="136" t="s">
        <v>585</v>
      </c>
    </row>
    <row r="849">
      <c r="A849" s="135"/>
      <c r="B849" s="136"/>
      <c r="C849" s="136"/>
      <c r="D849" s="136"/>
      <c r="E849" s="138"/>
      <c r="F849" s="148" t="s">
        <v>585</v>
      </c>
      <c r="G849" s="148"/>
      <c r="H849" s="136" t="s">
        <v>585</v>
      </c>
      <c r="I849" s="136" t="s">
        <v>585</v>
      </c>
    </row>
    <row r="850">
      <c r="A850" s="135"/>
      <c r="B850" s="136"/>
      <c r="C850" s="136"/>
      <c r="D850" s="136"/>
      <c r="E850" s="138"/>
      <c r="F850" s="148" t="s">
        <v>585</v>
      </c>
      <c r="G850" s="148"/>
      <c r="H850" s="136" t="s">
        <v>585</v>
      </c>
      <c r="I850" s="136" t="s">
        <v>585</v>
      </c>
    </row>
    <row r="851">
      <c r="A851" s="135"/>
      <c r="B851" s="136"/>
      <c r="C851" s="136"/>
      <c r="D851" s="136"/>
      <c r="E851" s="138"/>
      <c r="F851" s="148" t="s">
        <v>585</v>
      </c>
      <c r="G851" s="148"/>
      <c r="H851" s="136" t="s">
        <v>585</v>
      </c>
      <c r="I851" s="136" t="s">
        <v>585</v>
      </c>
    </row>
    <row r="852">
      <c r="A852" s="135"/>
      <c r="B852" s="136"/>
      <c r="C852" s="136"/>
      <c r="D852" s="136"/>
      <c r="E852" s="138"/>
      <c r="F852" s="148" t="s">
        <v>585</v>
      </c>
      <c r="G852" s="148"/>
      <c r="H852" s="136" t="s">
        <v>585</v>
      </c>
      <c r="I852" s="136" t="s">
        <v>585</v>
      </c>
    </row>
    <row r="853">
      <c r="A853" s="135"/>
      <c r="B853" s="136"/>
      <c r="C853" s="136"/>
      <c r="D853" s="136"/>
      <c r="E853" s="138"/>
      <c r="F853" s="148" t="s">
        <v>585</v>
      </c>
      <c r="G853" s="148"/>
      <c r="H853" s="136" t="s">
        <v>585</v>
      </c>
      <c r="I853" s="136" t="s">
        <v>585</v>
      </c>
    </row>
    <row r="854">
      <c r="A854" s="135"/>
      <c r="B854" s="136"/>
      <c r="C854" s="136"/>
      <c r="D854" s="136"/>
      <c r="E854" s="138"/>
      <c r="F854" s="148" t="s">
        <v>585</v>
      </c>
      <c r="G854" s="148"/>
      <c r="H854" s="136" t="s">
        <v>585</v>
      </c>
      <c r="I854" s="136" t="s">
        <v>585</v>
      </c>
    </row>
    <row r="855">
      <c r="A855" s="135"/>
      <c r="B855" s="136"/>
      <c r="C855" s="136"/>
      <c r="D855" s="136"/>
      <c r="E855" s="138"/>
      <c r="F855" s="148" t="s">
        <v>585</v>
      </c>
      <c r="G855" s="148"/>
      <c r="H855" s="136" t="s">
        <v>585</v>
      </c>
      <c r="I855" s="136" t="s">
        <v>585</v>
      </c>
    </row>
    <row r="856">
      <c r="A856" s="135"/>
      <c r="B856" s="136"/>
      <c r="C856" s="136"/>
      <c r="D856" s="136"/>
      <c r="E856" s="138"/>
      <c r="F856" s="148" t="s">
        <v>585</v>
      </c>
      <c r="G856" s="148"/>
      <c r="H856" s="136" t="s">
        <v>585</v>
      </c>
      <c r="I856" s="136" t="s">
        <v>585</v>
      </c>
    </row>
    <row r="857">
      <c r="A857" s="135"/>
      <c r="B857" s="136"/>
      <c r="C857" s="136"/>
      <c r="D857" s="136"/>
      <c r="E857" s="138"/>
      <c r="F857" s="148" t="s">
        <v>585</v>
      </c>
      <c r="G857" s="148"/>
      <c r="H857" s="136" t="s">
        <v>585</v>
      </c>
      <c r="I857" s="136" t="s">
        <v>585</v>
      </c>
    </row>
    <row r="858">
      <c r="A858" s="135"/>
      <c r="B858" s="136"/>
      <c r="C858" s="136"/>
      <c r="D858" s="136"/>
      <c r="E858" s="138"/>
      <c r="F858" s="148" t="s">
        <v>585</v>
      </c>
      <c r="G858" s="148"/>
      <c r="H858" s="136" t="s">
        <v>585</v>
      </c>
      <c r="I858" s="136" t="s">
        <v>585</v>
      </c>
    </row>
    <row r="859">
      <c r="A859" s="135"/>
      <c r="B859" s="136"/>
      <c r="C859" s="136"/>
      <c r="D859" s="136"/>
      <c r="E859" s="138"/>
      <c r="F859" s="148" t="s">
        <v>585</v>
      </c>
      <c r="G859" s="148"/>
      <c r="H859" s="136" t="s">
        <v>585</v>
      </c>
      <c r="I859" s="136" t="s">
        <v>585</v>
      </c>
    </row>
    <row r="860">
      <c r="A860" s="135"/>
      <c r="B860" s="136"/>
      <c r="C860" s="136"/>
      <c r="D860" s="136"/>
      <c r="E860" s="138"/>
      <c r="F860" s="148" t="s">
        <v>585</v>
      </c>
      <c r="G860" s="148"/>
      <c r="H860" s="136" t="s">
        <v>585</v>
      </c>
      <c r="I860" s="136" t="s">
        <v>585</v>
      </c>
    </row>
    <row r="861">
      <c r="A861" s="135"/>
      <c r="B861" s="136"/>
      <c r="C861" s="136"/>
      <c r="D861" s="136"/>
      <c r="E861" s="138"/>
      <c r="F861" s="148" t="s">
        <v>585</v>
      </c>
      <c r="G861" s="148"/>
      <c r="H861" s="136" t="s">
        <v>585</v>
      </c>
      <c r="I861" s="136" t="s">
        <v>585</v>
      </c>
    </row>
    <row r="862">
      <c r="A862" s="135"/>
      <c r="B862" s="136"/>
      <c r="C862" s="136"/>
      <c r="D862" s="136"/>
      <c r="E862" s="138"/>
      <c r="F862" s="148" t="s">
        <v>585</v>
      </c>
      <c r="G862" s="148"/>
      <c r="H862" s="136" t="s">
        <v>585</v>
      </c>
      <c r="I862" s="136" t="s">
        <v>585</v>
      </c>
    </row>
    <row r="863">
      <c r="A863" s="135"/>
      <c r="B863" s="136"/>
      <c r="C863" s="136"/>
      <c r="D863" s="136"/>
      <c r="E863" s="138"/>
      <c r="F863" s="148" t="s">
        <v>585</v>
      </c>
      <c r="G863" s="148"/>
      <c r="H863" s="136" t="s">
        <v>585</v>
      </c>
      <c r="I863" s="136" t="s">
        <v>585</v>
      </c>
    </row>
    <row r="864">
      <c r="A864" s="135"/>
      <c r="B864" s="136"/>
      <c r="C864" s="136"/>
      <c r="D864" s="136"/>
      <c r="E864" s="138"/>
      <c r="F864" s="148" t="s">
        <v>585</v>
      </c>
      <c r="G864" s="148"/>
      <c r="H864" s="136" t="s">
        <v>585</v>
      </c>
      <c r="I864" s="136" t="s">
        <v>585</v>
      </c>
    </row>
    <row r="865">
      <c r="A865" s="135"/>
      <c r="B865" s="136"/>
      <c r="C865" s="136"/>
      <c r="D865" s="136"/>
      <c r="E865" s="138"/>
      <c r="F865" s="148" t="s">
        <v>585</v>
      </c>
      <c r="G865" s="148"/>
      <c r="H865" s="136" t="s">
        <v>585</v>
      </c>
      <c r="I865" s="136" t="s">
        <v>585</v>
      </c>
    </row>
    <row r="866">
      <c r="A866" s="135"/>
      <c r="B866" s="136"/>
      <c r="C866" s="136"/>
      <c r="D866" s="136"/>
      <c r="E866" s="138"/>
      <c r="F866" s="148" t="s">
        <v>585</v>
      </c>
      <c r="G866" s="148"/>
      <c r="H866" s="136" t="s">
        <v>585</v>
      </c>
      <c r="I866" s="136" t="s">
        <v>585</v>
      </c>
    </row>
    <row r="867">
      <c r="A867" s="135"/>
      <c r="B867" s="136"/>
      <c r="C867" s="136"/>
      <c r="D867" s="136"/>
      <c r="E867" s="138"/>
      <c r="F867" s="148" t="s">
        <v>585</v>
      </c>
      <c r="G867" s="148"/>
      <c r="H867" s="136" t="s">
        <v>585</v>
      </c>
      <c r="I867" s="136" t="s">
        <v>585</v>
      </c>
    </row>
    <row r="868">
      <c r="A868" s="135"/>
      <c r="B868" s="136"/>
      <c r="C868" s="136"/>
      <c r="D868" s="136"/>
      <c r="E868" s="138"/>
      <c r="F868" s="148" t="s">
        <v>585</v>
      </c>
      <c r="G868" s="148"/>
      <c r="H868" s="136" t="s">
        <v>585</v>
      </c>
      <c r="I868" s="136" t="s">
        <v>585</v>
      </c>
    </row>
    <row r="869">
      <c r="A869" s="135"/>
      <c r="B869" s="136"/>
      <c r="C869" s="136"/>
      <c r="D869" s="136"/>
      <c r="E869" s="138"/>
      <c r="F869" s="148" t="s">
        <v>585</v>
      </c>
      <c r="G869" s="148"/>
      <c r="H869" s="136" t="s">
        <v>585</v>
      </c>
      <c r="I869" s="136" t="s">
        <v>585</v>
      </c>
    </row>
    <row r="870">
      <c r="A870" s="135"/>
      <c r="B870" s="136"/>
      <c r="C870" s="136"/>
      <c r="D870" s="136"/>
      <c r="E870" s="138"/>
      <c r="F870" s="148" t="s">
        <v>585</v>
      </c>
      <c r="G870" s="148"/>
      <c r="H870" s="136" t="s">
        <v>585</v>
      </c>
      <c r="I870" s="136" t="s">
        <v>585</v>
      </c>
    </row>
    <row r="871">
      <c r="A871" s="135"/>
      <c r="B871" s="136"/>
      <c r="C871" s="136"/>
      <c r="D871" s="136"/>
      <c r="E871" s="138"/>
      <c r="F871" s="148" t="s">
        <v>585</v>
      </c>
      <c r="G871" s="148"/>
      <c r="H871" s="136" t="s">
        <v>585</v>
      </c>
      <c r="I871" s="136" t="s">
        <v>585</v>
      </c>
    </row>
    <row r="872">
      <c r="A872" s="135"/>
      <c r="B872" s="136"/>
      <c r="C872" s="136"/>
      <c r="D872" s="136"/>
      <c r="E872" s="138"/>
      <c r="F872" s="148" t="s">
        <v>585</v>
      </c>
      <c r="G872" s="148"/>
      <c r="H872" s="136" t="s">
        <v>585</v>
      </c>
      <c r="I872" s="136" t="s">
        <v>585</v>
      </c>
    </row>
    <row r="873">
      <c r="A873" s="135"/>
      <c r="B873" s="136"/>
      <c r="C873" s="136"/>
      <c r="D873" s="136"/>
      <c r="E873" s="138"/>
      <c r="F873" s="148" t="s">
        <v>585</v>
      </c>
      <c r="G873" s="148"/>
      <c r="H873" s="136" t="s">
        <v>585</v>
      </c>
      <c r="I873" s="136" t="s">
        <v>585</v>
      </c>
    </row>
    <row r="874">
      <c r="A874" s="135"/>
      <c r="B874" s="136"/>
      <c r="C874" s="136"/>
      <c r="D874" s="136"/>
      <c r="E874" s="138"/>
      <c r="F874" s="148" t="s">
        <v>585</v>
      </c>
      <c r="G874" s="148"/>
      <c r="H874" s="136" t="s">
        <v>585</v>
      </c>
      <c r="I874" s="136" t="s">
        <v>585</v>
      </c>
    </row>
    <row r="875">
      <c r="A875" s="135"/>
      <c r="B875" s="136"/>
      <c r="C875" s="136"/>
      <c r="D875" s="136"/>
      <c r="E875" s="138"/>
      <c r="F875" s="148" t="s">
        <v>585</v>
      </c>
      <c r="G875" s="148"/>
      <c r="H875" s="136" t="s">
        <v>585</v>
      </c>
      <c r="I875" s="136" t="s">
        <v>585</v>
      </c>
    </row>
    <row r="876">
      <c r="A876" s="135"/>
      <c r="B876" s="136"/>
      <c r="C876" s="136"/>
      <c r="D876" s="136"/>
      <c r="E876" s="138"/>
      <c r="F876" s="148" t="s">
        <v>585</v>
      </c>
      <c r="G876" s="148"/>
      <c r="H876" s="136" t="s">
        <v>585</v>
      </c>
      <c r="I876" s="136" t="s">
        <v>585</v>
      </c>
    </row>
    <row r="877">
      <c r="A877" s="135"/>
      <c r="B877" s="136"/>
      <c r="C877" s="136"/>
      <c r="D877" s="136"/>
      <c r="E877" s="138"/>
      <c r="F877" s="148" t="s">
        <v>585</v>
      </c>
      <c r="G877" s="148"/>
      <c r="H877" s="136" t="s">
        <v>585</v>
      </c>
      <c r="I877" s="136" t="s">
        <v>585</v>
      </c>
    </row>
    <row r="878">
      <c r="A878" s="135"/>
      <c r="B878" s="136"/>
      <c r="C878" s="136"/>
      <c r="D878" s="136"/>
      <c r="E878" s="138"/>
      <c r="F878" s="148" t="s">
        <v>585</v>
      </c>
      <c r="G878" s="148"/>
      <c r="H878" s="136" t="s">
        <v>585</v>
      </c>
      <c r="I878" s="136" t="s">
        <v>585</v>
      </c>
    </row>
    <row r="879">
      <c r="A879" s="135"/>
      <c r="B879" s="136"/>
      <c r="C879" s="136"/>
      <c r="D879" s="136"/>
      <c r="E879" s="138"/>
      <c r="F879" s="148" t="s">
        <v>585</v>
      </c>
      <c r="G879" s="148"/>
      <c r="H879" s="136" t="s">
        <v>585</v>
      </c>
      <c r="I879" s="136" t="s">
        <v>585</v>
      </c>
    </row>
    <row r="880">
      <c r="A880" s="135"/>
      <c r="B880" s="136"/>
      <c r="C880" s="136"/>
      <c r="D880" s="136"/>
      <c r="E880" s="138"/>
      <c r="F880" s="148" t="s">
        <v>585</v>
      </c>
      <c r="G880" s="148"/>
      <c r="H880" s="136" t="s">
        <v>585</v>
      </c>
      <c r="I880" s="136" t="s">
        <v>585</v>
      </c>
    </row>
    <row r="881">
      <c r="A881" s="135"/>
      <c r="B881" s="136"/>
      <c r="C881" s="136"/>
      <c r="D881" s="136"/>
      <c r="E881" s="138"/>
      <c r="F881" s="148" t="s">
        <v>585</v>
      </c>
      <c r="G881" s="148"/>
      <c r="H881" s="136" t="s">
        <v>585</v>
      </c>
      <c r="I881" s="136" t="s">
        <v>585</v>
      </c>
    </row>
    <row r="882">
      <c r="A882" s="135"/>
      <c r="B882" s="136"/>
      <c r="C882" s="136"/>
      <c r="D882" s="136"/>
      <c r="E882" s="138"/>
      <c r="F882" s="148" t="s">
        <v>585</v>
      </c>
      <c r="G882" s="148"/>
      <c r="H882" s="136" t="s">
        <v>585</v>
      </c>
      <c r="I882" s="136" t="s">
        <v>585</v>
      </c>
    </row>
    <row r="883">
      <c r="A883" s="135"/>
      <c r="B883" s="136"/>
      <c r="C883" s="136"/>
      <c r="D883" s="136"/>
      <c r="E883" s="138"/>
      <c r="F883" s="148" t="s">
        <v>585</v>
      </c>
      <c r="G883" s="148"/>
      <c r="H883" s="136" t="s">
        <v>585</v>
      </c>
      <c r="I883" s="136" t="s">
        <v>585</v>
      </c>
    </row>
    <row r="884">
      <c r="A884" s="135"/>
      <c r="B884" s="136"/>
      <c r="C884" s="136"/>
      <c r="D884" s="136"/>
      <c r="E884" s="138"/>
      <c r="F884" s="148" t="s">
        <v>585</v>
      </c>
      <c r="G884" s="148"/>
      <c r="H884" s="136" t="s">
        <v>585</v>
      </c>
      <c r="I884" s="136" t="s">
        <v>585</v>
      </c>
    </row>
    <row r="885">
      <c r="A885" s="135"/>
      <c r="B885" s="136"/>
      <c r="C885" s="136"/>
      <c r="D885" s="136"/>
      <c r="E885" s="138"/>
      <c r="F885" s="148" t="s">
        <v>585</v>
      </c>
      <c r="G885" s="148"/>
      <c r="H885" s="136" t="s">
        <v>585</v>
      </c>
      <c r="I885" s="136" t="s">
        <v>585</v>
      </c>
    </row>
    <row r="886">
      <c r="A886" s="135"/>
      <c r="B886" s="136"/>
      <c r="C886" s="136"/>
      <c r="D886" s="136"/>
      <c r="E886" s="138"/>
      <c r="F886" s="148" t="s">
        <v>585</v>
      </c>
      <c r="G886" s="148"/>
      <c r="H886" s="136" t="s">
        <v>585</v>
      </c>
      <c r="I886" s="136" t="s">
        <v>585</v>
      </c>
    </row>
    <row r="887">
      <c r="A887" s="135"/>
      <c r="B887" s="136"/>
      <c r="C887" s="136"/>
      <c r="D887" s="136"/>
      <c r="E887" s="138"/>
      <c r="F887" s="148" t="s">
        <v>585</v>
      </c>
      <c r="G887" s="148"/>
      <c r="H887" s="136" t="s">
        <v>585</v>
      </c>
      <c r="I887" s="136" t="s">
        <v>585</v>
      </c>
    </row>
    <row r="888">
      <c r="A888" s="135"/>
      <c r="B888" s="136"/>
      <c r="C888" s="136"/>
      <c r="D888" s="136"/>
      <c r="E888" s="138"/>
      <c r="F888" s="148" t="s">
        <v>585</v>
      </c>
      <c r="G888" s="148"/>
      <c r="H888" s="136" t="s">
        <v>585</v>
      </c>
      <c r="I888" s="136" t="s">
        <v>585</v>
      </c>
    </row>
    <row r="889">
      <c r="A889" s="135"/>
      <c r="B889" s="136"/>
      <c r="C889" s="136"/>
      <c r="D889" s="136"/>
      <c r="E889" s="138"/>
      <c r="F889" s="148" t="s">
        <v>585</v>
      </c>
      <c r="G889" s="148"/>
      <c r="H889" s="136" t="s">
        <v>585</v>
      </c>
      <c r="I889" s="136" t="s">
        <v>585</v>
      </c>
    </row>
    <row r="890">
      <c r="A890" s="135"/>
      <c r="B890" s="136"/>
      <c r="C890" s="136"/>
      <c r="D890" s="136"/>
      <c r="E890" s="138"/>
      <c r="F890" s="148" t="s">
        <v>585</v>
      </c>
      <c r="G890" s="148"/>
      <c r="H890" s="136" t="s">
        <v>585</v>
      </c>
      <c r="I890" s="136" t="s">
        <v>585</v>
      </c>
    </row>
    <row r="891">
      <c r="A891" s="135"/>
      <c r="B891" s="136"/>
      <c r="C891" s="136"/>
      <c r="D891" s="136"/>
      <c r="E891" s="138"/>
      <c r="F891" s="148" t="s">
        <v>585</v>
      </c>
      <c r="G891" s="148"/>
      <c r="H891" s="136" t="s">
        <v>585</v>
      </c>
      <c r="I891" s="136" t="s">
        <v>585</v>
      </c>
    </row>
    <row r="892">
      <c r="A892" s="135"/>
      <c r="B892" s="136"/>
      <c r="C892" s="136"/>
      <c r="D892" s="136"/>
      <c r="E892" s="138"/>
      <c r="F892" s="148" t="s">
        <v>585</v>
      </c>
      <c r="G892" s="148"/>
      <c r="H892" s="136" t="s">
        <v>585</v>
      </c>
      <c r="I892" s="136" t="s">
        <v>585</v>
      </c>
    </row>
    <row r="893">
      <c r="A893" s="135"/>
      <c r="B893" s="136"/>
      <c r="C893" s="136"/>
      <c r="D893" s="136"/>
      <c r="E893" s="138"/>
      <c r="F893" s="148" t="s">
        <v>585</v>
      </c>
      <c r="G893" s="148"/>
      <c r="H893" s="136" t="s">
        <v>585</v>
      </c>
      <c r="I893" s="136" t="s">
        <v>585</v>
      </c>
    </row>
    <row r="894">
      <c r="A894" s="135"/>
      <c r="B894" s="136"/>
      <c r="C894" s="136"/>
      <c r="D894" s="136"/>
      <c r="E894" s="138"/>
      <c r="F894" s="148" t="s">
        <v>585</v>
      </c>
      <c r="G894" s="148"/>
      <c r="H894" s="136" t="s">
        <v>585</v>
      </c>
      <c r="I894" s="136" t="s">
        <v>585</v>
      </c>
    </row>
    <row r="895">
      <c r="A895" s="135"/>
      <c r="B895" s="136"/>
      <c r="C895" s="136"/>
      <c r="D895" s="136"/>
      <c r="E895" s="138"/>
      <c r="F895" s="148" t="s">
        <v>585</v>
      </c>
      <c r="G895" s="148"/>
      <c r="H895" s="136" t="s">
        <v>585</v>
      </c>
      <c r="I895" s="136" t="s">
        <v>585</v>
      </c>
    </row>
    <row r="896">
      <c r="A896" s="135"/>
      <c r="B896" s="136"/>
      <c r="C896" s="136"/>
      <c r="D896" s="136"/>
      <c r="E896" s="138"/>
      <c r="F896" s="148" t="s">
        <v>585</v>
      </c>
      <c r="G896" s="148"/>
      <c r="H896" s="136" t="s">
        <v>585</v>
      </c>
      <c r="I896" s="136" t="s">
        <v>585</v>
      </c>
    </row>
    <row r="897">
      <c r="A897" s="135"/>
      <c r="B897" s="136"/>
      <c r="C897" s="136"/>
      <c r="D897" s="136"/>
      <c r="E897" s="138"/>
      <c r="F897" s="148" t="s">
        <v>585</v>
      </c>
      <c r="G897" s="148"/>
      <c r="H897" s="136" t="s">
        <v>585</v>
      </c>
      <c r="I897" s="136" t="s">
        <v>585</v>
      </c>
    </row>
    <row r="898">
      <c r="A898" s="135"/>
      <c r="B898" s="136"/>
      <c r="C898" s="136"/>
      <c r="D898" s="136"/>
      <c r="E898" s="138"/>
      <c r="F898" s="148" t="s">
        <v>585</v>
      </c>
      <c r="G898" s="148"/>
      <c r="H898" s="136" t="s">
        <v>585</v>
      </c>
      <c r="I898" s="136" t="s">
        <v>585</v>
      </c>
    </row>
    <row r="899">
      <c r="A899" s="135"/>
      <c r="B899" s="136"/>
      <c r="C899" s="136"/>
      <c r="D899" s="136"/>
      <c r="E899" s="138"/>
      <c r="F899" s="148" t="s">
        <v>585</v>
      </c>
      <c r="G899" s="148"/>
      <c r="H899" s="136" t="s">
        <v>585</v>
      </c>
      <c r="I899" s="136" t="s">
        <v>585</v>
      </c>
    </row>
    <row r="900">
      <c r="A900" s="135"/>
      <c r="B900" s="136"/>
      <c r="C900" s="136"/>
      <c r="D900" s="136"/>
      <c r="E900" s="138"/>
      <c r="F900" s="148" t="s">
        <v>585</v>
      </c>
      <c r="G900" s="148"/>
      <c r="H900" s="136" t="s">
        <v>585</v>
      </c>
      <c r="I900" s="136" t="s">
        <v>585</v>
      </c>
    </row>
    <row r="901">
      <c r="A901" s="135"/>
      <c r="B901" s="136"/>
      <c r="C901" s="136"/>
      <c r="D901" s="136"/>
      <c r="E901" s="138"/>
      <c r="F901" s="148" t="s">
        <v>585</v>
      </c>
      <c r="G901" s="148"/>
      <c r="H901" s="136" t="s">
        <v>585</v>
      </c>
      <c r="I901" s="136" t="s">
        <v>585</v>
      </c>
    </row>
    <row r="902">
      <c r="A902" s="135"/>
      <c r="B902" s="136"/>
      <c r="C902" s="136"/>
      <c r="D902" s="136"/>
      <c r="E902" s="138"/>
      <c r="F902" s="148" t="s">
        <v>585</v>
      </c>
      <c r="G902" s="148"/>
      <c r="H902" s="136" t="s">
        <v>585</v>
      </c>
      <c r="I902" s="136" t="s">
        <v>585</v>
      </c>
    </row>
    <row r="903">
      <c r="A903" s="135"/>
      <c r="B903" s="136"/>
      <c r="C903" s="136"/>
      <c r="D903" s="136"/>
      <c r="E903" s="138"/>
      <c r="F903" s="148" t="s">
        <v>585</v>
      </c>
      <c r="G903" s="148"/>
      <c r="H903" s="136" t="s">
        <v>585</v>
      </c>
      <c r="I903" s="136" t="s">
        <v>585</v>
      </c>
    </row>
    <row r="904">
      <c r="A904" s="135"/>
      <c r="B904" s="136"/>
      <c r="C904" s="136"/>
      <c r="D904" s="136"/>
      <c r="E904" s="138"/>
      <c r="F904" s="148" t="s">
        <v>585</v>
      </c>
      <c r="G904" s="148"/>
      <c r="H904" s="136" t="s">
        <v>585</v>
      </c>
      <c r="I904" s="136" t="s">
        <v>585</v>
      </c>
    </row>
    <row r="905">
      <c r="A905" s="135"/>
      <c r="B905" s="136"/>
      <c r="C905" s="136"/>
      <c r="D905" s="136"/>
      <c r="E905" s="138"/>
      <c r="F905" s="148" t="s">
        <v>585</v>
      </c>
      <c r="G905" s="148"/>
      <c r="H905" s="136" t="s">
        <v>585</v>
      </c>
      <c r="I905" s="136" t="s">
        <v>585</v>
      </c>
    </row>
    <row r="906">
      <c r="A906" s="135"/>
      <c r="B906" s="136"/>
      <c r="C906" s="136"/>
      <c r="D906" s="136"/>
      <c r="E906" s="138"/>
      <c r="F906" s="148" t="s">
        <v>585</v>
      </c>
      <c r="G906" s="148"/>
      <c r="H906" s="136" t="s">
        <v>585</v>
      </c>
      <c r="I906" s="136" t="s">
        <v>585</v>
      </c>
    </row>
    <row r="907">
      <c r="A907" s="135"/>
      <c r="B907" s="136"/>
      <c r="C907" s="136"/>
      <c r="D907" s="136"/>
      <c r="E907" s="138"/>
      <c r="F907" s="148" t="s">
        <v>585</v>
      </c>
      <c r="G907" s="148"/>
      <c r="H907" s="136" t="s">
        <v>585</v>
      </c>
      <c r="I907" s="136" t="s">
        <v>585</v>
      </c>
    </row>
    <row r="908">
      <c r="A908" s="135"/>
      <c r="B908" s="136"/>
      <c r="C908" s="136"/>
      <c r="D908" s="136"/>
      <c r="E908" s="138"/>
      <c r="F908" s="148" t="s">
        <v>585</v>
      </c>
      <c r="G908" s="148"/>
      <c r="H908" s="136" t="s">
        <v>585</v>
      </c>
      <c r="I908" s="136" t="s">
        <v>585</v>
      </c>
    </row>
    <row r="909">
      <c r="A909" s="135"/>
      <c r="B909" s="136"/>
      <c r="C909" s="136"/>
      <c r="D909" s="136"/>
      <c r="E909" s="138"/>
      <c r="F909" s="148" t="s">
        <v>585</v>
      </c>
      <c r="G909" s="148"/>
      <c r="H909" s="136" t="s">
        <v>585</v>
      </c>
      <c r="I909" s="136" t="s">
        <v>585</v>
      </c>
    </row>
    <row r="910">
      <c r="A910" s="135"/>
      <c r="B910" s="136"/>
      <c r="C910" s="136"/>
      <c r="D910" s="136"/>
      <c r="E910" s="138"/>
      <c r="F910" s="148" t="s">
        <v>585</v>
      </c>
      <c r="G910" s="148"/>
      <c r="H910" s="136" t="s">
        <v>585</v>
      </c>
      <c r="I910" s="136" t="s">
        <v>585</v>
      </c>
    </row>
    <row r="911">
      <c r="A911" s="135"/>
      <c r="B911" s="136"/>
      <c r="C911" s="136"/>
      <c r="D911" s="136"/>
      <c r="E911" s="138"/>
      <c r="F911" s="148" t="s">
        <v>585</v>
      </c>
      <c r="G911" s="148"/>
      <c r="H911" s="136" t="s">
        <v>585</v>
      </c>
      <c r="I911" s="136" t="s">
        <v>585</v>
      </c>
    </row>
    <row r="912">
      <c r="A912" s="135"/>
      <c r="B912" s="136"/>
      <c r="C912" s="136"/>
      <c r="D912" s="136"/>
      <c r="E912" s="138"/>
      <c r="F912" s="148" t="s">
        <v>585</v>
      </c>
      <c r="G912" s="148"/>
      <c r="H912" s="136" t="s">
        <v>585</v>
      </c>
      <c r="I912" s="136" t="s">
        <v>585</v>
      </c>
    </row>
    <row r="913">
      <c r="A913" s="135"/>
      <c r="B913" s="136"/>
      <c r="C913" s="136"/>
      <c r="D913" s="136"/>
      <c r="E913" s="138"/>
      <c r="F913" s="148" t="s">
        <v>585</v>
      </c>
      <c r="G913" s="148"/>
      <c r="H913" s="136" t="s">
        <v>585</v>
      </c>
      <c r="I913" s="136" t="s">
        <v>585</v>
      </c>
    </row>
    <row r="914">
      <c r="A914" s="135"/>
      <c r="B914" s="136"/>
      <c r="C914" s="136"/>
      <c r="D914" s="136"/>
      <c r="E914" s="138"/>
      <c r="F914" s="148" t="s">
        <v>585</v>
      </c>
      <c r="G914" s="148"/>
      <c r="H914" s="136" t="s">
        <v>585</v>
      </c>
      <c r="I914" s="136" t="s">
        <v>585</v>
      </c>
    </row>
    <row r="915">
      <c r="A915" s="135"/>
      <c r="B915" s="136"/>
      <c r="C915" s="136"/>
      <c r="D915" s="136"/>
      <c r="E915" s="138"/>
      <c r="F915" s="148" t="s">
        <v>585</v>
      </c>
      <c r="G915" s="148"/>
      <c r="H915" s="136" t="s">
        <v>585</v>
      </c>
      <c r="I915" s="136" t="s">
        <v>585</v>
      </c>
    </row>
    <row r="916">
      <c r="A916" s="135"/>
      <c r="B916" s="136"/>
      <c r="C916" s="136"/>
      <c r="D916" s="136"/>
      <c r="E916" s="138"/>
      <c r="F916" s="148" t="s">
        <v>585</v>
      </c>
      <c r="G916" s="148"/>
      <c r="H916" s="136" t="s">
        <v>585</v>
      </c>
      <c r="I916" s="136" t="s">
        <v>585</v>
      </c>
    </row>
    <row r="917">
      <c r="A917" s="135"/>
      <c r="B917" s="136"/>
      <c r="C917" s="136"/>
      <c r="D917" s="136"/>
      <c r="E917" s="138"/>
      <c r="F917" s="148" t="s">
        <v>585</v>
      </c>
      <c r="G917" s="148"/>
      <c r="H917" s="136" t="s">
        <v>585</v>
      </c>
      <c r="I917" s="136" t="s">
        <v>585</v>
      </c>
    </row>
    <row r="918">
      <c r="A918" s="135"/>
      <c r="B918" s="136"/>
      <c r="C918" s="136"/>
      <c r="D918" s="136"/>
      <c r="E918" s="138"/>
      <c r="F918" s="148" t="s">
        <v>585</v>
      </c>
      <c r="G918" s="148"/>
      <c r="H918" s="136" t="s">
        <v>585</v>
      </c>
      <c r="I918" s="136" t="s">
        <v>585</v>
      </c>
    </row>
    <row r="919">
      <c r="A919" s="135"/>
      <c r="B919" s="136"/>
      <c r="C919" s="136"/>
      <c r="D919" s="136"/>
      <c r="E919" s="138"/>
      <c r="F919" s="148" t="s">
        <v>585</v>
      </c>
      <c r="G919" s="148"/>
      <c r="H919" s="136" t="s">
        <v>585</v>
      </c>
      <c r="I919" s="136" t="s">
        <v>585</v>
      </c>
    </row>
    <row r="920">
      <c r="A920" s="135"/>
      <c r="B920" s="136"/>
      <c r="C920" s="136"/>
      <c r="D920" s="136"/>
      <c r="E920" s="138"/>
      <c r="F920" s="148" t="s">
        <v>585</v>
      </c>
      <c r="G920" s="148"/>
      <c r="H920" s="136" t="s">
        <v>585</v>
      </c>
      <c r="I920" s="136" t="s">
        <v>585</v>
      </c>
    </row>
    <row r="921">
      <c r="A921" s="135"/>
      <c r="B921" s="136"/>
      <c r="C921" s="136"/>
      <c r="D921" s="136"/>
      <c r="E921" s="138"/>
      <c r="F921" s="148" t="s">
        <v>585</v>
      </c>
      <c r="G921" s="148"/>
      <c r="H921" s="136" t="s">
        <v>585</v>
      </c>
      <c r="I921" s="136" t="s">
        <v>585</v>
      </c>
    </row>
    <row r="922">
      <c r="A922" s="135"/>
      <c r="B922" s="136"/>
      <c r="C922" s="136"/>
      <c r="D922" s="136"/>
      <c r="E922" s="138"/>
      <c r="F922" s="148" t="s">
        <v>585</v>
      </c>
      <c r="G922" s="148"/>
      <c r="H922" s="136" t="s">
        <v>585</v>
      </c>
      <c r="I922" s="136" t="s">
        <v>585</v>
      </c>
    </row>
    <row r="923">
      <c r="A923" s="135"/>
      <c r="B923" s="136"/>
      <c r="C923" s="136"/>
      <c r="D923" s="136"/>
      <c r="E923" s="138"/>
      <c r="F923" s="148" t="s">
        <v>585</v>
      </c>
      <c r="G923" s="148"/>
      <c r="H923" s="136" t="s">
        <v>585</v>
      </c>
      <c r="I923" s="136" t="s">
        <v>585</v>
      </c>
    </row>
    <row r="924">
      <c r="A924" s="135"/>
      <c r="B924" s="136"/>
      <c r="C924" s="136"/>
      <c r="D924" s="136"/>
      <c r="E924" s="138"/>
      <c r="F924" s="148" t="s">
        <v>585</v>
      </c>
      <c r="G924" s="148"/>
      <c r="H924" s="136" t="s">
        <v>585</v>
      </c>
      <c r="I924" s="136" t="s">
        <v>585</v>
      </c>
    </row>
    <row r="925">
      <c r="A925" s="135"/>
      <c r="B925" s="136"/>
      <c r="C925" s="136"/>
      <c r="D925" s="136"/>
      <c r="E925" s="138"/>
      <c r="F925" s="148" t="s">
        <v>585</v>
      </c>
      <c r="G925" s="148"/>
      <c r="H925" s="136" t="s">
        <v>585</v>
      </c>
      <c r="I925" s="136" t="s">
        <v>585</v>
      </c>
    </row>
    <row r="926">
      <c r="A926" s="135"/>
      <c r="B926" s="136"/>
      <c r="C926" s="136"/>
      <c r="D926" s="136"/>
      <c r="E926" s="138"/>
      <c r="F926" s="148" t="s">
        <v>585</v>
      </c>
      <c r="G926" s="148"/>
      <c r="H926" s="136" t="s">
        <v>585</v>
      </c>
      <c r="I926" s="136" t="s">
        <v>585</v>
      </c>
    </row>
    <row r="927">
      <c r="A927" s="135"/>
      <c r="B927" s="136"/>
      <c r="C927" s="136"/>
      <c r="D927" s="136"/>
      <c r="E927" s="138"/>
      <c r="F927" s="148" t="s">
        <v>585</v>
      </c>
      <c r="G927" s="148"/>
      <c r="H927" s="136" t="s">
        <v>585</v>
      </c>
      <c r="I927" s="136" t="s">
        <v>585</v>
      </c>
    </row>
  </sheetData>
  <autoFilter ref="$A$2:$Y$208"/>
  <customSheetViews>
    <customSheetView guid="{B2896BB9-4CEA-44B1-8782-A869BCF75F45}" filter="1" showAutoFilter="1">
      <autoFilter ref="$A$1:$I$927">
        <filterColumn colId="6">
          <filters blank="1">
            <filter val="1,000,000"/>
            <filter val="0"/>
            <filter val="104,500,000"/>
            <filter val="500,000"/>
            <filter val="Tiền lên video"/>
          </filters>
        </filterColumn>
      </autoFilter>
    </customSheetView>
    <customSheetView guid="{1E6C9B4D-32F5-4B07-AAB1-AB231243A69C}" filter="1" showAutoFilter="1">
      <autoFilter ref="$G$1:$G$927"/>
    </customSheetView>
  </customSheetViews>
  <dataValidations>
    <dataValidation type="custom" allowBlank="1" showDropDown="1" sqref="D1:D927">
      <formula1>OR(NOT(ISERROR(DATEVALUE(D1))), AND(ISNUMBER(D1), LEFT(CELL("format", D1))="D"))</formula1>
    </dataValidation>
    <dataValidation type="list" allowBlank="1" showErrorMessage="1" sqref="B1:B927">
      <formula1>"Facebook,TikTok,YouTube,Instagram"</formula1>
    </dataValidation>
    <dataValidation type="list" allowBlank="1" sqref="A1:A927">
      <formula1>data!$A:$A</formula1>
    </dataValidation>
  </dataValidation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4"/>
    <hyperlink r:id="rId92" ref="E95"/>
    <hyperlink r:id="rId93" ref="E96"/>
    <hyperlink r:id="rId94" ref="E97"/>
    <hyperlink r:id="rId95" ref="E98"/>
    <hyperlink r:id="rId96" ref="E99"/>
    <hyperlink r:id="rId97" ref="E100"/>
    <hyperlink r:id="rId98" ref="E101"/>
    <hyperlink r:id="rId99" ref="E102"/>
    <hyperlink r:id="rId100" ref="E103"/>
    <hyperlink r:id="rId101" ref="E104"/>
    <hyperlink r:id="rId102" ref="E105"/>
    <hyperlink r:id="rId103" ref="E106"/>
    <hyperlink r:id="rId104" ref="E107"/>
    <hyperlink r:id="rId105" ref="E108"/>
    <hyperlink r:id="rId106" ref="E110"/>
    <hyperlink r:id="rId107" ref="E111"/>
    <hyperlink r:id="rId108" ref="E112"/>
    <hyperlink r:id="rId109" ref="E113"/>
    <hyperlink r:id="rId110" ref="E114"/>
    <hyperlink r:id="rId111" ref="E115"/>
    <hyperlink r:id="rId112" ref="E116"/>
    <hyperlink r:id="rId113" ref="E117"/>
    <hyperlink r:id="rId114" ref="E118"/>
    <hyperlink r:id="rId115" ref="E119"/>
    <hyperlink r:id="rId116" ref="E120"/>
    <hyperlink r:id="rId117" ref="E121"/>
    <hyperlink r:id="rId118" ref="E122"/>
    <hyperlink r:id="rId119" ref="E123"/>
    <hyperlink r:id="rId120" ref="E124"/>
    <hyperlink r:id="rId121" ref="E125"/>
    <hyperlink r:id="rId122" ref="E126"/>
    <hyperlink r:id="rId123" ref="E127"/>
    <hyperlink r:id="rId124" ref="E128"/>
    <hyperlink r:id="rId125" ref="E129"/>
    <hyperlink r:id="rId126" ref="E130"/>
  </hyperlinks>
  <drawing r:id="rId12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7.14"/>
    <col customWidth="1" min="2" max="2" width="18.71"/>
    <col customWidth="1" min="3" max="3" width="18.43"/>
    <col customWidth="1" min="4" max="4" width="27.86"/>
    <col customWidth="1" min="5" max="6" width="17.57"/>
    <col customWidth="1" min="7" max="7" width="12.71"/>
    <col customWidth="1" min="8" max="8" width="8.71"/>
  </cols>
  <sheetData>
    <row r="1" hidden="1">
      <c r="A1" s="173"/>
      <c r="B1" s="173"/>
      <c r="C1" s="173"/>
      <c r="D1" s="174"/>
      <c r="E1" s="175"/>
      <c r="F1" s="175"/>
      <c r="G1" s="176"/>
      <c r="H1" s="176"/>
      <c r="I1" s="177"/>
      <c r="J1" s="178">
        <v>7.0</v>
      </c>
      <c r="K1" s="179"/>
      <c r="L1" s="180">
        <f>J1+1</f>
        <v>8</v>
      </c>
      <c r="M1" s="177"/>
      <c r="N1" s="180">
        <f>L1+1</f>
        <v>9</v>
      </c>
      <c r="O1" s="176"/>
      <c r="P1" s="180">
        <f>N1+1</f>
        <v>10</v>
      </c>
      <c r="Q1" s="177"/>
      <c r="R1" s="180">
        <f>P1+1</f>
        <v>11</v>
      </c>
      <c r="S1" s="176"/>
      <c r="T1" s="180">
        <f>R1+1</f>
        <v>12</v>
      </c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</row>
    <row r="2">
      <c r="A2" s="173"/>
      <c r="B2" s="173"/>
      <c r="C2" s="173"/>
      <c r="D2" s="174"/>
      <c r="E2" s="175"/>
      <c r="F2" s="175"/>
      <c r="G2" s="176"/>
      <c r="H2" s="176"/>
      <c r="I2" s="181" t="s">
        <v>627</v>
      </c>
      <c r="K2" s="182" t="s">
        <v>628</v>
      </c>
      <c r="M2" s="181" t="s">
        <v>629</v>
      </c>
      <c r="O2" s="183" t="s">
        <v>630</v>
      </c>
      <c r="Q2" s="181" t="s">
        <v>631</v>
      </c>
      <c r="S2" s="183" t="s">
        <v>632</v>
      </c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</row>
    <row r="3">
      <c r="A3" s="184" t="s">
        <v>633</v>
      </c>
      <c r="B3" s="185" t="s">
        <v>409</v>
      </c>
      <c r="C3" s="184" t="s">
        <v>634</v>
      </c>
      <c r="D3" s="186" t="s">
        <v>635</v>
      </c>
      <c r="E3" s="187" t="s">
        <v>636</v>
      </c>
      <c r="F3" s="188" t="s">
        <v>637</v>
      </c>
      <c r="G3" s="189" t="s">
        <v>13</v>
      </c>
      <c r="H3" s="189" t="s">
        <v>638</v>
      </c>
      <c r="I3" s="190" t="s">
        <v>639</v>
      </c>
      <c r="J3" s="191" t="s">
        <v>640</v>
      </c>
      <c r="K3" s="192" t="s">
        <v>639</v>
      </c>
      <c r="L3" s="193" t="s">
        <v>640</v>
      </c>
      <c r="M3" s="190" t="s">
        <v>639</v>
      </c>
      <c r="N3" s="191" t="s">
        <v>640</v>
      </c>
      <c r="O3" s="190" t="s">
        <v>639</v>
      </c>
      <c r="P3" s="193" t="s">
        <v>640</v>
      </c>
      <c r="Q3" s="190" t="s">
        <v>639</v>
      </c>
      <c r="R3" s="193" t="s">
        <v>640</v>
      </c>
      <c r="S3" s="190" t="s">
        <v>639</v>
      </c>
      <c r="T3" s="193" t="s">
        <v>640</v>
      </c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</row>
    <row r="4" ht="17.25" customHeight="1">
      <c r="A4" s="194"/>
      <c r="B4" s="195"/>
      <c r="C4" s="196"/>
      <c r="D4" s="197"/>
      <c r="E4" s="198"/>
      <c r="F4" s="198"/>
      <c r="G4" s="199" t="str">
        <f t="array" ref="G4:G1076">iferror(VLOOKUP(B4:B1076,data!A:P,16,0),"")</f>
        <v/>
      </c>
      <c r="H4" s="173"/>
      <c r="I4" s="200">
        <f t="shared" ref="I4:L4" si="1">sum(I5:I1076)</f>
        <v>62166.9091</v>
      </c>
      <c r="J4" s="201">
        <f t="shared" si="1"/>
        <v>292000000</v>
      </c>
      <c r="K4" s="202">
        <f t="shared" si="1"/>
        <v>371674.63</v>
      </c>
      <c r="L4" s="201">
        <f t="shared" si="1"/>
        <v>1585000000</v>
      </c>
      <c r="M4" s="173"/>
      <c r="N4" s="203"/>
      <c r="O4" s="173"/>
      <c r="P4" s="203"/>
      <c r="Q4" s="173"/>
      <c r="R4" s="203"/>
      <c r="S4" s="173"/>
      <c r="T4" s="20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</row>
    <row r="5" ht="17.25" customHeight="1">
      <c r="A5" s="194">
        <v>1.0</v>
      </c>
      <c r="B5" s="195" t="s">
        <v>417</v>
      </c>
      <c r="C5" s="196" t="s">
        <v>418</v>
      </c>
      <c r="D5" s="197" t="s">
        <v>419</v>
      </c>
      <c r="E5" s="204">
        <v>44390.0</v>
      </c>
      <c r="F5" s="198" t="s">
        <v>641</v>
      </c>
      <c r="G5" s="173" t="s">
        <v>92</v>
      </c>
      <c r="H5" s="173">
        <f t="array" ref="H5:H1076">countif(D:D,D5:D1076)</f>
        <v>1</v>
      </c>
      <c r="I5" s="205">
        <v>10.0</v>
      </c>
      <c r="J5" s="199">
        <f t="array" ref="J5:J1076">if($C5:C1076="TikTok",rounddown(I5:I1076/100)*500000,if(or($C5:C1076="Facebook",$C5:C1076="Instagram",$C5:C1076="YouTube"),rounddown(I5:I1076/50)*1000000,0))</f>
        <v>0</v>
      </c>
      <c r="K5" s="206">
        <f>vlookup($D5,Python!$D$2:$F$1000,3,FALSE)</f>
        <v>11</v>
      </c>
      <c r="L5" s="199">
        <f t="array" ref="L5:L1076">if(K5:K1076="","", if($C5:$C1076="TikTok",rounddown((K5:K1076-ROUNDDOWN(I5:I1076/100,0)*100)/100)*500000,if(or($C5:$C1076="Facebook",$C5:$C1076="Instagram",$C5:$C1076="YouTube"),rounddown((K5:K1076-ROUNDDOWN(I5:I1076/50,0)*50)/50)*1000000,0)))</f>
        <v>0</v>
      </c>
      <c r="M5" s="173"/>
      <c r="N5" s="199" t="str">
        <f t="array" ref="N5:N1076">if(M5:M1076="","",if($C5:$C1076="TikTok",rounddown((M5:M1076-ROUNDDOWN(K5:K1076/100,0)*100)/100)*500000,if(or($C5:$C1076="Facebook",$C5:$C1076="Instagram",$C5:$C1076="YouTube"),rounddown((M5:M1076-ROUNDDOWN(K5:K1076/50,0)*50)/50)*1000000,0)))</f>
        <v/>
      </c>
      <c r="O5" s="173"/>
      <c r="P5" s="199" t="str">
        <f t="array" ref="P5:P1076">if(O5:O1076="","",if($C5:$C1076="TikTok",rounddown((O5:O1076-ROUNDDOWN(M5:M1076/100,0)*100)/100)*500000,if(or($C5:$C1076="Facebook",$C5:$C1076="Instagram",$C5:$C1076="YouTube"),rounddown((O5:O1076-ROUNDDOWN(M5:M1076/50,0)*50)/50)*1000000,0)))</f>
        <v/>
      </c>
      <c r="Q5" s="173"/>
      <c r="R5" s="199" t="str">
        <f t="array" ref="R5:R1076">if(Q5:Q1076="","",if($C5:$C1076="TikTok",rounddown((Q5:Q1076-ROUNDDOWN(O5:O1076/100,0)*100)/100)*500000,if(or($C5:$C1076="Facebook",$C5:$C1076="Instagram",$C5:$C1076="YouTube"),rounddown((Q5:Q1076-ROUNDDOWN(O5:O1076/50,0)*50)/50)*1000000,0)))</f>
        <v/>
      </c>
      <c r="S5" s="173"/>
      <c r="T5" s="199" t="str">
        <f t="array" ref="T5:T1076">if(S5:S1076="","",if($C5:$C1076="TikTok",rounddown((S5:S1076-ROUNDDOWN(Q5:Q1076/100,0)*100)/100)*500000,if(or($C5:$C1076="Facebook",$C5:$C1076="Instagram",$C5:$C1076="YouTube"),rounddown((S5:S1076-ROUNDDOWN(Q5:Q1076/50,0)*50)/50)*1000000,0)))</f>
        <v/>
      </c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</row>
    <row r="6">
      <c r="A6" s="207">
        <v>2.0</v>
      </c>
      <c r="B6" s="195" t="s">
        <v>421</v>
      </c>
      <c r="C6" s="196" t="s">
        <v>422</v>
      </c>
      <c r="D6" s="208" t="s">
        <v>423</v>
      </c>
      <c r="E6" s="209">
        <v>44399.0</v>
      </c>
      <c r="F6" s="210" t="s">
        <v>642</v>
      </c>
      <c r="G6" s="173" t="s">
        <v>92</v>
      </c>
      <c r="H6" s="173">
        <v>1.0</v>
      </c>
      <c r="I6" s="207">
        <v>30.0</v>
      </c>
      <c r="J6" s="199">
        <v>0.0</v>
      </c>
      <c r="K6" s="206">
        <f>vlookup($D6,Python!$D$2:$F$1000,3,FALSE)</f>
        <v>122.9</v>
      </c>
      <c r="L6" s="199">
        <v>500000.0</v>
      </c>
      <c r="M6" s="173"/>
      <c r="N6" s="199" t="s">
        <v>585</v>
      </c>
      <c r="O6" s="173"/>
      <c r="P6" s="199" t="s">
        <v>585</v>
      </c>
      <c r="Q6" s="173"/>
      <c r="R6" s="199" t="s">
        <v>585</v>
      </c>
      <c r="S6" s="173"/>
      <c r="T6" s="199" t="s">
        <v>585</v>
      </c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</row>
    <row r="7">
      <c r="A7" s="194">
        <v>3.0</v>
      </c>
      <c r="B7" s="195" t="s">
        <v>424</v>
      </c>
      <c r="C7" s="196" t="s">
        <v>422</v>
      </c>
      <c r="D7" s="208" t="s">
        <v>425</v>
      </c>
      <c r="E7" s="211">
        <v>44395.0</v>
      </c>
      <c r="F7" s="212" t="s">
        <v>642</v>
      </c>
      <c r="G7" s="173" t="s">
        <v>92</v>
      </c>
      <c r="H7" s="173">
        <v>1.0</v>
      </c>
      <c r="I7" s="207">
        <v>36.0</v>
      </c>
      <c r="J7" s="199">
        <v>0.0</v>
      </c>
      <c r="K7" s="206">
        <f>vlookup($D7,Python!$D$2:$F$1000,3,FALSE)</f>
        <v>42.3</v>
      </c>
      <c r="L7" s="199">
        <v>0.0</v>
      </c>
      <c r="M7" s="173"/>
      <c r="N7" s="199" t="s">
        <v>585</v>
      </c>
      <c r="O7" s="173"/>
      <c r="P7" s="199" t="s">
        <v>585</v>
      </c>
      <c r="Q7" s="173"/>
      <c r="R7" s="199" t="s">
        <v>585</v>
      </c>
      <c r="S7" s="173"/>
      <c r="T7" s="199" t="s">
        <v>585</v>
      </c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</row>
    <row r="8">
      <c r="A8" s="194">
        <v>4.0</v>
      </c>
      <c r="B8" s="195" t="s">
        <v>424</v>
      </c>
      <c r="C8" s="196" t="s">
        <v>422</v>
      </c>
      <c r="D8" s="208" t="s">
        <v>643</v>
      </c>
      <c r="E8" s="211">
        <v>44398.0</v>
      </c>
      <c r="F8" s="212" t="s">
        <v>642</v>
      </c>
      <c r="G8" s="173" t="s">
        <v>92</v>
      </c>
      <c r="H8" s="173">
        <v>1.0</v>
      </c>
      <c r="I8" s="207">
        <v>61.0</v>
      </c>
      <c r="J8" s="199">
        <v>0.0</v>
      </c>
      <c r="K8" s="206">
        <f>vlookup($D8,Python!$D$2:$F$1000,3,FALSE)</f>
        <v>63.3</v>
      </c>
      <c r="L8" s="199">
        <v>0.0</v>
      </c>
      <c r="M8" s="173"/>
      <c r="N8" s="199" t="s">
        <v>585</v>
      </c>
      <c r="O8" s="173"/>
      <c r="P8" s="199" t="s">
        <v>585</v>
      </c>
      <c r="Q8" s="173"/>
      <c r="R8" s="199" t="s">
        <v>585</v>
      </c>
      <c r="S8" s="173"/>
      <c r="T8" s="199" t="s">
        <v>585</v>
      </c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</row>
    <row r="9">
      <c r="A9" s="207">
        <v>5.0</v>
      </c>
      <c r="B9" s="195" t="s">
        <v>424</v>
      </c>
      <c r="C9" s="196" t="s">
        <v>422</v>
      </c>
      <c r="D9" s="208" t="s">
        <v>644</v>
      </c>
      <c r="E9" s="211">
        <v>44398.0</v>
      </c>
      <c r="F9" s="212" t="s">
        <v>642</v>
      </c>
      <c r="G9" s="173" t="s">
        <v>92</v>
      </c>
      <c r="H9" s="173">
        <v>1.0</v>
      </c>
      <c r="I9" s="207">
        <v>71.0</v>
      </c>
      <c r="J9" s="199">
        <v>0.0</v>
      </c>
      <c r="K9" s="206">
        <f>vlookup($D9,Python!$D$2:$F$1000,3,FALSE)</f>
        <v>101.4</v>
      </c>
      <c r="L9" s="199">
        <v>500000.0</v>
      </c>
      <c r="M9" s="173"/>
      <c r="N9" s="199" t="s">
        <v>585</v>
      </c>
      <c r="O9" s="173"/>
      <c r="P9" s="199" t="s">
        <v>585</v>
      </c>
      <c r="Q9" s="173"/>
      <c r="R9" s="199" t="s">
        <v>585</v>
      </c>
      <c r="S9" s="173"/>
      <c r="T9" s="199" t="s">
        <v>585</v>
      </c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</row>
    <row r="10">
      <c r="A10" s="194">
        <v>6.0</v>
      </c>
      <c r="B10" s="195" t="s">
        <v>424</v>
      </c>
      <c r="C10" s="196" t="s">
        <v>422</v>
      </c>
      <c r="D10" s="208" t="s">
        <v>645</v>
      </c>
      <c r="E10" s="211">
        <v>44399.0</v>
      </c>
      <c r="F10" s="212" t="s">
        <v>642</v>
      </c>
      <c r="G10" s="173" t="s">
        <v>92</v>
      </c>
      <c r="H10" s="173">
        <v>1.0</v>
      </c>
      <c r="I10" s="207">
        <v>6.0</v>
      </c>
      <c r="J10" s="199">
        <v>0.0</v>
      </c>
      <c r="K10" s="206">
        <f>vlookup($D10,Python!$D$2:$F$1000,3,FALSE)</f>
        <v>14.9</v>
      </c>
      <c r="L10" s="199">
        <v>0.0</v>
      </c>
      <c r="M10" s="173"/>
      <c r="N10" s="199" t="s">
        <v>585</v>
      </c>
      <c r="O10" s="173"/>
      <c r="P10" s="199" t="s">
        <v>585</v>
      </c>
      <c r="Q10" s="173"/>
      <c r="R10" s="199" t="s">
        <v>585</v>
      </c>
      <c r="S10" s="173"/>
      <c r="T10" s="199" t="s">
        <v>585</v>
      </c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</row>
    <row r="11">
      <c r="A11" s="194">
        <v>7.0</v>
      </c>
      <c r="B11" s="195" t="s">
        <v>426</v>
      </c>
      <c r="C11" s="196" t="s">
        <v>422</v>
      </c>
      <c r="D11" s="208" t="s">
        <v>646</v>
      </c>
      <c r="E11" s="211">
        <v>44401.0</v>
      </c>
      <c r="F11" s="212" t="s">
        <v>642</v>
      </c>
      <c r="G11" s="173" t="s">
        <v>92</v>
      </c>
      <c r="H11" s="173">
        <v>1.0</v>
      </c>
      <c r="I11" s="207">
        <v>62.0</v>
      </c>
      <c r="J11" s="199">
        <v>0.0</v>
      </c>
      <c r="K11" s="206">
        <f>vlookup($D11,Python!$D$2:$F$1000,3,FALSE)</f>
        <v>64.6</v>
      </c>
      <c r="L11" s="199">
        <v>0.0</v>
      </c>
      <c r="M11" s="173"/>
      <c r="N11" s="199" t="s">
        <v>585</v>
      </c>
      <c r="O11" s="173"/>
      <c r="P11" s="199" t="s">
        <v>585</v>
      </c>
      <c r="Q11" s="173"/>
      <c r="R11" s="199" t="s">
        <v>585</v>
      </c>
      <c r="S11" s="173"/>
      <c r="T11" s="199" t="s">
        <v>585</v>
      </c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</row>
    <row r="12">
      <c r="A12" s="207">
        <v>8.0</v>
      </c>
      <c r="B12" s="195" t="s">
        <v>428</v>
      </c>
      <c r="C12" s="196" t="s">
        <v>422</v>
      </c>
      <c r="D12" s="208" t="s">
        <v>429</v>
      </c>
      <c r="E12" s="211">
        <v>44394.0</v>
      </c>
      <c r="F12" s="212" t="s">
        <v>642</v>
      </c>
      <c r="G12" s="173" t="s">
        <v>92</v>
      </c>
      <c r="H12" s="173">
        <v>1.0</v>
      </c>
      <c r="I12" s="207">
        <v>123.0</v>
      </c>
      <c r="J12" s="199">
        <v>500000.0</v>
      </c>
      <c r="K12" s="206">
        <f>vlookup($D12,Python!$D$2:$F$1000,3,FALSE)</f>
        <v>203.7</v>
      </c>
      <c r="L12" s="199">
        <v>500000.0</v>
      </c>
      <c r="M12" s="173"/>
      <c r="N12" s="199" t="s">
        <v>585</v>
      </c>
      <c r="O12" s="173"/>
      <c r="P12" s="199" t="s">
        <v>585</v>
      </c>
      <c r="Q12" s="173"/>
      <c r="R12" s="199" t="s">
        <v>585</v>
      </c>
      <c r="S12" s="173"/>
      <c r="T12" s="199" t="s">
        <v>585</v>
      </c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</row>
    <row r="13">
      <c r="A13" s="194">
        <v>9.0</v>
      </c>
      <c r="B13" s="195" t="s">
        <v>431</v>
      </c>
      <c r="C13" s="196" t="s">
        <v>422</v>
      </c>
      <c r="D13" s="208" t="s">
        <v>432</v>
      </c>
      <c r="E13" s="211">
        <v>44391.0</v>
      </c>
      <c r="F13" s="212" t="s">
        <v>647</v>
      </c>
      <c r="G13" s="173" t="s">
        <v>92</v>
      </c>
      <c r="H13" s="173">
        <v>1.0</v>
      </c>
      <c r="I13" s="207">
        <v>3.0</v>
      </c>
      <c r="J13" s="199">
        <v>0.0</v>
      </c>
      <c r="K13" s="206">
        <f>vlookup($D13,Python!$D$2:$F$1000,3,FALSE)</f>
        <v>3.633</v>
      </c>
      <c r="L13" s="199">
        <v>0.0</v>
      </c>
      <c r="M13" s="173"/>
      <c r="N13" s="199" t="s">
        <v>585</v>
      </c>
      <c r="O13" s="173"/>
      <c r="P13" s="199" t="s">
        <v>585</v>
      </c>
      <c r="Q13" s="173"/>
      <c r="R13" s="199" t="s">
        <v>585</v>
      </c>
      <c r="S13" s="173"/>
      <c r="T13" s="199" t="s">
        <v>585</v>
      </c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</row>
    <row r="14">
      <c r="A14" s="194">
        <v>10.0</v>
      </c>
      <c r="B14" s="195" t="s">
        <v>431</v>
      </c>
      <c r="C14" s="196" t="s">
        <v>422</v>
      </c>
      <c r="D14" s="208" t="s">
        <v>648</v>
      </c>
      <c r="E14" s="211">
        <v>44394.0</v>
      </c>
      <c r="F14" s="212" t="s">
        <v>642</v>
      </c>
      <c r="G14" s="173" t="s">
        <v>92</v>
      </c>
      <c r="H14" s="173">
        <v>1.0</v>
      </c>
      <c r="I14" s="207">
        <v>3.0</v>
      </c>
      <c r="J14" s="199">
        <v>0.0</v>
      </c>
      <c r="K14" s="206">
        <f>vlookup($D14,Python!$D$2:$F$1000,3,FALSE)</f>
        <v>4.033</v>
      </c>
      <c r="L14" s="199">
        <v>0.0</v>
      </c>
      <c r="M14" s="173"/>
      <c r="N14" s="199" t="s">
        <v>585</v>
      </c>
      <c r="O14" s="173"/>
      <c r="P14" s="199" t="s">
        <v>585</v>
      </c>
      <c r="Q14" s="173"/>
      <c r="R14" s="199" t="s">
        <v>585</v>
      </c>
      <c r="S14" s="173"/>
      <c r="T14" s="199" t="s">
        <v>585</v>
      </c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</row>
    <row r="15">
      <c r="A15" s="207">
        <v>11.0</v>
      </c>
      <c r="B15" s="195" t="s">
        <v>431</v>
      </c>
      <c r="C15" s="196" t="s">
        <v>422</v>
      </c>
      <c r="D15" s="208" t="s">
        <v>649</v>
      </c>
      <c r="E15" s="211">
        <v>44399.0</v>
      </c>
      <c r="F15" s="212" t="s">
        <v>642</v>
      </c>
      <c r="G15" s="173" t="s">
        <v>92</v>
      </c>
      <c r="H15" s="173">
        <v>1.0</v>
      </c>
      <c r="I15" s="207">
        <v>3.0</v>
      </c>
      <c r="J15" s="199">
        <v>0.0</v>
      </c>
      <c r="K15" s="206">
        <f>vlookup($D15,Python!$D$2:$F$1000,3,FALSE)</f>
        <v>4.7</v>
      </c>
      <c r="L15" s="199">
        <v>0.0</v>
      </c>
      <c r="M15" s="173"/>
      <c r="N15" s="199" t="s">
        <v>585</v>
      </c>
      <c r="O15" s="173"/>
      <c r="P15" s="199" t="s">
        <v>585</v>
      </c>
      <c r="Q15" s="173"/>
      <c r="R15" s="199" t="s">
        <v>585</v>
      </c>
      <c r="S15" s="173"/>
      <c r="T15" s="199" t="s">
        <v>585</v>
      </c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</row>
    <row r="16">
      <c r="A16" s="194">
        <v>12.0</v>
      </c>
      <c r="B16" s="195" t="s">
        <v>433</v>
      </c>
      <c r="C16" s="196" t="s">
        <v>422</v>
      </c>
      <c r="D16" s="208" t="s">
        <v>434</v>
      </c>
      <c r="E16" s="211">
        <v>44399.0</v>
      </c>
      <c r="F16" s="212" t="s">
        <v>647</v>
      </c>
      <c r="G16" s="173" t="s">
        <v>92</v>
      </c>
      <c r="H16" s="173">
        <v>1.0</v>
      </c>
      <c r="I16" s="207">
        <v>505.0</v>
      </c>
      <c r="J16" s="199">
        <v>2500000.0</v>
      </c>
      <c r="K16" s="206">
        <f>vlookup($D16,Python!$D$2:$F$1000,3,FALSE)</f>
        <v>737.6</v>
      </c>
      <c r="L16" s="199">
        <v>1000000.0</v>
      </c>
      <c r="M16" s="173"/>
      <c r="N16" s="199" t="s">
        <v>585</v>
      </c>
      <c r="O16" s="173"/>
      <c r="P16" s="199" t="s">
        <v>585</v>
      </c>
      <c r="Q16" s="173"/>
      <c r="R16" s="199" t="s">
        <v>585</v>
      </c>
      <c r="S16" s="173"/>
      <c r="T16" s="199" t="s">
        <v>585</v>
      </c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</row>
    <row r="17">
      <c r="A17" s="194">
        <v>13.0</v>
      </c>
      <c r="B17" s="195" t="s">
        <v>435</v>
      </c>
      <c r="C17" s="196" t="s">
        <v>422</v>
      </c>
      <c r="D17" s="208" t="s">
        <v>650</v>
      </c>
      <c r="E17" s="211">
        <v>44401.0</v>
      </c>
      <c r="F17" s="212" t="s">
        <v>641</v>
      </c>
      <c r="G17" s="173" t="s">
        <v>92</v>
      </c>
      <c r="H17" s="173">
        <v>1.0</v>
      </c>
      <c r="I17" s="207">
        <v>51.0</v>
      </c>
      <c r="J17" s="199">
        <v>0.0</v>
      </c>
      <c r="K17" s="206">
        <f>vlookup($D17,Python!$D$2:$F$1000,3,FALSE)</f>
        <v>57.1</v>
      </c>
      <c r="L17" s="199">
        <v>0.0</v>
      </c>
      <c r="M17" s="173"/>
      <c r="N17" s="199" t="s">
        <v>585</v>
      </c>
      <c r="O17" s="173"/>
      <c r="P17" s="199" t="s">
        <v>585</v>
      </c>
      <c r="Q17" s="173"/>
      <c r="R17" s="199" t="s">
        <v>585</v>
      </c>
      <c r="S17" s="173"/>
      <c r="T17" s="199" t="s">
        <v>585</v>
      </c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</row>
    <row r="18">
      <c r="A18" s="207">
        <v>14.0</v>
      </c>
      <c r="B18" s="195" t="s">
        <v>437</v>
      </c>
      <c r="C18" s="196" t="s">
        <v>422</v>
      </c>
      <c r="D18" s="208" t="s">
        <v>651</v>
      </c>
      <c r="E18" s="211">
        <v>44389.0</v>
      </c>
      <c r="F18" s="212" t="s">
        <v>642</v>
      </c>
      <c r="G18" s="173" t="s">
        <v>92</v>
      </c>
      <c r="H18" s="173">
        <v>1.0</v>
      </c>
      <c r="I18" s="207">
        <v>143.0</v>
      </c>
      <c r="J18" s="199">
        <v>500000.0</v>
      </c>
      <c r="K18" s="206">
        <f>vlookup($D18,Python!$D$2:$F$1000,3,FALSE)</f>
        <v>181.3</v>
      </c>
      <c r="L18" s="199">
        <v>0.0</v>
      </c>
      <c r="M18" s="173"/>
      <c r="N18" s="199" t="s">
        <v>585</v>
      </c>
      <c r="O18" s="173"/>
      <c r="P18" s="199" t="s">
        <v>585</v>
      </c>
      <c r="Q18" s="173"/>
      <c r="R18" s="199" t="s">
        <v>585</v>
      </c>
      <c r="S18" s="173"/>
      <c r="T18" s="199" t="s">
        <v>585</v>
      </c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</row>
    <row r="19">
      <c r="A19" s="194">
        <v>15.0</v>
      </c>
      <c r="B19" s="195" t="s">
        <v>437</v>
      </c>
      <c r="C19" s="196" t="s">
        <v>422</v>
      </c>
      <c r="D19" s="208" t="s">
        <v>652</v>
      </c>
      <c r="E19" s="211">
        <v>44391.0</v>
      </c>
      <c r="F19" s="212" t="s">
        <v>642</v>
      </c>
      <c r="G19" s="173" t="s">
        <v>92</v>
      </c>
      <c r="H19" s="173">
        <v>1.0</v>
      </c>
      <c r="I19" s="207">
        <v>60.0</v>
      </c>
      <c r="J19" s="199">
        <v>0.0</v>
      </c>
      <c r="K19" s="206">
        <f>vlookup($D19,Python!$D$2:$F$1000,3,FALSE)</f>
        <v>87.2</v>
      </c>
      <c r="L19" s="199">
        <v>0.0</v>
      </c>
      <c r="M19" s="173"/>
      <c r="N19" s="199" t="s">
        <v>585</v>
      </c>
      <c r="O19" s="173"/>
      <c r="P19" s="199" t="s">
        <v>585</v>
      </c>
      <c r="Q19" s="173"/>
      <c r="R19" s="199" t="s">
        <v>585</v>
      </c>
      <c r="S19" s="173"/>
      <c r="T19" s="199" t="s">
        <v>585</v>
      </c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</row>
    <row r="20">
      <c r="A20" s="194">
        <v>16.0</v>
      </c>
      <c r="B20" s="195" t="s">
        <v>437</v>
      </c>
      <c r="C20" s="196" t="s">
        <v>422</v>
      </c>
      <c r="D20" s="208" t="s">
        <v>653</v>
      </c>
      <c r="E20" s="211">
        <v>44392.0</v>
      </c>
      <c r="F20" s="212" t="s">
        <v>642</v>
      </c>
      <c r="G20" s="173" t="s">
        <v>92</v>
      </c>
      <c r="H20" s="173">
        <v>1.0</v>
      </c>
      <c r="I20" s="207">
        <v>394.0</v>
      </c>
      <c r="J20" s="199">
        <v>1500000.0</v>
      </c>
      <c r="K20" s="206">
        <f>vlookup($D20,Python!$D$2:$F$1000,3,FALSE)</f>
        <v>470.2</v>
      </c>
      <c r="L20" s="199">
        <v>500000.0</v>
      </c>
      <c r="M20" s="173"/>
      <c r="N20" s="199" t="s">
        <v>585</v>
      </c>
      <c r="O20" s="173"/>
      <c r="P20" s="199" t="s">
        <v>585</v>
      </c>
      <c r="Q20" s="173"/>
      <c r="R20" s="199" t="s">
        <v>585</v>
      </c>
      <c r="S20" s="173"/>
      <c r="T20" s="199" t="s">
        <v>585</v>
      </c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</row>
    <row r="21">
      <c r="A21" s="207">
        <v>17.0</v>
      </c>
      <c r="B21" s="195" t="s">
        <v>437</v>
      </c>
      <c r="C21" s="196" t="s">
        <v>422</v>
      </c>
      <c r="D21" s="208" t="s">
        <v>654</v>
      </c>
      <c r="E21" s="211">
        <v>44394.0</v>
      </c>
      <c r="F21" s="212" t="s">
        <v>642</v>
      </c>
      <c r="G21" s="173" t="s">
        <v>92</v>
      </c>
      <c r="H21" s="173">
        <v>1.0</v>
      </c>
      <c r="I21" s="207">
        <v>65.0</v>
      </c>
      <c r="J21" s="199">
        <v>0.0</v>
      </c>
      <c r="K21" s="206">
        <f>vlookup($D21,Python!$D$2:$F$1000,3,FALSE)</f>
        <v>98.2</v>
      </c>
      <c r="L21" s="199">
        <v>0.0</v>
      </c>
      <c r="M21" s="173"/>
      <c r="N21" s="199" t="s">
        <v>585</v>
      </c>
      <c r="O21" s="173"/>
      <c r="P21" s="199" t="s">
        <v>585</v>
      </c>
      <c r="Q21" s="173"/>
      <c r="R21" s="199" t="s">
        <v>585</v>
      </c>
      <c r="S21" s="173"/>
      <c r="T21" s="199" t="s">
        <v>585</v>
      </c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</row>
    <row r="22">
      <c r="A22" s="194">
        <v>18.0</v>
      </c>
      <c r="B22" s="195" t="s">
        <v>437</v>
      </c>
      <c r="C22" s="196" t="s">
        <v>422</v>
      </c>
      <c r="D22" s="208" t="s">
        <v>655</v>
      </c>
      <c r="E22" s="211">
        <v>44395.0</v>
      </c>
      <c r="F22" s="212" t="s">
        <v>642</v>
      </c>
      <c r="G22" s="173" t="s">
        <v>92</v>
      </c>
      <c r="H22" s="173">
        <v>1.0</v>
      </c>
      <c r="I22" s="207">
        <v>30.0</v>
      </c>
      <c r="J22" s="199">
        <v>0.0</v>
      </c>
      <c r="K22" s="206">
        <f>vlookup($D22,Python!$D$2:$F$1000,3,FALSE)</f>
        <v>75.1</v>
      </c>
      <c r="L22" s="199">
        <v>0.0</v>
      </c>
      <c r="M22" s="173"/>
      <c r="N22" s="199" t="s">
        <v>585</v>
      </c>
      <c r="O22" s="173"/>
      <c r="P22" s="199" t="s">
        <v>585</v>
      </c>
      <c r="Q22" s="173"/>
      <c r="R22" s="199" t="s">
        <v>585</v>
      </c>
      <c r="S22" s="173"/>
      <c r="T22" s="199" t="s">
        <v>585</v>
      </c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</row>
    <row r="23">
      <c r="A23" s="194">
        <v>19.0</v>
      </c>
      <c r="B23" s="195" t="s">
        <v>437</v>
      </c>
      <c r="C23" s="196" t="s">
        <v>422</v>
      </c>
      <c r="D23" s="208" t="s">
        <v>656</v>
      </c>
      <c r="E23" s="211">
        <v>44396.0</v>
      </c>
      <c r="F23" s="212" t="s">
        <v>642</v>
      </c>
      <c r="G23" s="173" t="s">
        <v>92</v>
      </c>
      <c r="H23" s="173">
        <v>1.0</v>
      </c>
      <c r="I23" s="207">
        <v>73.0</v>
      </c>
      <c r="J23" s="199">
        <v>0.0</v>
      </c>
      <c r="K23" s="206">
        <f>vlookup($D23,Python!$D$2:$F$1000,3,FALSE)</f>
        <v>108.1</v>
      </c>
      <c r="L23" s="199">
        <v>500000.0</v>
      </c>
      <c r="M23" s="173"/>
      <c r="N23" s="199" t="s">
        <v>585</v>
      </c>
      <c r="O23" s="173"/>
      <c r="P23" s="199" t="s">
        <v>585</v>
      </c>
      <c r="Q23" s="173"/>
      <c r="R23" s="199" t="s">
        <v>585</v>
      </c>
      <c r="S23" s="173"/>
      <c r="T23" s="199" t="s">
        <v>585</v>
      </c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</row>
    <row r="24">
      <c r="A24" s="207">
        <v>20.0</v>
      </c>
      <c r="B24" s="195" t="s">
        <v>437</v>
      </c>
      <c r="C24" s="196" t="s">
        <v>422</v>
      </c>
      <c r="D24" s="208" t="s">
        <v>657</v>
      </c>
      <c r="E24" s="211">
        <v>44398.0</v>
      </c>
      <c r="F24" s="212" t="s">
        <v>642</v>
      </c>
      <c r="G24" s="173" t="s">
        <v>92</v>
      </c>
      <c r="H24" s="173">
        <v>1.0</v>
      </c>
      <c r="I24" s="207">
        <v>15.0</v>
      </c>
      <c r="J24" s="199">
        <v>0.0</v>
      </c>
      <c r="K24" s="206">
        <f>vlookup($D24,Python!$D$2:$F$1000,3,FALSE)</f>
        <v>53</v>
      </c>
      <c r="L24" s="199">
        <v>0.0</v>
      </c>
      <c r="M24" s="173"/>
      <c r="N24" s="199" t="s">
        <v>585</v>
      </c>
      <c r="O24" s="173"/>
      <c r="P24" s="199" t="s">
        <v>585</v>
      </c>
      <c r="Q24" s="173"/>
      <c r="R24" s="199" t="s">
        <v>585</v>
      </c>
      <c r="S24" s="173"/>
      <c r="T24" s="199" t="s">
        <v>585</v>
      </c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</row>
    <row r="25">
      <c r="A25" s="194">
        <v>21.0</v>
      </c>
      <c r="B25" s="195" t="s">
        <v>437</v>
      </c>
      <c r="C25" s="196" t="s">
        <v>422</v>
      </c>
      <c r="D25" s="208" t="s">
        <v>658</v>
      </c>
      <c r="E25" s="211">
        <v>44400.0</v>
      </c>
      <c r="F25" s="212" t="s">
        <v>642</v>
      </c>
      <c r="G25" s="173" t="s">
        <v>92</v>
      </c>
      <c r="H25" s="173">
        <v>1.0</v>
      </c>
      <c r="I25" s="207">
        <v>515.0</v>
      </c>
      <c r="J25" s="199">
        <v>2500000.0</v>
      </c>
      <c r="K25" s="206">
        <f>vlookup($D25,Python!$D$2:$F$1000,3,FALSE)</f>
        <v>870.3</v>
      </c>
      <c r="L25" s="199">
        <v>1500000.0</v>
      </c>
      <c r="M25" s="173"/>
      <c r="N25" s="199" t="s">
        <v>585</v>
      </c>
      <c r="O25" s="173"/>
      <c r="P25" s="199" t="s">
        <v>585</v>
      </c>
      <c r="Q25" s="173"/>
      <c r="R25" s="199" t="s">
        <v>585</v>
      </c>
      <c r="S25" s="173"/>
      <c r="T25" s="199" t="s">
        <v>585</v>
      </c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</row>
    <row r="26">
      <c r="A26" s="194">
        <v>22.0</v>
      </c>
      <c r="B26" s="195" t="s">
        <v>437</v>
      </c>
      <c r="C26" s="196" t="s">
        <v>422</v>
      </c>
      <c r="D26" s="208" t="s">
        <v>659</v>
      </c>
      <c r="E26" s="211">
        <v>44402.0</v>
      </c>
      <c r="F26" s="212" t="s">
        <v>642</v>
      </c>
      <c r="G26" s="173" t="s">
        <v>92</v>
      </c>
      <c r="H26" s="173">
        <v>1.0</v>
      </c>
      <c r="I26" s="207">
        <v>68.0</v>
      </c>
      <c r="J26" s="199">
        <v>0.0</v>
      </c>
      <c r="K26" s="206">
        <f>vlookup($D26,Python!$D$2:$F$1000,3,FALSE)</f>
        <v>128.9</v>
      </c>
      <c r="L26" s="199">
        <v>500000.0</v>
      </c>
      <c r="M26" s="173"/>
      <c r="N26" s="199" t="s">
        <v>585</v>
      </c>
      <c r="O26" s="173"/>
      <c r="P26" s="199" t="s">
        <v>585</v>
      </c>
      <c r="Q26" s="173"/>
      <c r="R26" s="199" t="s">
        <v>585</v>
      </c>
      <c r="S26" s="173"/>
      <c r="T26" s="199" t="s">
        <v>585</v>
      </c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</row>
    <row r="27">
      <c r="A27" s="207">
        <v>23.0</v>
      </c>
      <c r="B27" s="195" t="s">
        <v>439</v>
      </c>
      <c r="C27" s="196" t="s">
        <v>422</v>
      </c>
      <c r="D27" s="208" t="s">
        <v>660</v>
      </c>
      <c r="E27" s="211">
        <v>44391.0</v>
      </c>
      <c r="F27" s="212" t="s">
        <v>642</v>
      </c>
      <c r="G27" s="173" t="s">
        <v>92</v>
      </c>
      <c r="H27" s="173">
        <v>1.0</v>
      </c>
      <c r="I27" s="207">
        <v>118.0</v>
      </c>
      <c r="J27" s="199">
        <v>500000.0</v>
      </c>
      <c r="K27" s="206">
        <f>vlookup($D27,Python!$D$2:$F$1000,3,FALSE)</f>
        <v>122</v>
      </c>
      <c r="L27" s="199">
        <v>0.0</v>
      </c>
      <c r="M27" s="173"/>
      <c r="N27" s="199" t="s">
        <v>585</v>
      </c>
      <c r="O27" s="173"/>
      <c r="P27" s="199" t="s">
        <v>585</v>
      </c>
      <c r="Q27" s="173"/>
      <c r="R27" s="199" t="s">
        <v>585</v>
      </c>
      <c r="S27" s="173"/>
      <c r="T27" s="199" t="s">
        <v>585</v>
      </c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</row>
    <row r="28">
      <c r="A28" s="194">
        <v>24.0</v>
      </c>
      <c r="B28" s="195" t="s">
        <v>439</v>
      </c>
      <c r="C28" s="196" t="s">
        <v>422</v>
      </c>
      <c r="D28" s="208" t="s">
        <v>661</v>
      </c>
      <c r="E28" s="211">
        <v>44393.0</v>
      </c>
      <c r="F28" s="212" t="s">
        <v>642</v>
      </c>
      <c r="G28" s="173" t="s">
        <v>92</v>
      </c>
      <c r="H28" s="173">
        <v>1.0</v>
      </c>
      <c r="I28" s="207">
        <v>13.0</v>
      </c>
      <c r="J28" s="199">
        <v>0.0</v>
      </c>
      <c r="K28" s="206">
        <f>vlookup($D28,Python!$D$2:$F$1000,3,FALSE)</f>
        <v>15.1</v>
      </c>
      <c r="L28" s="199">
        <v>0.0</v>
      </c>
      <c r="M28" s="173"/>
      <c r="N28" s="199" t="s">
        <v>585</v>
      </c>
      <c r="O28" s="173"/>
      <c r="P28" s="199" t="s">
        <v>585</v>
      </c>
      <c r="Q28" s="173"/>
      <c r="R28" s="199" t="s">
        <v>585</v>
      </c>
      <c r="S28" s="173"/>
      <c r="T28" s="199" t="s">
        <v>585</v>
      </c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</row>
    <row r="29">
      <c r="A29" s="194">
        <v>25.0</v>
      </c>
      <c r="B29" s="195" t="s">
        <v>439</v>
      </c>
      <c r="C29" s="196" t="s">
        <v>422</v>
      </c>
      <c r="D29" s="208" t="s">
        <v>662</v>
      </c>
      <c r="E29" s="211">
        <v>44394.0</v>
      </c>
      <c r="F29" s="212" t="s">
        <v>642</v>
      </c>
      <c r="G29" s="173" t="s">
        <v>92</v>
      </c>
      <c r="H29" s="173">
        <v>1.0</v>
      </c>
      <c r="I29" s="207">
        <v>308.0</v>
      </c>
      <c r="J29" s="199">
        <v>1500000.0</v>
      </c>
      <c r="K29" s="206">
        <f>vlookup($D29,Python!$D$2:$F$1000,3,FALSE)</f>
        <v>343.3</v>
      </c>
      <c r="L29" s="199">
        <v>0.0</v>
      </c>
      <c r="M29" s="173"/>
      <c r="N29" s="199" t="s">
        <v>585</v>
      </c>
      <c r="O29" s="173"/>
      <c r="P29" s="199" t="s">
        <v>585</v>
      </c>
      <c r="Q29" s="173"/>
      <c r="R29" s="199" t="s">
        <v>585</v>
      </c>
      <c r="S29" s="173"/>
      <c r="T29" s="199" t="s">
        <v>585</v>
      </c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</row>
    <row r="30">
      <c r="A30" s="207">
        <v>26.0</v>
      </c>
      <c r="B30" s="195" t="s">
        <v>441</v>
      </c>
      <c r="C30" s="196" t="s">
        <v>422</v>
      </c>
      <c r="D30" s="208" t="s">
        <v>442</v>
      </c>
      <c r="E30" s="211">
        <v>44390.0</v>
      </c>
      <c r="F30" s="212" t="s">
        <v>641</v>
      </c>
      <c r="G30" s="173" t="s">
        <v>92</v>
      </c>
      <c r="H30" s="173">
        <v>1.0</v>
      </c>
      <c r="I30" s="207">
        <v>295.0</v>
      </c>
      <c r="J30" s="199">
        <v>1000000.0</v>
      </c>
      <c r="K30" s="206">
        <f>vlookup($D30,Python!$D$2:$F$1000,3,FALSE)</f>
        <v>677.9</v>
      </c>
      <c r="L30" s="199">
        <v>2000000.0</v>
      </c>
      <c r="M30" s="173"/>
      <c r="N30" s="199" t="s">
        <v>585</v>
      </c>
      <c r="O30" s="173"/>
      <c r="P30" s="199" t="s">
        <v>585</v>
      </c>
      <c r="Q30" s="173"/>
      <c r="R30" s="199" t="s">
        <v>585</v>
      </c>
      <c r="S30" s="173"/>
      <c r="T30" s="199" t="s">
        <v>585</v>
      </c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</row>
    <row r="31">
      <c r="A31" s="194">
        <v>27.0</v>
      </c>
      <c r="B31" s="195" t="s">
        <v>441</v>
      </c>
      <c r="C31" s="196" t="s">
        <v>422</v>
      </c>
      <c r="D31" s="208" t="s">
        <v>663</v>
      </c>
      <c r="E31" s="211">
        <v>44394.0</v>
      </c>
      <c r="F31" s="212" t="s">
        <v>647</v>
      </c>
      <c r="G31" s="173" t="s">
        <v>92</v>
      </c>
      <c r="H31" s="173">
        <v>1.0</v>
      </c>
      <c r="I31" s="207">
        <v>104.0</v>
      </c>
      <c r="J31" s="199">
        <v>500000.0</v>
      </c>
      <c r="K31" s="206">
        <f>vlookup($D31,Python!$D$2:$F$1000,3,FALSE)</f>
        <v>265</v>
      </c>
      <c r="L31" s="199">
        <v>500000.0</v>
      </c>
      <c r="M31" s="173"/>
      <c r="N31" s="199" t="s">
        <v>585</v>
      </c>
      <c r="O31" s="173"/>
      <c r="P31" s="199" t="s">
        <v>585</v>
      </c>
      <c r="Q31" s="173"/>
      <c r="R31" s="199" t="s">
        <v>585</v>
      </c>
      <c r="S31" s="173"/>
      <c r="T31" s="199" t="s">
        <v>585</v>
      </c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</row>
    <row r="32">
      <c r="A32" s="194">
        <v>28.0</v>
      </c>
      <c r="B32" s="195" t="s">
        <v>443</v>
      </c>
      <c r="C32" s="196" t="s">
        <v>422</v>
      </c>
      <c r="D32" s="208" t="s">
        <v>664</v>
      </c>
      <c r="E32" s="211">
        <v>44390.0</v>
      </c>
      <c r="F32" s="212" t="s">
        <v>642</v>
      </c>
      <c r="G32" s="173" t="s">
        <v>445</v>
      </c>
      <c r="H32" s="173">
        <v>1.0</v>
      </c>
      <c r="I32" s="207">
        <v>2000.0</v>
      </c>
      <c r="J32" s="199">
        <v>1.0E7</v>
      </c>
      <c r="K32" s="206">
        <f>vlookup($D32,Python!$D$2:$F$1000,3,FALSE)</f>
        <v>2200</v>
      </c>
      <c r="L32" s="199">
        <v>1000000.0</v>
      </c>
      <c r="M32" s="173"/>
      <c r="N32" s="199" t="s">
        <v>585</v>
      </c>
      <c r="O32" s="173"/>
      <c r="P32" s="199" t="s">
        <v>585</v>
      </c>
      <c r="Q32" s="173"/>
      <c r="R32" s="199" t="s">
        <v>585</v>
      </c>
      <c r="S32" s="173"/>
      <c r="T32" s="199" t="s">
        <v>585</v>
      </c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</row>
    <row r="33">
      <c r="A33" s="207">
        <v>29.0</v>
      </c>
      <c r="B33" s="195" t="s">
        <v>443</v>
      </c>
      <c r="C33" s="196" t="s">
        <v>422</v>
      </c>
      <c r="D33" s="208" t="s">
        <v>665</v>
      </c>
      <c r="E33" s="211">
        <v>44393.0</v>
      </c>
      <c r="F33" s="212" t="s">
        <v>642</v>
      </c>
      <c r="G33" s="173" t="s">
        <v>445</v>
      </c>
      <c r="H33" s="173">
        <v>1.0</v>
      </c>
      <c r="I33" s="207">
        <v>937.0</v>
      </c>
      <c r="J33" s="199">
        <v>4500000.0</v>
      </c>
      <c r="K33" s="206">
        <f>vlookup($D33,Python!$D$2:$F$1000,3,FALSE)</f>
        <v>1100</v>
      </c>
      <c r="L33" s="199">
        <v>1000000.0</v>
      </c>
      <c r="M33" s="173"/>
      <c r="N33" s="199" t="s">
        <v>585</v>
      </c>
      <c r="O33" s="173"/>
      <c r="P33" s="199" t="s">
        <v>585</v>
      </c>
      <c r="Q33" s="173"/>
      <c r="R33" s="199" t="s">
        <v>585</v>
      </c>
      <c r="S33" s="173"/>
      <c r="T33" s="199" t="s">
        <v>585</v>
      </c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</row>
    <row r="34">
      <c r="A34" s="194">
        <v>30.0</v>
      </c>
      <c r="B34" s="195" t="s">
        <v>443</v>
      </c>
      <c r="C34" s="196" t="s">
        <v>422</v>
      </c>
      <c r="D34" s="208" t="s">
        <v>666</v>
      </c>
      <c r="E34" s="211">
        <v>44395.0</v>
      </c>
      <c r="F34" s="212" t="s">
        <v>642</v>
      </c>
      <c r="G34" s="173" t="s">
        <v>445</v>
      </c>
      <c r="H34" s="173">
        <v>1.0</v>
      </c>
      <c r="I34" s="207">
        <v>126.0</v>
      </c>
      <c r="J34" s="199">
        <v>500000.0</v>
      </c>
      <c r="K34" s="206">
        <f>vlookup($D34,Python!$D$2:$F$1000,3,FALSE)</f>
        <v>185.4</v>
      </c>
      <c r="L34" s="199">
        <v>0.0</v>
      </c>
      <c r="M34" s="173"/>
      <c r="N34" s="199" t="s">
        <v>585</v>
      </c>
      <c r="O34" s="173"/>
      <c r="P34" s="199" t="s">
        <v>585</v>
      </c>
      <c r="Q34" s="173"/>
      <c r="R34" s="199" t="s">
        <v>585</v>
      </c>
      <c r="S34" s="173"/>
      <c r="T34" s="199" t="s">
        <v>585</v>
      </c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</row>
    <row r="35">
      <c r="A35" s="194">
        <v>31.0</v>
      </c>
      <c r="B35" s="195" t="s">
        <v>443</v>
      </c>
      <c r="C35" s="196" t="s">
        <v>422</v>
      </c>
      <c r="D35" s="208" t="s">
        <v>667</v>
      </c>
      <c r="E35" s="211">
        <v>44397.0</v>
      </c>
      <c r="F35" s="212" t="s">
        <v>642</v>
      </c>
      <c r="G35" s="173" t="s">
        <v>445</v>
      </c>
      <c r="H35" s="173">
        <v>1.0</v>
      </c>
      <c r="I35" s="207">
        <v>77.0</v>
      </c>
      <c r="J35" s="199">
        <v>0.0</v>
      </c>
      <c r="K35" s="206">
        <f>vlookup($D35,Python!$D$2:$F$1000,3,FALSE)</f>
        <v>140.9</v>
      </c>
      <c r="L35" s="199">
        <v>500000.0</v>
      </c>
      <c r="M35" s="173"/>
      <c r="N35" s="199" t="s">
        <v>585</v>
      </c>
      <c r="O35" s="173"/>
      <c r="P35" s="199" t="s">
        <v>585</v>
      </c>
      <c r="Q35" s="173"/>
      <c r="R35" s="199" t="s">
        <v>585</v>
      </c>
      <c r="S35" s="173"/>
      <c r="T35" s="199" t="s">
        <v>585</v>
      </c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</row>
    <row r="36">
      <c r="A36" s="207">
        <v>32.0</v>
      </c>
      <c r="B36" s="195" t="s">
        <v>443</v>
      </c>
      <c r="C36" s="196" t="s">
        <v>422</v>
      </c>
      <c r="D36" s="208" t="s">
        <v>668</v>
      </c>
      <c r="E36" s="211">
        <v>44398.0</v>
      </c>
      <c r="F36" s="212" t="s">
        <v>642</v>
      </c>
      <c r="G36" s="173" t="s">
        <v>445</v>
      </c>
      <c r="H36" s="173">
        <v>1.0</v>
      </c>
      <c r="I36" s="207">
        <v>241.0</v>
      </c>
      <c r="J36" s="199">
        <v>1000000.0</v>
      </c>
      <c r="K36" s="206">
        <f>vlookup($D36,Python!$D$2:$F$1000,3,FALSE)</f>
        <v>343.6</v>
      </c>
      <c r="L36" s="199">
        <v>500000.0</v>
      </c>
      <c r="M36" s="173"/>
      <c r="N36" s="199" t="s">
        <v>585</v>
      </c>
      <c r="O36" s="173"/>
      <c r="P36" s="199" t="s">
        <v>585</v>
      </c>
      <c r="Q36" s="173"/>
      <c r="R36" s="199" t="s">
        <v>585</v>
      </c>
      <c r="S36" s="173"/>
      <c r="T36" s="199" t="s">
        <v>585</v>
      </c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</row>
    <row r="37">
      <c r="A37" s="194">
        <v>33.0</v>
      </c>
      <c r="B37" s="195" t="s">
        <v>443</v>
      </c>
      <c r="C37" s="196" t="s">
        <v>422</v>
      </c>
      <c r="D37" s="208" t="s">
        <v>669</v>
      </c>
      <c r="E37" s="211">
        <v>44399.0</v>
      </c>
      <c r="F37" s="212" t="s">
        <v>642</v>
      </c>
      <c r="G37" s="173" t="s">
        <v>445</v>
      </c>
      <c r="H37" s="173">
        <v>1.0</v>
      </c>
      <c r="I37" s="207">
        <v>132.0</v>
      </c>
      <c r="J37" s="199">
        <v>500000.0</v>
      </c>
      <c r="K37" s="206">
        <f>vlookup($D37,Python!$D$2:$F$1000,3,FALSE)</f>
        <v>233.5</v>
      </c>
      <c r="L37" s="199">
        <v>500000.0</v>
      </c>
      <c r="M37" s="173"/>
      <c r="N37" s="199" t="s">
        <v>585</v>
      </c>
      <c r="O37" s="173"/>
      <c r="P37" s="199" t="s">
        <v>585</v>
      </c>
      <c r="Q37" s="173"/>
      <c r="R37" s="199" t="s">
        <v>585</v>
      </c>
      <c r="S37" s="173"/>
      <c r="T37" s="199" t="s">
        <v>585</v>
      </c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</row>
    <row r="38">
      <c r="A38" s="194">
        <v>34.0</v>
      </c>
      <c r="B38" s="195" t="s">
        <v>443</v>
      </c>
      <c r="C38" s="196" t="s">
        <v>422</v>
      </c>
      <c r="D38" s="208" t="s">
        <v>670</v>
      </c>
      <c r="E38" s="211">
        <v>44388.0</v>
      </c>
      <c r="F38" s="212" t="s">
        <v>647</v>
      </c>
      <c r="G38" s="173" t="s">
        <v>445</v>
      </c>
      <c r="H38" s="173">
        <v>1.0</v>
      </c>
      <c r="I38" s="207">
        <v>582.0</v>
      </c>
      <c r="J38" s="199">
        <v>2500000.0</v>
      </c>
      <c r="K38" s="206">
        <f>vlookup($D38,Python!$D$2:$F$1000,3,FALSE)</f>
        <v>656.7</v>
      </c>
      <c r="L38" s="199">
        <v>500000.0</v>
      </c>
      <c r="M38" s="173"/>
      <c r="N38" s="199" t="s">
        <v>585</v>
      </c>
      <c r="O38" s="173"/>
      <c r="P38" s="199" t="s">
        <v>585</v>
      </c>
      <c r="Q38" s="173"/>
      <c r="R38" s="199" t="s">
        <v>585</v>
      </c>
      <c r="S38" s="173"/>
      <c r="T38" s="199" t="s">
        <v>585</v>
      </c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</row>
    <row r="39">
      <c r="A39" s="207">
        <v>35.0</v>
      </c>
      <c r="B39" s="195" t="s">
        <v>446</v>
      </c>
      <c r="C39" s="196" t="s">
        <v>422</v>
      </c>
      <c r="D39" s="208" t="s">
        <v>447</v>
      </c>
      <c r="E39" s="211">
        <v>44402.0</v>
      </c>
      <c r="F39" s="212" t="s">
        <v>642</v>
      </c>
      <c r="G39" s="173" t="s">
        <v>92</v>
      </c>
      <c r="H39" s="173">
        <v>1.0</v>
      </c>
      <c r="I39" s="207">
        <v>19.0</v>
      </c>
      <c r="J39" s="199">
        <v>0.0</v>
      </c>
      <c r="K39" s="206">
        <f>vlookup($D39,Python!$D$2:$F$1000,3,FALSE)</f>
        <v>26.4</v>
      </c>
      <c r="L39" s="199">
        <v>0.0</v>
      </c>
      <c r="M39" s="173"/>
      <c r="N39" s="199" t="s">
        <v>585</v>
      </c>
      <c r="O39" s="173"/>
      <c r="P39" s="199" t="s">
        <v>585</v>
      </c>
      <c r="Q39" s="173"/>
      <c r="R39" s="199" t="s">
        <v>585</v>
      </c>
      <c r="S39" s="173"/>
      <c r="T39" s="199" t="s">
        <v>585</v>
      </c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</row>
    <row r="40">
      <c r="A40" s="194">
        <v>36.0</v>
      </c>
      <c r="B40" s="195" t="s">
        <v>448</v>
      </c>
      <c r="C40" s="196" t="s">
        <v>422</v>
      </c>
      <c r="D40" s="208" t="s">
        <v>449</v>
      </c>
      <c r="E40" s="209">
        <v>44393.0</v>
      </c>
      <c r="F40" s="210" t="s">
        <v>642</v>
      </c>
      <c r="G40" s="173" t="s">
        <v>92</v>
      </c>
      <c r="H40" s="173">
        <v>1.0</v>
      </c>
      <c r="I40" s="207">
        <v>395.0</v>
      </c>
      <c r="J40" s="199">
        <v>1500000.0</v>
      </c>
      <c r="K40" s="206">
        <f>vlookup($D40,Python!$D$2:$F$1000,3,FALSE)</f>
        <v>526.8</v>
      </c>
      <c r="L40" s="199">
        <v>1000000.0</v>
      </c>
      <c r="M40" s="173"/>
      <c r="N40" s="199" t="s">
        <v>585</v>
      </c>
      <c r="O40" s="173"/>
      <c r="P40" s="199" t="s">
        <v>585</v>
      </c>
      <c r="Q40" s="173"/>
      <c r="R40" s="199" t="s">
        <v>585</v>
      </c>
      <c r="S40" s="173"/>
      <c r="T40" s="199" t="s">
        <v>585</v>
      </c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</row>
    <row r="41">
      <c r="A41" s="194">
        <v>37.0</v>
      </c>
      <c r="B41" s="195" t="s">
        <v>448</v>
      </c>
      <c r="C41" s="196" t="s">
        <v>422</v>
      </c>
      <c r="D41" s="208" t="s">
        <v>671</v>
      </c>
      <c r="E41" s="209">
        <v>44394.0</v>
      </c>
      <c r="F41" s="210" t="s">
        <v>642</v>
      </c>
      <c r="G41" s="173" t="s">
        <v>92</v>
      </c>
      <c r="H41" s="173">
        <v>1.0</v>
      </c>
      <c r="I41" s="207">
        <v>108.0</v>
      </c>
      <c r="J41" s="199">
        <v>500000.0</v>
      </c>
      <c r="K41" s="206">
        <f>vlookup($D41,Python!$D$2:$F$1000,3,FALSE)</f>
        <v>416</v>
      </c>
      <c r="L41" s="199">
        <v>1500000.0</v>
      </c>
      <c r="M41" s="173"/>
      <c r="N41" s="199" t="s">
        <v>585</v>
      </c>
      <c r="O41" s="173"/>
      <c r="P41" s="199" t="s">
        <v>585</v>
      </c>
      <c r="Q41" s="173"/>
      <c r="R41" s="199" t="s">
        <v>585</v>
      </c>
      <c r="S41" s="173"/>
      <c r="T41" s="199" t="s">
        <v>585</v>
      </c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</row>
    <row r="42">
      <c r="A42" s="207">
        <v>38.0</v>
      </c>
      <c r="B42" s="195" t="s">
        <v>448</v>
      </c>
      <c r="C42" s="196" t="s">
        <v>422</v>
      </c>
      <c r="D42" s="208" t="s">
        <v>672</v>
      </c>
      <c r="E42" s="209">
        <v>44397.0</v>
      </c>
      <c r="F42" s="210" t="s">
        <v>647</v>
      </c>
      <c r="G42" s="173" t="s">
        <v>92</v>
      </c>
      <c r="H42" s="173">
        <v>1.0</v>
      </c>
      <c r="I42" s="207">
        <v>122.0</v>
      </c>
      <c r="J42" s="199">
        <v>500000.0</v>
      </c>
      <c r="K42" s="206">
        <f>vlookup($D42,Python!$D$2:$F$1000,3,FALSE)</f>
        <v>276.6</v>
      </c>
      <c r="L42" s="199">
        <v>500000.0</v>
      </c>
      <c r="M42" s="173"/>
      <c r="N42" s="199" t="s">
        <v>585</v>
      </c>
      <c r="O42" s="173"/>
      <c r="P42" s="199" t="s">
        <v>585</v>
      </c>
      <c r="Q42" s="173"/>
      <c r="R42" s="199" t="s">
        <v>585</v>
      </c>
      <c r="S42" s="173"/>
      <c r="T42" s="199" t="s">
        <v>585</v>
      </c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</row>
    <row r="43">
      <c r="A43" s="194">
        <v>39.0</v>
      </c>
      <c r="B43" s="195" t="s">
        <v>448</v>
      </c>
      <c r="C43" s="196" t="s">
        <v>422</v>
      </c>
      <c r="D43" s="208" t="s">
        <v>673</v>
      </c>
      <c r="E43" s="209">
        <v>44399.0</v>
      </c>
      <c r="F43" s="210" t="s">
        <v>642</v>
      </c>
      <c r="G43" s="173" t="s">
        <v>92</v>
      </c>
      <c r="H43" s="173">
        <v>1.0</v>
      </c>
      <c r="I43" s="207">
        <v>37.0</v>
      </c>
      <c r="J43" s="199">
        <v>0.0</v>
      </c>
      <c r="K43" s="206">
        <f>vlookup($D43,Python!$D$2:$F$1000,3,FALSE)</f>
        <v>269.3</v>
      </c>
      <c r="L43" s="199">
        <v>1000000.0</v>
      </c>
      <c r="M43" s="173"/>
      <c r="N43" s="199" t="s">
        <v>585</v>
      </c>
      <c r="O43" s="173"/>
      <c r="P43" s="199" t="s">
        <v>585</v>
      </c>
      <c r="Q43" s="173"/>
      <c r="R43" s="199" t="s">
        <v>585</v>
      </c>
      <c r="S43" s="173"/>
      <c r="T43" s="199" t="s">
        <v>585</v>
      </c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</row>
    <row r="44">
      <c r="A44" s="194">
        <v>40.0</v>
      </c>
      <c r="B44" s="195" t="s">
        <v>450</v>
      </c>
      <c r="C44" s="196" t="s">
        <v>422</v>
      </c>
      <c r="D44" s="208" t="s">
        <v>451</v>
      </c>
      <c r="E44" s="209">
        <v>44395.0</v>
      </c>
      <c r="F44" s="210" t="s">
        <v>642</v>
      </c>
      <c r="G44" s="173" t="s">
        <v>92</v>
      </c>
      <c r="H44" s="173">
        <v>1.0</v>
      </c>
      <c r="I44" s="207">
        <v>114.0</v>
      </c>
      <c r="J44" s="199">
        <v>500000.0</v>
      </c>
      <c r="K44" s="206">
        <f>vlookup($D44,Python!$D$2:$F$1000,3,FALSE)</f>
        <v>118.1</v>
      </c>
      <c r="L44" s="199">
        <v>0.0</v>
      </c>
      <c r="M44" s="173"/>
      <c r="N44" s="199" t="s">
        <v>585</v>
      </c>
      <c r="O44" s="173"/>
      <c r="P44" s="199" t="s">
        <v>585</v>
      </c>
      <c r="Q44" s="173"/>
      <c r="R44" s="199" t="s">
        <v>585</v>
      </c>
      <c r="S44" s="173"/>
      <c r="T44" s="199" t="s">
        <v>585</v>
      </c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</row>
    <row r="45">
      <c r="A45" s="207">
        <v>41.0</v>
      </c>
      <c r="B45" s="195" t="s">
        <v>452</v>
      </c>
      <c r="C45" s="196" t="s">
        <v>422</v>
      </c>
      <c r="D45" s="208" t="s">
        <v>674</v>
      </c>
      <c r="E45" s="209">
        <v>44403.0</v>
      </c>
      <c r="F45" s="210" t="s">
        <v>642</v>
      </c>
      <c r="G45" s="173" t="s">
        <v>92</v>
      </c>
      <c r="H45" s="173">
        <v>1.0</v>
      </c>
      <c r="I45" s="207">
        <v>1.0</v>
      </c>
      <c r="J45" s="199">
        <v>0.0</v>
      </c>
      <c r="K45" s="206">
        <f>vlookup($D45,Python!$D$2:$F$1000,3,FALSE)</f>
        <v>2.801</v>
      </c>
      <c r="L45" s="199">
        <v>0.0</v>
      </c>
      <c r="M45" s="173"/>
      <c r="N45" s="199" t="s">
        <v>585</v>
      </c>
      <c r="O45" s="173"/>
      <c r="P45" s="199" t="s">
        <v>585</v>
      </c>
      <c r="Q45" s="173"/>
      <c r="R45" s="199" t="s">
        <v>585</v>
      </c>
      <c r="S45" s="173"/>
      <c r="T45" s="199" t="s">
        <v>585</v>
      </c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</row>
    <row r="46">
      <c r="A46" s="194">
        <v>42.0</v>
      </c>
      <c r="B46" s="195" t="s">
        <v>454</v>
      </c>
      <c r="C46" s="196" t="s">
        <v>422</v>
      </c>
      <c r="D46" s="208" t="s">
        <v>675</v>
      </c>
      <c r="E46" s="209">
        <v>44398.0</v>
      </c>
      <c r="F46" s="210" t="s">
        <v>647</v>
      </c>
      <c r="G46" s="173" t="s">
        <v>92</v>
      </c>
      <c r="H46" s="173">
        <v>1.0</v>
      </c>
      <c r="I46" s="207">
        <v>129.0</v>
      </c>
      <c r="J46" s="199">
        <v>500000.0</v>
      </c>
      <c r="K46" s="206">
        <f>vlookup($D46,Python!$D$2:$F$1000,3,FALSE)</f>
        <v>174.1</v>
      </c>
      <c r="L46" s="199">
        <v>0.0</v>
      </c>
      <c r="M46" s="173"/>
      <c r="N46" s="199" t="s">
        <v>585</v>
      </c>
      <c r="O46" s="173"/>
      <c r="P46" s="199" t="s">
        <v>585</v>
      </c>
      <c r="Q46" s="173"/>
      <c r="R46" s="199" t="s">
        <v>585</v>
      </c>
      <c r="S46" s="173"/>
      <c r="T46" s="199" t="s">
        <v>585</v>
      </c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</row>
    <row r="47">
      <c r="A47" s="194">
        <v>43.0</v>
      </c>
      <c r="B47" s="195" t="s">
        <v>454</v>
      </c>
      <c r="C47" s="196" t="s">
        <v>422</v>
      </c>
      <c r="D47" s="208" t="s">
        <v>676</v>
      </c>
      <c r="E47" s="209">
        <v>44398.0</v>
      </c>
      <c r="F47" s="210" t="s">
        <v>647</v>
      </c>
      <c r="G47" s="173" t="s">
        <v>92</v>
      </c>
      <c r="H47" s="173">
        <v>1.0</v>
      </c>
      <c r="I47" s="207">
        <v>88.0</v>
      </c>
      <c r="J47" s="199">
        <v>0.0</v>
      </c>
      <c r="K47" s="206">
        <f>vlookup($D47,Python!$D$2:$F$1000,3,FALSE)</f>
        <v>134.6</v>
      </c>
      <c r="L47" s="199">
        <v>500000.0</v>
      </c>
      <c r="M47" s="173"/>
      <c r="N47" s="199" t="s">
        <v>585</v>
      </c>
      <c r="O47" s="173"/>
      <c r="P47" s="199" t="s">
        <v>585</v>
      </c>
      <c r="Q47" s="173"/>
      <c r="R47" s="199" t="s">
        <v>585</v>
      </c>
      <c r="S47" s="173"/>
      <c r="T47" s="199" t="s">
        <v>585</v>
      </c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</row>
    <row r="48">
      <c r="A48" s="207">
        <v>44.0</v>
      </c>
      <c r="B48" s="195" t="s">
        <v>456</v>
      </c>
      <c r="C48" s="196" t="s">
        <v>422</v>
      </c>
      <c r="D48" s="208" t="s">
        <v>677</v>
      </c>
      <c r="E48" s="209">
        <v>44394.0</v>
      </c>
      <c r="F48" s="210" t="s">
        <v>642</v>
      </c>
      <c r="G48" s="173" t="s">
        <v>92</v>
      </c>
      <c r="H48" s="173">
        <v>1.0</v>
      </c>
      <c r="I48" s="207">
        <v>695.0</v>
      </c>
      <c r="J48" s="199">
        <v>3000000.0</v>
      </c>
      <c r="K48" s="206">
        <f>vlookup($D48,Python!$D$2:$F$1000,3,FALSE)</f>
        <v>1100</v>
      </c>
      <c r="L48" s="199">
        <v>2500000.0</v>
      </c>
      <c r="M48" s="173"/>
      <c r="N48" s="199" t="s">
        <v>585</v>
      </c>
      <c r="O48" s="173"/>
      <c r="P48" s="199" t="s">
        <v>585</v>
      </c>
      <c r="Q48" s="173"/>
      <c r="R48" s="199" t="s">
        <v>585</v>
      </c>
      <c r="S48" s="173"/>
      <c r="T48" s="199" t="s">
        <v>585</v>
      </c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</row>
    <row r="49">
      <c r="A49" s="194">
        <v>45.0</v>
      </c>
      <c r="B49" s="213" t="s">
        <v>456</v>
      </c>
      <c r="C49" s="214" t="s">
        <v>422</v>
      </c>
      <c r="D49" s="215" t="s">
        <v>678</v>
      </c>
      <c r="E49" s="216">
        <v>44429.0</v>
      </c>
      <c r="F49" s="217" t="s">
        <v>642</v>
      </c>
      <c r="G49" s="218" t="s">
        <v>92</v>
      </c>
      <c r="H49" s="218">
        <v>1.0</v>
      </c>
      <c r="I49" s="219">
        <v>285.0</v>
      </c>
      <c r="J49" s="220">
        <v>1000000.0</v>
      </c>
      <c r="K49" s="221">
        <f>vlookup($D49,Python!$D$2:$F$1000,3,FALSE)</f>
        <v>440.3</v>
      </c>
      <c r="L49" s="220">
        <v>1000000.0</v>
      </c>
      <c r="M49" s="222"/>
      <c r="N49" s="220" t="s">
        <v>585</v>
      </c>
      <c r="O49" s="222"/>
      <c r="P49" s="220" t="s">
        <v>585</v>
      </c>
      <c r="Q49" s="222"/>
      <c r="R49" s="220" t="s">
        <v>585</v>
      </c>
      <c r="S49" s="222"/>
      <c r="T49" s="220" t="s">
        <v>585</v>
      </c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</row>
    <row r="50">
      <c r="A50" s="194">
        <v>46.0</v>
      </c>
      <c r="B50" s="195" t="s">
        <v>456</v>
      </c>
      <c r="C50" s="196" t="s">
        <v>422</v>
      </c>
      <c r="D50" s="208" t="s">
        <v>679</v>
      </c>
      <c r="E50" s="209">
        <v>44400.0</v>
      </c>
      <c r="F50" s="210" t="s">
        <v>642</v>
      </c>
      <c r="G50" s="173" t="s">
        <v>92</v>
      </c>
      <c r="H50" s="173">
        <v>1.0</v>
      </c>
      <c r="I50" s="207">
        <v>2000.0</v>
      </c>
      <c r="J50" s="199">
        <v>1.0E7</v>
      </c>
      <c r="K50" s="206">
        <f>vlookup($D50,Python!$D$2:$F$1000,3,FALSE)</f>
        <v>2600</v>
      </c>
      <c r="L50" s="199">
        <v>3000000.0</v>
      </c>
      <c r="M50" s="173"/>
      <c r="N50" s="199" t="s">
        <v>585</v>
      </c>
      <c r="O50" s="173"/>
      <c r="P50" s="199" t="s">
        <v>585</v>
      </c>
      <c r="Q50" s="173"/>
      <c r="R50" s="199" t="s">
        <v>585</v>
      </c>
      <c r="S50" s="173"/>
      <c r="T50" s="199" t="s">
        <v>585</v>
      </c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</row>
    <row r="51">
      <c r="A51" s="207">
        <v>47.0</v>
      </c>
      <c r="B51" s="195" t="s">
        <v>458</v>
      </c>
      <c r="C51" s="196" t="s">
        <v>422</v>
      </c>
      <c r="D51" s="208" t="s">
        <v>459</v>
      </c>
      <c r="E51" s="209">
        <v>44393.0</v>
      </c>
      <c r="F51" s="210" t="s">
        <v>647</v>
      </c>
      <c r="G51" s="173" t="s">
        <v>92</v>
      </c>
      <c r="H51" s="173">
        <v>1.0</v>
      </c>
      <c r="I51" s="207">
        <v>42.0</v>
      </c>
      <c r="J51" s="199">
        <v>0.0</v>
      </c>
      <c r="K51" s="206">
        <f>vlookup($D51,Python!$D$2:$F$1000,3,FALSE)</f>
        <v>78.1</v>
      </c>
      <c r="L51" s="199">
        <v>0.0</v>
      </c>
      <c r="M51" s="173"/>
      <c r="N51" s="199" t="s">
        <v>585</v>
      </c>
      <c r="O51" s="173"/>
      <c r="P51" s="199" t="s">
        <v>585</v>
      </c>
      <c r="Q51" s="173"/>
      <c r="R51" s="199" t="s">
        <v>585</v>
      </c>
      <c r="S51" s="173"/>
      <c r="T51" s="199" t="s">
        <v>585</v>
      </c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</row>
    <row r="52">
      <c r="A52" s="194">
        <v>48.0</v>
      </c>
      <c r="B52" s="195" t="s">
        <v>458</v>
      </c>
      <c r="C52" s="196" t="s">
        <v>422</v>
      </c>
      <c r="D52" s="208" t="s">
        <v>680</v>
      </c>
      <c r="E52" s="209">
        <v>44396.0</v>
      </c>
      <c r="F52" s="210" t="s">
        <v>642</v>
      </c>
      <c r="G52" s="173" t="s">
        <v>92</v>
      </c>
      <c r="H52" s="173">
        <v>1.0</v>
      </c>
      <c r="I52" s="207">
        <v>93.0</v>
      </c>
      <c r="J52" s="199">
        <v>0.0</v>
      </c>
      <c r="K52" s="206">
        <f>vlookup($D52,Python!$D$2:$F$1000,3,FALSE)</f>
        <v>143.8</v>
      </c>
      <c r="L52" s="199">
        <v>500000.0</v>
      </c>
      <c r="M52" s="173"/>
      <c r="N52" s="199" t="s">
        <v>585</v>
      </c>
      <c r="O52" s="173"/>
      <c r="P52" s="199" t="s">
        <v>585</v>
      </c>
      <c r="Q52" s="173"/>
      <c r="R52" s="199" t="s">
        <v>585</v>
      </c>
      <c r="S52" s="173"/>
      <c r="T52" s="199" t="s">
        <v>585</v>
      </c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</row>
    <row r="53">
      <c r="A53" s="194">
        <v>49.0</v>
      </c>
      <c r="B53" s="195" t="s">
        <v>458</v>
      </c>
      <c r="C53" s="196" t="s">
        <v>422</v>
      </c>
      <c r="D53" s="208" t="s">
        <v>681</v>
      </c>
      <c r="E53" s="209">
        <v>44396.0</v>
      </c>
      <c r="F53" s="210" t="s">
        <v>642</v>
      </c>
      <c r="G53" s="173" t="s">
        <v>92</v>
      </c>
      <c r="H53" s="173">
        <v>1.0</v>
      </c>
      <c r="I53" s="207">
        <v>105.0</v>
      </c>
      <c r="J53" s="199">
        <v>500000.0</v>
      </c>
      <c r="K53" s="206">
        <f>vlookup($D53,Python!$D$2:$F$1000,3,FALSE)</f>
        <v>168.5</v>
      </c>
      <c r="L53" s="199">
        <v>0.0</v>
      </c>
      <c r="M53" s="173"/>
      <c r="N53" s="199" t="s">
        <v>585</v>
      </c>
      <c r="O53" s="173"/>
      <c r="P53" s="199" t="s">
        <v>585</v>
      </c>
      <c r="Q53" s="173"/>
      <c r="R53" s="199" t="s">
        <v>585</v>
      </c>
      <c r="S53" s="173"/>
      <c r="T53" s="199" t="s">
        <v>585</v>
      </c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</row>
    <row r="54">
      <c r="A54" s="207">
        <v>50.0</v>
      </c>
      <c r="B54" s="195" t="s">
        <v>460</v>
      </c>
      <c r="C54" s="196" t="s">
        <v>422</v>
      </c>
      <c r="D54" s="208" t="s">
        <v>682</v>
      </c>
      <c r="E54" s="209">
        <v>44401.0</v>
      </c>
      <c r="F54" s="210" t="s">
        <v>642</v>
      </c>
      <c r="G54" s="173" t="s">
        <v>92</v>
      </c>
      <c r="H54" s="173">
        <v>1.0</v>
      </c>
      <c r="I54" s="207">
        <v>11.0</v>
      </c>
      <c r="J54" s="199">
        <v>0.0</v>
      </c>
      <c r="K54" s="206">
        <f>vlookup($D54,Python!$D$2:$F$1000,3,FALSE)</f>
        <v>19.7</v>
      </c>
      <c r="L54" s="199">
        <v>0.0</v>
      </c>
      <c r="M54" s="173"/>
      <c r="N54" s="199" t="s">
        <v>585</v>
      </c>
      <c r="O54" s="173"/>
      <c r="P54" s="199" t="s">
        <v>585</v>
      </c>
      <c r="Q54" s="173"/>
      <c r="R54" s="199" t="s">
        <v>585</v>
      </c>
      <c r="S54" s="173"/>
      <c r="T54" s="199" t="s">
        <v>585</v>
      </c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</row>
    <row r="55">
      <c r="A55" s="194">
        <v>51.0</v>
      </c>
      <c r="B55" s="213" t="s">
        <v>462</v>
      </c>
      <c r="C55" s="214" t="s">
        <v>422</v>
      </c>
      <c r="D55" s="215" t="s">
        <v>683</v>
      </c>
      <c r="E55" s="216">
        <v>44424.0</v>
      </c>
      <c r="F55" s="217" t="s">
        <v>642</v>
      </c>
      <c r="G55" s="218" t="s">
        <v>92</v>
      </c>
      <c r="H55" s="218">
        <v>1.0</v>
      </c>
      <c r="I55" s="219">
        <v>116.0</v>
      </c>
      <c r="J55" s="220">
        <v>500000.0</v>
      </c>
      <c r="K55" s="221">
        <f>vlookup($D55,Python!$D$2:$F$1000,3,FALSE)</f>
        <v>120.9</v>
      </c>
      <c r="L55" s="220">
        <v>0.0</v>
      </c>
      <c r="M55" s="222"/>
      <c r="N55" s="220" t="s">
        <v>585</v>
      </c>
      <c r="O55" s="222"/>
      <c r="P55" s="220" t="s">
        <v>585</v>
      </c>
      <c r="Q55" s="222"/>
      <c r="R55" s="220" t="s">
        <v>585</v>
      </c>
      <c r="S55" s="222"/>
      <c r="T55" s="220" t="s">
        <v>585</v>
      </c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</row>
    <row r="56">
      <c r="A56" s="194">
        <v>52.0</v>
      </c>
      <c r="B56" s="195" t="s">
        <v>464</v>
      </c>
      <c r="C56" s="196" t="s">
        <v>422</v>
      </c>
      <c r="D56" s="208" t="s">
        <v>684</v>
      </c>
      <c r="E56" s="209">
        <v>44397.0</v>
      </c>
      <c r="F56" s="210" t="s">
        <v>642</v>
      </c>
      <c r="G56" s="173" t="s">
        <v>466</v>
      </c>
      <c r="H56" s="173">
        <v>1.0</v>
      </c>
      <c r="I56" s="207">
        <v>15.0</v>
      </c>
      <c r="J56" s="199">
        <v>0.0</v>
      </c>
      <c r="K56" s="206">
        <f>vlookup($D56,Python!$D$2:$F$1000,3,FALSE)</f>
        <v>20.3</v>
      </c>
      <c r="L56" s="199">
        <v>0.0</v>
      </c>
      <c r="M56" s="173"/>
      <c r="N56" s="199" t="s">
        <v>585</v>
      </c>
      <c r="O56" s="173"/>
      <c r="P56" s="199" t="s">
        <v>585</v>
      </c>
      <c r="Q56" s="173"/>
      <c r="R56" s="199" t="s">
        <v>585</v>
      </c>
      <c r="S56" s="173"/>
      <c r="T56" s="199" t="s">
        <v>585</v>
      </c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</row>
    <row r="57">
      <c r="A57" s="207">
        <v>53.0</v>
      </c>
      <c r="B57" s="195" t="s">
        <v>464</v>
      </c>
      <c r="C57" s="196" t="s">
        <v>422</v>
      </c>
      <c r="D57" s="208" t="s">
        <v>685</v>
      </c>
      <c r="E57" s="209">
        <v>44399.0</v>
      </c>
      <c r="F57" s="210" t="s">
        <v>642</v>
      </c>
      <c r="G57" s="173" t="s">
        <v>466</v>
      </c>
      <c r="H57" s="173">
        <v>1.0</v>
      </c>
      <c r="I57" s="207">
        <v>76.0</v>
      </c>
      <c r="J57" s="199">
        <v>0.0</v>
      </c>
      <c r="K57" s="206">
        <f>vlookup($D57,Python!$D$2:$F$1000,3,FALSE)</f>
        <v>105.7</v>
      </c>
      <c r="L57" s="199">
        <v>500000.0</v>
      </c>
      <c r="M57" s="173"/>
      <c r="N57" s="199" t="s">
        <v>585</v>
      </c>
      <c r="O57" s="173"/>
      <c r="P57" s="199" t="s">
        <v>585</v>
      </c>
      <c r="Q57" s="173"/>
      <c r="R57" s="199" t="s">
        <v>585</v>
      </c>
      <c r="S57" s="173"/>
      <c r="T57" s="199" t="s">
        <v>585</v>
      </c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</row>
    <row r="58">
      <c r="A58" s="194">
        <v>54.0</v>
      </c>
      <c r="B58" s="195" t="s">
        <v>469</v>
      </c>
      <c r="C58" s="196" t="s">
        <v>418</v>
      </c>
      <c r="D58" s="208" t="s">
        <v>470</v>
      </c>
      <c r="E58" s="209">
        <v>44389.0</v>
      </c>
      <c r="F58" s="210" t="s">
        <v>641</v>
      </c>
      <c r="G58" s="173" t="s">
        <v>92</v>
      </c>
      <c r="H58" s="173">
        <v>1.0</v>
      </c>
      <c r="I58" s="207">
        <v>51.0</v>
      </c>
      <c r="J58" s="199">
        <v>1000000.0</v>
      </c>
      <c r="K58" s="206" t="str">
        <f>vlookup($D58,Python!$D$2:$F$1000,3,FALSE)</f>
        <v/>
      </c>
      <c r="L58" s="199" t="s">
        <v>585</v>
      </c>
      <c r="M58" s="173"/>
      <c r="N58" s="199" t="s">
        <v>585</v>
      </c>
      <c r="O58" s="173"/>
      <c r="P58" s="199" t="s">
        <v>585</v>
      </c>
      <c r="Q58" s="173"/>
      <c r="R58" s="199" t="s">
        <v>585</v>
      </c>
      <c r="S58" s="173"/>
      <c r="T58" s="199" t="s">
        <v>585</v>
      </c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</row>
    <row r="59">
      <c r="A59" s="194">
        <v>55.0</v>
      </c>
      <c r="B59" s="195" t="s">
        <v>469</v>
      </c>
      <c r="C59" s="196" t="s">
        <v>510</v>
      </c>
      <c r="D59" s="208" t="s">
        <v>686</v>
      </c>
      <c r="E59" s="209">
        <v>44400.0</v>
      </c>
      <c r="F59" s="210" t="s">
        <v>641</v>
      </c>
      <c r="G59" s="173" t="s">
        <v>92</v>
      </c>
      <c r="H59" s="173">
        <v>1.0</v>
      </c>
      <c r="I59" s="207">
        <v>62.0</v>
      </c>
      <c r="J59" s="199">
        <v>1000000.0</v>
      </c>
      <c r="K59" s="206">
        <f>vlookup($D59,Python!$D$2:$F$1000,3,FALSE)</f>
        <v>62.82</v>
      </c>
      <c r="L59" s="199">
        <v>0.0</v>
      </c>
      <c r="M59" s="173"/>
      <c r="N59" s="199" t="s">
        <v>585</v>
      </c>
      <c r="O59" s="173"/>
      <c r="P59" s="199" t="s">
        <v>585</v>
      </c>
      <c r="Q59" s="173"/>
      <c r="R59" s="199" t="s">
        <v>585</v>
      </c>
      <c r="S59" s="173"/>
      <c r="T59" s="199" t="s">
        <v>585</v>
      </c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</row>
    <row r="60">
      <c r="A60" s="207">
        <v>56.0</v>
      </c>
      <c r="B60" s="195" t="s">
        <v>471</v>
      </c>
      <c r="C60" s="196" t="s">
        <v>418</v>
      </c>
      <c r="D60" s="208" t="s">
        <v>687</v>
      </c>
      <c r="E60" s="209">
        <v>44395.0</v>
      </c>
      <c r="F60" s="210" t="s">
        <v>641</v>
      </c>
      <c r="G60" s="173" t="s">
        <v>92</v>
      </c>
      <c r="H60" s="173">
        <v>1.0</v>
      </c>
      <c r="I60" s="207">
        <v>52.0</v>
      </c>
      <c r="J60" s="199">
        <v>1000000.0</v>
      </c>
      <c r="K60" s="206">
        <f>vlookup($D60,Python!$D$2:$F$1000,3,FALSE)</f>
        <v>52</v>
      </c>
      <c r="L60" s="199">
        <v>0.0</v>
      </c>
      <c r="M60" s="173"/>
      <c r="N60" s="199" t="s">
        <v>585</v>
      </c>
      <c r="O60" s="173"/>
      <c r="P60" s="199" t="s">
        <v>585</v>
      </c>
      <c r="Q60" s="173"/>
      <c r="R60" s="199" t="s">
        <v>585</v>
      </c>
      <c r="S60" s="173"/>
      <c r="T60" s="199" t="s">
        <v>585</v>
      </c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</row>
    <row r="61">
      <c r="A61" s="194">
        <v>57.0</v>
      </c>
      <c r="B61" s="195" t="s">
        <v>473</v>
      </c>
      <c r="C61" s="196" t="s">
        <v>418</v>
      </c>
      <c r="D61" s="208" t="s">
        <v>474</v>
      </c>
      <c r="E61" s="209">
        <v>44395.0</v>
      </c>
      <c r="F61" s="210" t="s">
        <v>641</v>
      </c>
      <c r="G61" s="173" t="s">
        <v>92</v>
      </c>
      <c r="H61" s="173">
        <v>1.0</v>
      </c>
      <c r="I61" s="207">
        <v>3.0</v>
      </c>
      <c r="J61" s="199">
        <v>0.0</v>
      </c>
      <c r="K61" s="206">
        <f>vlookup($D61,Python!$D$2:$F$1000,3,FALSE)</f>
        <v>3</v>
      </c>
      <c r="L61" s="199">
        <v>0.0</v>
      </c>
      <c r="M61" s="173"/>
      <c r="N61" s="199" t="s">
        <v>585</v>
      </c>
      <c r="O61" s="173"/>
      <c r="P61" s="199" t="s">
        <v>585</v>
      </c>
      <c r="Q61" s="173"/>
      <c r="R61" s="199" t="s">
        <v>585</v>
      </c>
      <c r="S61" s="173"/>
      <c r="T61" s="199" t="s">
        <v>585</v>
      </c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</row>
    <row r="62">
      <c r="A62" s="194">
        <v>58.0</v>
      </c>
      <c r="B62" s="195" t="s">
        <v>475</v>
      </c>
      <c r="C62" s="196" t="s">
        <v>422</v>
      </c>
      <c r="D62" s="208" t="s">
        <v>688</v>
      </c>
      <c r="E62" s="209">
        <v>44400.0</v>
      </c>
      <c r="F62" s="210" t="s">
        <v>647</v>
      </c>
      <c r="G62" s="173" t="s">
        <v>92</v>
      </c>
      <c r="H62" s="173">
        <v>1.0</v>
      </c>
      <c r="I62" s="207">
        <v>63.0</v>
      </c>
      <c r="J62" s="199">
        <v>0.0</v>
      </c>
      <c r="K62" s="206">
        <f>vlookup($D62,Python!$D$2:$F$1000,3,FALSE)</f>
        <v>83.1</v>
      </c>
      <c r="L62" s="199">
        <v>0.0</v>
      </c>
      <c r="M62" s="173"/>
      <c r="N62" s="199" t="s">
        <v>585</v>
      </c>
      <c r="O62" s="173"/>
      <c r="P62" s="199" t="s">
        <v>585</v>
      </c>
      <c r="Q62" s="173"/>
      <c r="R62" s="199" t="s">
        <v>585</v>
      </c>
      <c r="S62" s="173"/>
      <c r="T62" s="199" t="s">
        <v>585</v>
      </c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</row>
    <row r="63">
      <c r="A63" s="207">
        <v>59.0</v>
      </c>
      <c r="B63" s="195" t="s">
        <v>477</v>
      </c>
      <c r="C63" s="196" t="s">
        <v>418</v>
      </c>
      <c r="D63" s="208" t="s">
        <v>689</v>
      </c>
      <c r="E63" s="209">
        <v>44391.0</v>
      </c>
      <c r="F63" s="210" t="s">
        <v>641</v>
      </c>
      <c r="G63" s="173" t="s">
        <v>92</v>
      </c>
      <c r="H63" s="173">
        <v>1.0</v>
      </c>
      <c r="I63" s="207">
        <v>56.0</v>
      </c>
      <c r="J63" s="199">
        <v>1000000.0</v>
      </c>
      <c r="K63" s="206">
        <f>vlookup($D63,Python!$D$2:$F$1000,3,FALSE)</f>
        <v>104</v>
      </c>
      <c r="L63" s="199">
        <v>1000000.0</v>
      </c>
      <c r="M63" s="173"/>
      <c r="N63" s="199" t="s">
        <v>585</v>
      </c>
      <c r="O63" s="173"/>
      <c r="P63" s="199" t="s">
        <v>585</v>
      </c>
      <c r="Q63" s="173"/>
      <c r="R63" s="199" t="s">
        <v>585</v>
      </c>
      <c r="S63" s="173"/>
      <c r="T63" s="199" t="s">
        <v>585</v>
      </c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</row>
    <row r="64">
      <c r="A64" s="194">
        <v>60.0</v>
      </c>
      <c r="B64" s="195" t="s">
        <v>477</v>
      </c>
      <c r="C64" s="196" t="s">
        <v>422</v>
      </c>
      <c r="D64" s="208" t="s">
        <v>690</v>
      </c>
      <c r="E64" s="209">
        <v>44393.0</v>
      </c>
      <c r="F64" s="210" t="s">
        <v>641</v>
      </c>
      <c r="G64" s="173" t="s">
        <v>92</v>
      </c>
      <c r="H64" s="173">
        <v>1.0</v>
      </c>
      <c r="I64" s="207">
        <v>106.0</v>
      </c>
      <c r="J64" s="199">
        <v>500000.0</v>
      </c>
      <c r="K64" s="206">
        <f>vlookup($D64,Python!$D$2:$F$1000,3,FALSE)</f>
        <v>107.6</v>
      </c>
      <c r="L64" s="199">
        <v>0.0</v>
      </c>
      <c r="M64" s="173"/>
      <c r="N64" s="199" t="s">
        <v>585</v>
      </c>
      <c r="O64" s="173"/>
      <c r="P64" s="199" t="s">
        <v>585</v>
      </c>
      <c r="Q64" s="173"/>
      <c r="R64" s="199" t="s">
        <v>585</v>
      </c>
      <c r="S64" s="173"/>
      <c r="T64" s="199" t="s">
        <v>585</v>
      </c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</row>
    <row r="65">
      <c r="A65" s="194">
        <v>61.0</v>
      </c>
      <c r="B65" s="195" t="s">
        <v>479</v>
      </c>
      <c r="C65" s="196" t="s">
        <v>418</v>
      </c>
      <c r="D65" s="208" t="s">
        <v>480</v>
      </c>
      <c r="E65" s="209">
        <v>44390.0</v>
      </c>
      <c r="F65" s="210" t="s">
        <v>641</v>
      </c>
      <c r="G65" s="173" t="s">
        <v>92</v>
      </c>
      <c r="H65" s="173">
        <v>1.0</v>
      </c>
      <c r="I65" s="207">
        <v>59.0</v>
      </c>
      <c r="J65" s="199">
        <v>1000000.0</v>
      </c>
      <c r="K65" s="206">
        <f>vlookup($D65,Python!$D$2:$F$1000,3,FALSE)</f>
        <v>100</v>
      </c>
      <c r="L65" s="199">
        <v>1000000.0</v>
      </c>
      <c r="M65" s="173"/>
      <c r="N65" s="199" t="s">
        <v>585</v>
      </c>
      <c r="O65" s="173"/>
      <c r="P65" s="199" t="s">
        <v>585</v>
      </c>
      <c r="Q65" s="173"/>
      <c r="R65" s="199" t="s">
        <v>585</v>
      </c>
      <c r="S65" s="173"/>
      <c r="T65" s="199" t="s">
        <v>585</v>
      </c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</row>
    <row r="66">
      <c r="A66" s="207">
        <v>62.0</v>
      </c>
      <c r="B66" s="195" t="s">
        <v>481</v>
      </c>
      <c r="C66" s="196" t="s">
        <v>418</v>
      </c>
      <c r="D66" s="208" t="s">
        <v>691</v>
      </c>
      <c r="E66" s="209">
        <v>44395.0</v>
      </c>
      <c r="F66" s="210" t="s">
        <v>641</v>
      </c>
      <c r="G66" s="173" t="s">
        <v>92</v>
      </c>
      <c r="H66" s="173">
        <v>1.0</v>
      </c>
      <c r="I66" s="207">
        <v>2.0</v>
      </c>
      <c r="J66" s="199">
        <v>0.0</v>
      </c>
      <c r="K66" s="206">
        <f>vlookup($D66,Python!$D$2:$F$1000,3,FALSE)</f>
        <v>2.4</v>
      </c>
      <c r="L66" s="199">
        <v>0.0</v>
      </c>
      <c r="M66" s="173"/>
      <c r="N66" s="199" t="s">
        <v>585</v>
      </c>
      <c r="O66" s="173"/>
      <c r="P66" s="199" t="s">
        <v>585</v>
      </c>
      <c r="Q66" s="173"/>
      <c r="R66" s="199" t="s">
        <v>585</v>
      </c>
      <c r="S66" s="173"/>
      <c r="T66" s="199" t="s">
        <v>585</v>
      </c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</row>
    <row r="67">
      <c r="A67" s="194">
        <v>63.0</v>
      </c>
      <c r="B67" s="195" t="s">
        <v>481</v>
      </c>
      <c r="C67" s="196" t="s">
        <v>422</v>
      </c>
      <c r="D67" s="208" t="s">
        <v>692</v>
      </c>
      <c r="E67" s="209">
        <v>44402.0</v>
      </c>
      <c r="F67" s="210" t="s">
        <v>641</v>
      </c>
      <c r="G67" s="173" t="s">
        <v>92</v>
      </c>
      <c r="H67" s="173">
        <v>1.0</v>
      </c>
      <c r="I67" s="207">
        <v>55.0</v>
      </c>
      <c r="J67" s="199">
        <v>0.0</v>
      </c>
      <c r="K67" s="206">
        <f>vlookup($D67,Python!$D$2:$F$1000,3,FALSE)</f>
        <v>55.6</v>
      </c>
      <c r="L67" s="199">
        <v>0.0</v>
      </c>
      <c r="M67" s="173"/>
      <c r="N67" s="199" t="s">
        <v>585</v>
      </c>
      <c r="O67" s="173"/>
      <c r="P67" s="199" t="s">
        <v>585</v>
      </c>
      <c r="Q67" s="173"/>
      <c r="R67" s="199" t="s">
        <v>585</v>
      </c>
      <c r="S67" s="173"/>
      <c r="T67" s="199" t="s">
        <v>585</v>
      </c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</row>
    <row r="68">
      <c r="A68" s="194">
        <v>64.0</v>
      </c>
      <c r="B68" s="195" t="s">
        <v>483</v>
      </c>
      <c r="C68" s="196" t="s">
        <v>418</v>
      </c>
      <c r="D68" s="208" t="s">
        <v>484</v>
      </c>
      <c r="E68" s="209">
        <v>44392.0</v>
      </c>
      <c r="F68" s="210" t="s">
        <v>641</v>
      </c>
      <c r="G68" s="173" t="s">
        <v>92</v>
      </c>
      <c r="H68" s="173">
        <v>1.0</v>
      </c>
      <c r="I68" s="207">
        <v>55.0</v>
      </c>
      <c r="J68" s="199">
        <v>1000000.0</v>
      </c>
      <c r="K68" s="206">
        <f>vlookup($D68,Python!$D$2:$F$1000,3,FALSE)</f>
        <v>102</v>
      </c>
      <c r="L68" s="199">
        <v>1000000.0</v>
      </c>
      <c r="M68" s="173"/>
      <c r="N68" s="199" t="s">
        <v>585</v>
      </c>
      <c r="O68" s="173"/>
      <c r="P68" s="199" t="s">
        <v>585</v>
      </c>
      <c r="Q68" s="173"/>
      <c r="R68" s="199" t="s">
        <v>585</v>
      </c>
      <c r="S68" s="173"/>
      <c r="T68" s="199" t="s">
        <v>585</v>
      </c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</row>
    <row r="69">
      <c r="A69" s="207">
        <v>65.0</v>
      </c>
      <c r="B69" s="195" t="s">
        <v>487</v>
      </c>
      <c r="C69" s="214" t="s">
        <v>422</v>
      </c>
      <c r="D69" s="208" t="s">
        <v>693</v>
      </c>
      <c r="E69" s="209">
        <v>44389.0</v>
      </c>
      <c r="F69" s="210" t="s">
        <v>642</v>
      </c>
      <c r="G69" s="173" t="s">
        <v>489</v>
      </c>
      <c r="H69" s="173">
        <v>1.0</v>
      </c>
      <c r="I69" s="207">
        <v>74.0</v>
      </c>
      <c r="J69" s="199">
        <v>0.0</v>
      </c>
      <c r="K69" s="206">
        <f>vlookup($D69,Python!$D$2:$F$1000,3,FALSE)</f>
        <v>77.4</v>
      </c>
      <c r="L69" s="199">
        <v>0.0</v>
      </c>
      <c r="M69" s="173"/>
      <c r="N69" s="199" t="s">
        <v>585</v>
      </c>
      <c r="O69" s="173"/>
      <c r="P69" s="199" t="s">
        <v>585</v>
      </c>
      <c r="Q69" s="173"/>
      <c r="R69" s="199" t="s">
        <v>585</v>
      </c>
      <c r="S69" s="173"/>
      <c r="T69" s="199" t="s">
        <v>585</v>
      </c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</row>
    <row r="70">
      <c r="A70" s="194">
        <v>66.0</v>
      </c>
      <c r="B70" s="195" t="s">
        <v>487</v>
      </c>
      <c r="C70" s="214" t="s">
        <v>422</v>
      </c>
      <c r="D70" s="208" t="s">
        <v>694</v>
      </c>
      <c r="E70" s="209">
        <v>44401.0</v>
      </c>
      <c r="F70" s="210" t="s">
        <v>647</v>
      </c>
      <c r="G70" s="173" t="s">
        <v>489</v>
      </c>
      <c r="H70" s="173">
        <v>1.0</v>
      </c>
      <c r="I70" s="207">
        <v>6.0</v>
      </c>
      <c r="J70" s="199">
        <v>0.0</v>
      </c>
      <c r="K70" s="206">
        <f>vlookup($D70,Python!$D$2:$F$1000,3,FALSE)</f>
        <v>12.4</v>
      </c>
      <c r="L70" s="199">
        <v>0.0</v>
      </c>
      <c r="M70" s="173"/>
      <c r="N70" s="199" t="s">
        <v>585</v>
      </c>
      <c r="O70" s="173"/>
      <c r="P70" s="199" t="s">
        <v>585</v>
      </c>
      <c r="Q70" s="173"/>
      <c r="R70" s="199" t="s">
        <v>585</v>
      </c>
      <c r="S70" s="173"/>
      <c r="T70" s="199" t="s">
        <v>585</v>
      </c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</row>
    <row r="71">
      <c r="A71" s="194">
        <v>67.0</v>
      </c>
      <c r="B71" s="195" t="s">
        <v>487</v>
      </c>
      <c r="C71" s="214" t="s">
        <v>422</v>
      </c>
      <c r="D71" s="208" t="s">
        <v>695</v>
      </c>
      <c r="E71" s="209">
        <v>44402.0</v>
      </c>
      <c r="F71" s="210" t="s">
        <v>647</v>
      </c>
      <c r="G71" s="173" t="s">
        <v>489</v>
      </c>
      <c r="H71" s="173">
        <v>1.0</v>
      </c>
      <c r="I71" s="207">
        <v>82.0</v>
      </c>
      <c r="J71" s="199">
        <v>0.0</v>
      </c>
      <c r="K71" s="206">
        <f>vlookup($D71,Python!$D$2:$F$1000,3,FALSE)</f>
        <v>117.9</v>
      </c>
      <c r="L71" s="199">
        <v>500000.0</v>
      </c>
      <c r="M71" s="173"/>
      <c r="N71" s="199" t="s">
        <v>585</v>
      </c>
      <c r="O71" s="173"/>
      <c r="P71" s="199" t="s">
        <v>585</v>
      </c>
      <c r="Q71" s="173"/>
      <c r="R71" s="199" t="s">
        <v>585</v>
      </c>
      <c r="S71" s="173"/>
      <c r="T71" s="199" t="s">
        <v>585</v>
      </c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</row>
    <row r="72">
      <c r="A72" s="207">
        <v>68.0</v>
      </c>
      <c r="B72" s="195" t="s">
        <v>490</v>
      </c>
      <c r="C72" s="196" t="s">
        <v>422</v>
      </c>
      <c r="D72" s="208" t="s">
        <v>696</v>
      </c>
      <c r="E72" s="209">
        <v>44399.0</v>
      </c>
      <c r="F72" s="210" t="s">
        <v>642</v>
      </c>
      <c r="G72" s="173" t="s">
        <v>92</v>
      </c>
      <c r="H72" s="173">
        <v>1.0</v>
      </c>
      <c r="I72" s="207">
        <v>107.0</v>
      </c>
      <c r="J72" s="199">
        <v>500000.0</v>
      </c>
      <c r="K72" s="206">
        <f>vlookup($D72,Python!$D$2:$F$1000,3,FALSE)</f>
        <v>710.7</v>
      </c>
      <c r="L72" s="199">
        <v>3000000.0</v>
      </c>
      <c r="M72" s="173"/>
      <c r="N72" s="199" t="s">
        <v>585</v>
      </c>
      <c r="O72" s="173"/>
      <c r="P72" s="199" t="s">
        <v>585</v>
      </c>
      <c r="Q72" s="173"/>
      <c r="R72" s="199" t="s">
        <v>585</v>
      </c>
      <c r="S72" s="173"/>
      <c r="T72" s="199" t="s">
        <v>585</v>
      </c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</row>
    <row r="73">
      <c r="A73" s="194">
        <v>69.0</v>
      </c>
      <c r="B73" s="223" t="s">
        <v>490</v>
      </c>
      <c r="C73" s="224" t="s">
        <v>422</v>
      </c>
      <c r="D73" s="225" t="s">
        <v>697</v>
      </c>
      <c r="E73" s="226">
        <v>44399.0</v>
      </c>
      <c r="F73" s="227" t="s">
        <v>642</v>
      </c>
      <c r="G73" s="228" t="s">
        <v>92</v>
      </c>
      <c r="H73" s="228">
        <v>1.0</v>
      </c>
      <c r="I73" s="229">
        <v>109.0</v>
      </c>
      <c r="J73" s="230">
        <v>500000.0</v>
      </c>
      <c r="K73" s="206">
        <f>vlookup($D73,Python!$D$2:$F$1000,3,FALSE)</f>
        <v>405.31</v>
      </c>
      <c r="L73" s="230">
        <v>1500000.0</v>
      </c>
      <c r="M73" s="173"/>
      <c r="N73" s="230" t="s">
        <v>585</v>
      </c>
      <c r="O73" s="231"/>
      <c r="P73" s="230" t="s">
        <v>585</v>
      </c>
      <c r="Q73" s="231"/>
      <c r="R73" s="230" t="s">
        <v>585</v>
      </c>
      <c r="S73" s="231"/>
      <c r="T73" s="230" t="s">
        <v>585</v>
      </c>
      <c r="U73" s="231"/>
      <c r="V73" s="231"/>
      <c r="W73" s="231"/>
      <c r="X73" s="231"/>
      <c r="Y73" s="231"/>
      <c r="Z73" s="231"/>
      <c r="AA73" s="231"/>
      <c r="AB73" s="231"/>
      <c r="AC73" s="231"/>
      <c r="AD73" s="231"/>
      <c r="AE73" s="231"/>
      <c r="AF73" s="231"/>
    </row>
    <row r="74">
      <c r="A74" s="194">
        <v>70.0</v>
      </c>
      <c r="B74" s="195" t="s">
        <v>492</v>
      </c>
      <c r="C74" s="196" t="s">
        <v>422</v>
      </c>
      <c r="D74" s="208" t="s">
        <v>698</v>
      </c>
      <c r="E74" s="209">
        <v>44397.0</v>
      </c>
      <c r="F74" s="210" t="s">
        <v>647</v>
      </c>
      <c r="G74" s="173" t="s">
        <v>92</v>
      </c>
      <c r="H74" s="173">
        <v>1.0</v>
      </c>
      <c r="I74" s="207">
        <v>1900.0</v>
      </c>
      <c r="J74" s="199">
        <v>9500000.0</v>
      </c>
      <c r="K74" s="206">
        <f>vlookup($D74,Python!$D$2:$F$1000,3,FALSE)</f>
        <v>2400</v>
      </c>
      <c r="L74" s="199">
        <v>2500000.0</v>
      </c>
      <c r="M74" s="173"/>
      <c r="N74" s="199" t="s">
        <v>585</v>
      </c>
      <c r="O74" s="173"/>
      <c r="P74" s="199" t="s">
        <v>585</v>
      </c>
      <c r="Q74" s="173"/>
      <c r="R74" s="199" t="s">
        <v>585</v>
      </c>
      <c r="S74" s="173"/>
      <c r="T74" s="199" t="s">
        <v>585</v>
      </c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</row>
    <row r="75">
      <c r="A75" s="207">
        <v>71.0</v>
      </c>
      <c r="B75" s="195" t="s">
        <v>492</v>
      </c>
      <c r="C75" s="196" t="s">
        <v>422</v>
      </c>
      <c r="D75" s="208" t="s">
        <v>699</v>
      </c>
      <c r="E75" s="209">
        <v>44399.0</v>
      </c>
      <c r="F75" s="210" t="s">
        <v>647</v>
      </c>
      <c r="G75" s="173" t="s">
        <v>92</v>
      </c>
      <c r="H75" s="173">
        <v>1.0</v>
      </c>
      <c r="I75" s="207">
        <v>1500.0</v>
      </c>
      <c r="J75" s="199">
        <v>7500000.0</v>
      </c>
      <c r="K75" s="206">
        <f>vlookup($D75,Python!$D$2:$F$1000,3,FALSE)</f>
        <v>2200</v>
      </c>
      <c r="L75" s="199">
        <v>3500000.0</v>
      </c>
      <c r="M75" s="173"/>
      <c r="N75" s="199" t="s">
        <v>585</v>
      </c>
      <c r="O75" s="173"/>
      <c r="P75" s="199" t="s">
        <v>585</v>
      </c>
      <c r="Q75" s="173"/>
      <c r="R75" s="199" t="s">
        <v>585</v>
      </c>
      <c r="S75" s="173"/>
      <c r="T75" s="199" t="s">
        <v>585</v>
      </c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</row>
    <row r="76">
      <c r="A76" s="194">
        <v>72.0</v>
      </c>
      <c r="B76" s="195" t="s">
        <v>494</v>
      </c>
      <c r="C76" s="196" t="s">
        <v>422</v>
      </c>
      <c r="D76" s="208" t="s">
        <v>700</v>
      </c>
      <c r="E76" s="209">
        <v>44397.0</v>
      </c>
      <c r="F76" s="210" t="s">
        <v>647</v>
      </c>
      <c r="G76" s="173" t="s">
        <v>92</v>
      </c>
      <c r="H76" s="173">
        <v>1.0</v>
      </c>
      <c r="I76" s="207">
        <v>93.0</v>
      </c>
      <c r="J76" s="199">
        <v>0.0</v>
      </c>
      <c r="K76" s="206">
        <f>vlookup($D76,Python!$D$2:$F$1000,3,FALSE)</f>
        <v>107.1</v>
      </c>
      <c r="L76" s="199">
        <v>500000.0</v>
      </c>
      <c r="M76" s="173"/>
      <c r="N76" s="199" t="s">
        <v>585</v>
      </c>
      <c r="O76" s="173"/>
      <c r="P76" s="199" t="s">
        <v>585</v>
      </c>
      <c r="Q76" s="173"/>
      <c r="R76" s="199" t="s">
        <v>585</v>
      </c>
      <c r="S76" s="173"/>
      <c r="T76" s="199" t="s">
        <v>585</v>
      </c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</row>
    <row r="77">
      <c r="A77" s="194">
        <v>73.0</v>
      </c>
      <c r="B77" s="214" t="s">
        <v>496</v>
      </c>
      <c r="C77" s="196" t="s">
        <v>418</v>
      </c>
      <c r="D77" s="232" t="s">
        <v>701</v>
      </c>
      <c r="E77" s="233">
        <v>44393.0</v>
      </c>
      <c r="F77" s="234" t="s">
        <v>641</v>
      </c>
      <c r="G77" s="173" t="s">
        <v>194</v>
      </c>
      <c r="H77" s="173">
        <v>1.0</v>
      </c>
      <c r="I77" s="207">
        <v>2.6</v>
      </c>
      <c r="J77" s="199">
        <v>0.0</v>
      </c>
      <c r="K77" s="206">
        <f>vlookup($D77,Python!$D$2:$F$1000,3,FALSE)</f>
        <v>2.6</v>
      </c>
      <c r="L77" s="199">
        <v>0.0</v>
      </c>
      <c r="M77" s="173"/>
      <c r="N77" s="199" t="s">
        <v>585</v>
      </c>
      <c r="O77" s="173"/>
      <c r="P77" s="199" t="s">
        <v>585</v>
      </c>
      <c r="Q77" s="173"/>
      <c r="R77" s="199" t="s">
        <v>585</v>
      </c>
      <c r="S77" s="173"/>
      <c r="T77" s="199" t="s">
        <v>585</v>
      </c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</row>
    <row r="78">
      <c r="A78" s="207">
        <v>74.0</v>
      </c>
      <c r="B78" s="196" t="s">
        <v>497</v>
      </c>
      <c r="C78" s="196" t="s">
        <v>418</v>
      </c>
      <c r="D78" s="232" t="s">
        <v>702</v>
      </c>
      <c r="E78" s="233">
        <v>44398.0</v>
      </c>
      <c r="F78" s="234" t="s">
        <v>641</v>
      </c>
      <c r="G78" s="173" t="s">
        <v>194</v>
      </c>
      <c r="H78" s="173">
        <v>1.0</v>
      </c>
      <c r="I78" s="207">
        <v>2.1</v>
      </c>
      <c r="J78" s="199">
        <v>0.0</v>
      </c>
      <c r="K78" s="206">
        <f>vlookup($D78,Python!$D$2:$F$1000,3,FALSE)</f>
        <v>33</v>
      </c>
      <c r="L78" s="199">
        <v>0.0</v>
      </c>
      <c r="M78" s="173"/>
      <c r="N78" s="199" t="s">
        <v>585</v>
      </c>
      <c r="O78" s="173"/>
      <c r="P78" s="199" t="s">
        <v>585</v>
      </c>
      <c r="Q78" s="173"/>
      <c r="R78" s="199" t="s">
        <v>585</v>
      </c>
      <c r="S78" s="173"/>
      <c r="T78" s="199" t="s">
        <v>585</v>
      </c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</row>
    <row r="79">
      <c r="A79" s="194">
        <v>75.0</v>
      </c>
      <c r="B79" s="196" t="s">
        <v>499</v>
      </c>
      <c r="C79" s="196" t="s">
        <v>418</v>
      </c>
      <c r="D79" s="232" t="s">
        <v>703</v>
      </c>
      <c r="E79" s="233">
        <v>44396.0</v>
      </c>
      <c r="F79" s="234" t="s">
        <v>641</v>
      </c>
      <c r="G79" s="173" t="s">
        <v>194</v>
      </c>
      <c r="H79" s="173">
        <v>1.0</v>
      </c>
      <c r="I79" s="207">
        <v>28.0</v>
      </c>
      <c r="J79" s="199">
        <v>0.0</v>
      </c>
      <c r="K79" s="206" t="str">
        <f>vlookup($D79,Python!$D$2:$F$1000,3,FALSE)</f>
        <v/>
      </c>
      <c r="L79" s="199" t="s">
        <v>585</v>
      </c>
      <c r="M79" s="173"/>
      <c r="N79" s="199" t="s">
        <v>585</v>
      </c>
      <c r="O79" s="173"/>
      <c r="P79" s="199" t="s">
        <v>585</v>
      </c>
      <c r="Q79" s="173"/>
      <c r="R79" s="199" t="s">
        <v>585</v>
      </c>
      <c r="S79" s="173"/>
      <c r="T79" s="199" t="s">
        <v>585</v>
      </c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</row>
    <row r="80">
      <c r="A80" s="194">
        <v>76.0</v>
      </c>
      <c r="B80" s="196" t="s">
        <v>499</v>
      </c>
      <c r="C80" s="196" t="s">
        <v>422</v>
      </c>
      <c r="D80" s="232" t="s">
        <v>704</v>
      </c>
      <c r="E80" s="233">
        <v>44396.0</v>
      </c>
      <c r="F80" s="234" t="s">
        <v>641</v>
      </c>
      <c r="G80" s="173" t="s">
        <v>194</v>
      </c>
      <c r="H80" s="173">
        <v>1.0</v>
      </c>
      <c r="I80" s="207">
        <v>106.5</v>
      </c>
      <c r="J80" s="199">
        <v>500000.0</v>
      </c>
      <c r="K80" s="206">
        <f>vlookup($D80,Python!$D$2:$F$1000,3,FALSE)</f>
        <v>1500</v>
      </c>
      <c r="L80" s="199">
        <v>7000000.0</v>
      </c>
      <c r="M80" s="173"/>
      <c r="N80" s="199" t="s">
        <v>585</v>
      </c>
      <c r="O80" s="173"/>
      <c r="P80" s="199" t="s">
        <v>585</v>
      </c>
      <c r="Q80" s="173"/>
      <c r="R80" s="199" t="s">
        <v>585</v>
      </c>
      <c r="S80" s="173"/>
      <c r="T80" s="199" t="s">
        <v>585</v>
      </c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</row>
    <row r="81">
      <c r="A81" s="207">
        <v>77.0</v>
      </c>
      <c r="B81" s="196" t="s">
        <v>501</v>
      </c>
      <c r="C81" s="196" t="s">
        <v>418</v>
      </c>
      <c r="D81" s="232" t="s">
        <v>705</v>
      </c>
      <c r="E81" s="233">
        <v>44402.0</v>
      </c>
      <c r="F81" s="234" t="s">
        <v>641</v>
      </c>
      <c r="G81" s="173" t="s">
        <v>194</v>
      </c>
      <c r="H81" s="173">
        <v>1.0</v>
      </c>
      <c r="I81" s="207">
        <v>3.2</v>
      </c>
      <c r="J81" s="199">
        <v>0.0</v>
      </c>
      <c r="K81" s="206" t="str">
        <f>vlookup($D81,Python!$D$2:$F$1000,3,FALSE)</f>
        <v/>
      </c>
      <c r="L81" s="199" t="s">
        <v>585</v>
      </c>
      <c r="M81" s="173"/>
      <c r="N81" s="199" t="s">
        <v>585</v>
      </c>
      <c r="O81" s="173"/>
      <c r="P81" s="199" t="s">
        <v>585</v>
      </c>
      <c r="Q81" s="173"/>
      <c r="R81" s="199" t="s">
        <v>585</v>
      </c>
      <c r="S81" s="173"/>
      <c r="T81" s="199" t="s">
        <v>585</v>
      </c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</row>
    <row r="82">
      <c r="A82" s="194">
        <v>78.0</v>
      </c>
      <c r="B82" s="196" t="s">
        <v>502</v>
      </c>
      <c r="C82" s="196" t="s">
        <v>418</v>
      </c>
      <c r="D82" s="232" t="s">
        <v>706</v>
      </c>
      <c r="E82" s="233">
        <v>44396.0</v>
      </c>
      <c r="F82" s="234" t="s">
        <v>641</v>
      </c>
      <c r="G82" s="173" t="s">
        <v>194</v>
      </c>
      <c r="H82" s="173">
        <v>1.0</v>
      </c>
      <c r="I82" s="207">
        <v>4.6</v>
      </c>
      <c r="J82" s="199">
        <v>0.0</v>
      </c>
      <c r="K82" s="206">
        <f>vlookup($D82,Python!$D$2:$F$1000,3,FALSE)</f>
        <v>50</v>
      </c>
      <c r="L82" s="199">
        <v>1000000.0</v>
      </c>
      <c r="M82" s="173"/>
      <c r="N82" s="199" t="s">
        <v>585</v>
      </c>
      <c r="O82" s="173"/>
      <c r="P82" s="199" t="s">
        <v>585</v>
      </c>
      <c r="Q82" s="173"/>
      <c r="R82" s="199" t="s">
        <v>585</v>
      </c>
      <c r="S82" s="173"/>
      <c r="T82" s="199" t="s">
        <v>585</v>
      </c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</row>
    <row r="83">
      <c r="A83" s="194">
        <v>79.0</v>
      </c>
      <c r="B83" s="196" t="s">
        <v>503</v>
      </c>
      <c r="C83" s="196" t="s">
        <v>422</v>
      </c>
      <c r="D83" s="208" t="s">
        <v>707</v>
      </c>
      <c r="E83" s="209">
        <v>44397.0</v>
      </c>
      <c r="F83" s="210" t="s">
        <v>641</v>
      </c>
      <c r="G83" s="173" t="s">
        <v>194</v>
      </c>
      <c r="H83" s="173">
        <v>1.0</v>
      </c>
      <c r="I83" s="207">
        <v>0.1225</v>
      </c>
      <c r="J83" s="199">
        <v>0.0</v>
      </c>
      <c r="K83" s="206">
        <f>vlookup($D83,Python!$D$2:$F$1000,3,FALSE)</f>
        <v>2.287</v>
      </c>
      <c r="L83" s="199">
        <v>0.0</v>
      </c>
      <c r="M83" s="173"/>
      <c r="N83" s="199" t="s">
        <v>585</v>
      </c>
      <c r="O83" s="173"/>
      <c r="P83" s="199" t="s">
        <v>585</v>
      </c>
      <c r="Q83" s="173"/>
      <c r="R83" s="199" t="s">
        <v>585</v>
      </c>
      <c r="S83" s="173"/>
      <c r="T83" s="199" t="s">
        <v>585</v>
      </c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</row>
    <row r="84">
      <c r="A84" s="207">
        <v>80.0</v>
      </c>
      <c r="B84" s="196" t="s">
        <v>504</v>
      </c>
      <c r="C84" s="196" t="s">
        <v>418</v>
      </c>
      <c r="D84" s="232" t="s">
        <v>708</v>
      </c>
      <c r="E84" s="233">
        <v>44390.0</v>
      </c>
      <c r="F84" s="234" t="s">
        <v>641</v>
      </c>
      <c r="G84" s="173" t="s">
        <v>194</v>
      </c>
      <c r="H84" s="173">
        <v>1.0</v>
      </c>
      <c r="I84" s="207">
        <v>6.4</v>
      </c>
      <c r="J84" s="199">
        <v>0.0</v>
      </c>
      <c r="K84" s="206">
        <f>vlookup($D84,Python!$D$2:$F$1000,3,FALSE)</f>
        <v>51</v>
      </c>
      <c r="L84" s="199">
        <v>1000000.0</v>
      </c>
      <c r="M84" s="173"/>
      <c r="N84" s="199" t="s">
        <v>585</v>
      </c>
      <c r="O84" s="173"/>
      <c r="P84" s="199" t="s">
        <v>585</v>
      </c>
      <c r="Q84" s="173"/>
      <c r="R84" s="199" t="s">
        <v>585</v>
      </c>
      <c r="S84" s="173"/>
      <c r="T84" s="199" t="s">
        <v>585</v>
      </c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</row>
    <row r="85">
      <c r="A85" s="194">
        <v>81.0</v>
      </c>
      <c r="B85" s="196" t="s">
        <v>505</v>
      </c>
      <c r="C85" s="196" t="s">
        <v>418</v>
      </c>
      <c r="D85" s="232" t="s">
        <v>709</v>
      </c>
      <c r="E85" s="233">
        <v>44392.0</v>
      </c>
      <c r="F85" s="234" t="s">
        <v>641</v>
      </c>
      <c r="G85" s="173" t="s">
        <v>194</v>
      </c>
      <c r="H85" s="173">
        <v>1.0</v>
      </c>
      <c r="I85" s="207">
        <v>33.0</v>
      </c>
      <c r="J85" s="199">
        <v>0.0</v>
      </c>
      <c r="K85" s="206" t="str">
        <f>vlookup($D85,Python!$D$2:$F$1000,3,FALSE)</f>
        <v/>
      </c>
      <c r="L85" s="199" t="s">
        <v>585</v>
      </c>
      <c r="M85" s="173"/>
      <c r="N85" s="199" t="s">
        <v>585</v>
      </c>
      <c r="O85" s="173"/>
      <c r="P85" s="199" t="s">
        <v>585</v>
      </c>
      <c r="Q85" s="173"/>
      <c r="R85" s="199" t="s">
        <v>585</v>
      </c>
      <c r="S85" s="173"/>
      <c r="T85" s="199" t="s">
        <v>585</v>
      </c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</row>
    <row r="86">
      <c r="A86" s="194">
        <v>82.0</v>
      </c>
      <c r="B86" s="196" t="s">
        <v>506</v>
      </c>
      <c r="C86" s="196" t="s">
        <v>418</v>
      </c>
      <c r="D86" s="232" t="s">
        <v>710</v>
      </c>
      <c r="E86" s="233">
        <v>44401.0</v>
      </c>
      <c r="F86" s="234" t="s">
        <v>641</v>
      </c>
      <c r="G86" s="173" t="s">
        <v>194</v>
      </c>
      <c r="H86" s="173">
        <v>1.0</v>
      </c>
      <c r="I86" s="207">
        <v>5.8</v>
      </c>
      <c r="J86" s="199">
        <v>0.0</v>
      </c>
      <c r="K86" s="206" t="str">
        <f>vlookup($D86,Python!$D$2:$F$1000,3,FALSE)</f>
        <v/>
      </c>
      <c r="L86" s="199" t="s">
        <v>585</v>
      </c>
      <c r="M86" s="173"/>
      <c r="N86" s="199" t="s">
        <v>585</v>
      </c>
      <c r="O86" s="173"/>
      <c r="P86" s="199" t="s">
        <v>585</v>
      </c>
      <c r="Q86" s="173"/>
      <c r="R86" s="199" t="s">
        <v>585</v>
      </c>
      <c r="S86" s="173"/>
      <c r="T86" s="199" t="s">
        <v>585</v>
      </c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</row>
    <row r="87">
      <c r="A87" s="207">
        <v>83.0</v>
      </c>
      <c r="B87" s="196" t="s">
        <v>507</v>
      </c>
      <c r="C87" s="196" t="s">
        <v>422</v>
      </c>
      <c r="D87" s="232" t="s">
        <v>711</v>
      </c>
      <c r="E87" s="233">
        <v>44401.0</v>
      </c>
      <c r="F87" s="234" t="s">
        <v>641</v>
      </c>
      <c r="G87" s="173" t="s">
        <v>194</v>
      </c>
      <c r="H87" s="173">
        <v>1.0</v>
      </c>
      <c r="I87" s="207">
        <v>0.1581</v>
      </c>
      <c r="J87" s="199">
        <v>0.0</v>
      </c>
      <c r="K87" s="206">
        <f>vlookup($D87,Python!$D$2:$F$1000,3,FALSE)</f>
        <v>24.5</v>
      </c>
      <c r="L87" s="199">
        <v>0.0</v>
      </c>
      <c r="M87" s="173"/>
      <c r="N87" s="199" t="s">
        <v>585</v>
      </c>
      <c r="O87" s="173"/>
      <c r="P87" s="199" t="s">
        <v>585</v>
      </c>
      <c r="Q87" s="173"/>
      <c r="R87" s="199" t="s">
        <v>585</v>
      </c>
      <c r="S87" s="173"/>
      <c r="T87" s="199" t="s">
        <v>585</v>
      </c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</row>
    <row r="88">
      <c r="A88" s="194">
        <v>84.0</v>
      </c>
      <c r="B88" s="196" t="s">
        <v>508</v>
      </c>
      <c r="C88" s="196" t="s">
        <v>422</v>
      </c>
      <c r="D88" s="232" t="s">
        <v>712</v>
      </c>
      <c r="E88" s="233">
        <v>44398.0</v>
      </c>
      <c r="F88" s="234" t="s">
        <v>647</v>
      </c>
      <c r="G88" s="173" t="s">
        <v>194</v>
      </c>
      <c r="H88" s="173">
        <v>1.0</v>
      </c>
      <c r="I88" s="207">
        <v>310.5</v>
      </c>
      <c r="J88" s="199">
        <v>1500000.0</v>
      </c>
      <c r="K88" s="206">
        <f>vlookup($D88,Python!$D$2:$F$1000,3,FALSE)</f>
        <v>572.5</v>
      </c>
      <c r="L88" s="199">
        <v>1000000.0</v>
      </c>
      <c r="M88" s="173"/>
      <c r="N88" s="199" t="s">
        <v>585</v>
      </c>
      <c r="O88" s="173"/>
      <c r="P88" s="199" t="s">
        <v>585</v>
      </c>
      <c r="Q88" s="173"/>
      <c r="R88" s="199" t="s">
        <v>585</v>
      </c>
      <c r="S88" s="173"/>
      <c r="T88" s="199" t="s">
        <v>585</v>
      </c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</row>
    <row r="89">
      <c r="A89" s="194">
        <v>85.0</v>
      </c>
      <c r="B89" s="196" t="s">
        <v>511</v>
      </c>
      <c r="C89" s="196" t="s">
        <v>422</v>
      </c>
      <c r="D89" s="232" t="s">
        <v>713</v>
      </c>
      <c r="E89" s="233">
        <v>44394.0</v>
      </c>
      <c r="F89" s="234" t="s">
        <v>642</v>
      </c>
      <c r="G89" s="173" t="s">
        <v>194</v>
      </c>
      <c r="H89" s="173">
        <v>1.0</v>
      </c>
      <c r="I89" s="207">
        <v>0.8513</v>
      </c>
      <c r="J89" s="199">
        <v>0.0</v>
      </c>
      <c r="K89" s="206">
        <f>vlookup($D89,Python!$D$2:$F$1000,3,FALSE)</f>
        <v>15.9</v>
      </c>
      <c r="L89" s="199">
        <v>0.0</v>
      </c>
      <c r="M89" s="173"/>
      <c r="N89" s="199" t="s">
        <v>585</v>
      </c>
      <c r="O89" s="173"/>
      <c r="P89" s="199" t="s">
        <v>585</v>
      </c>
      <c r="Q89" s="173"/>
      <c r="R89" s="199" t="s">
        <v>585</v>
      </c>
      <c r="S89" s="173"/>
      <c r="T89" s="199" t="s">
        <v>585</v>
      </c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</row>
    <row r="90">
      <c r="A90" s="207">
        <v>86.0</v>
      </c>
      <c r="B90" s="196" t="s">
        <v>511</v>
      </c>
      <c r="C90" s="196" t="s">
        <v>422</v>
      </c>
      <c r="D90" s="232" t="s">
        <v>714</v>
      </c>
      <c r="E90" s="233">
        <v>44395.0</v>
      </c>
      <c r="F90" s="234" t="s">
        <v>642</v>
      </c>
      <c r="G90" s="173" t="s">
        <v>194</v>
      </c>
      <c r="H90" s="173">
        <v>1.0</v>
      </c>
      <c r="I90" s="207">
        <v>12.3</v>
      </c>
      <c r="J90" s="199">
        <v>0.0</v>
      </c>
      <c r="K90" s="206">
        <f>vlookup($D90,Python!$D$2:$F$1000,3,FALSE)</f>
        <v>34.2</v>
      </c>
      <c r="L90" s="199">
        <v>0.0</v>
      </c>
      <c r="M90" s="173"/>
      <c r="N90" s="199" t="s">
        <v>585</v>
      </c>
      <c r="O90" s="173"/>
      <c r="P90" s="199" t="s">
        <v>585</v>
      </c>
      <c r="Q90" s="173"/>
      <c r="R90" s="199" t="s">
        <v>585</v>
      </c>
      <c r="S90" s="173"/>
      <c r="T90" s="199" t="s">
        <v>585</v>
      </c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</row>
    <row r="91">
      <c r="A91" s="194">
        <v>87.0</v>
      </c>
      <c r="B91" s="196" t="s">
        <v>511</v>
      </c>
      <c r="C91" s="196" t="s">
        <v>422</v>
      </c>
      <c r="D91" s="232" t="s">
        <v>715</v>
      </c>
      <c r="E91" s="233">
        <v>44397.0</v>
      </c>
      <c r="F91" s="234" t="s">
        <v>647</v>
      </c>
      <c r="G91" s="173" t="s">
        <v>194</v>
      </c>
      <c r="H91" s="173">
        <v>1.0</v>
      </c>
      <c r="I91" s="207">
        <v>46.4</v>
      </c>
      <c r="J91" s="199">
        <v>0.0</v>
      </c>
      <c r="K91" s="206">
        <f>vlookup($D91,Python!$D$2:$F$1000,3,FALSE)</f>
        <v>56.8</v>
      </c>
      <c r="L91" s="199">
        <v>0.0</v>
      </c>
      <c r="M91" s="173"/>
      <c r="N91" s="199" t="s">
        <v>585</v>
      </c>
      <c r="O91" s="173"/>
      <c r="P91" s="199" t="s">
        <v>585</v>
      </c>
      <c r="Q91" s="173"/>
      <c r="R91" s="199" t="s">
        <v>585</v>
      </c>
      <c r="S91" s="173"/>
      <c r="T91" s="199" t="s">
        <v>585</v>
      </c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</row>
    <row r="92">
      <c r="A92" s="194">
        <v>88.0</v>
      </c>
      <c r="B92" s="196" t="s">
        <v>511</v>
      </c>
      <c r="C92" s="196" t="s">
        <v>422</v>
      </c>
      <c r="D92" s="232" t="s">
        <v>716</v>
      </c>
      <c r="E92" s="233">
        <v>44397.0</v>
      </c>
      <c r="F92" s="234" t="s">
        <v>642</v>
      </c>
      <c r="G92" s="173" t="s">
        <v>194</v>
      </c>
      <c r="H92" s="173">
        <v>1.0</v>
      </c>
      <c r="I92" s="207">
        <v>0.4917</v>
      </c>
      <c r="J92" s="199">
        <v>0.0</v>
      </c>
      <c r="K92" s="206">
        <f>vlookup($D92,Python!$D$2:$F$1000,3,FALSE)</f>
        <v>15.6</v>
      </c>
      <c r="L92" s="199">
        <v>0.0</v>
      </c>
      <c r="M92" s="173"/>
      <c r="N92" s="199" t="s">
        <v>585</v>
      </c>
      <c r="O92" s="173"/>
      <c r="P92" s="199" t="s">
        <v>585</v>
      </c>
      <c r="Q92" s="173"/>
      <c r="R92" s="199" t="s">
        <v>585</v>
      </c>
      <c r="S92" s="173"/>
      <c r="T92" s="199" t="s">
        <v>585</v>
      </c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</row>
    <row r="93">
      <c r="A93" s="207">
        <v>89.0</v>
      </c>
      <c r="B93" s="196" t="s">
        <v>511</v>
      </c>
      <c r="C93" s="196" t="s">
        <v>422</v>
      </c>
      <c r="D93" s="232" t="s">
        <v>717</v>
      </c>
      <c r="E93" s="233">
        <v>44398.0</v>
      </c>
      <c r="F93" s="234" t="s">
        <v>647</v>
      </c>
      <c r="G93" s="173" t="s">
        <v>194</v>
      </c>
      <c r="H93" s="173">
        <v>1.0</v>
      </c>
      <c r="I93" s="207">
        <v>15.6</v>
      </c>
      <c r="J93" s="199">
        <v>0.0</v>
      </c>
      <c r="K93" s="206">
        <f>vlookup($D93,Python!$D$2:$F$1000,3,FALSE)</f>
        <v>28</v>
      </c>
      <c r="L93" s="199">
        <v>0.0</v>
      </c>
      <c r="M93" s="173"/>
      <c r="N93" s="199" t="s">
        <v>585</v>
      </c>
      <c r="O93" s="173"/>
      <c r="P93" s="199" t="s">
        <v>585</v>
      </c>
      <c r="Q93" s="173"/>
      <c r="R93" s="199" t="s">
        <v>585</v>
      </c>
      <c r="S93" s="173"/>
      <c r="T93" s="199" t="s">
        <v>585</v>
      </c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</row>
    <row r="94">
      <c r="A94" s="194">
        <v>90.0</v>
      </c>
      <c r="B94" s="196" t="s">
        <v>512</v>
      </c>
      <c r="C94" s="196" t="s">
        <v>418</v>
      </c>
      <c r="D94" s="232" t="s">
        <v>718</v>
      </c>
      <c r="E94" s="233">
        <v>44396.0</v>
      </c>
      <c r="F94" s="234" t="s">
        <v>641</v>
      </c>
      <c r="G94" s="173" t="s">
        <v>194</v>
      </c>
      <c r="H94" s="173">
        <v>1.0</v>
      </c>
      <c r="I94" s="207">
        <v>5.2</v>
      </c>
      <c r="J94" s="199">
        <v>0.0</v>
      </c>
      <c r="K94" s="206">
        <f>vlookup($D94,Python!$D$2:$F$1000,3,FALSE)</f>
        <v>52</v>
      </c>
      <c r="L94" s="199">
        <v>1000000.0</v>
      </c>
      <c r="M94" s="173"/>
      <c r="N94" s="199" t="s">
        <v>585</v>
      </c>
      <c r="O94" s="173"/>
      <c r="P94" s="199" t="s">
        <v>585</v>
      </c>
      <c r="Q94" s="173"/>
      <c r="R94" s="199" t="s">
        <v>585</v>
      </c>
      <c r="S94" s="173"/>
      <c r="T94" s="199" t="s">
        <v>585</v>
      </c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</row>
    <row r="95">
      <c r="A95" s="194">
        <v>91.0</v>
      </c>
      <c r="B95" s="196" t="s">
        <v>513</v>
      </c>
      <c r="C95" s="196" t="s">
        <v>422</v>
      </c>
      <c r="D95" s="232" t="s">
        <v>719</v>
      </c>
      <c r="E95" s="233">
        <v>44401.0</v>
      </c>
      <c r="F95" s="234" t="s">
        <v>642</v>
      </c>
      <c r="G95" s="173" t="s">
        <v>194</v>
      </c>
      <c r="H95" s="173">
        <v>1.0</v>
      </c>
      <c r="I95" s="207">
        <v>77.4</v>
      </c>
      <c r="J95" s="199">
        <v>0.0</v>
      </c>
      <c r="K95" s="206">
        <f>vlookup($D95,Python!$D$2:$F$1000,3,FALSE)</f>
        <v>128.4</v>
      </c>
      <c r="L95" s="199">
        <v>500000.0</v>
      </c>
      <c r="M95" s="173"/>
      <c r="N95" s="199" t="s">
        <v>585</v>
      </c>
      <c r="O95" s="173"/>
      <c r="P95" s="199" t="s">
        <v>585</v>
      </c>
      <c r="Q95" s="173"/>
      <c r="R95" s="199" t="s">
        <v>585</v>
      </c>
      <c r="S95" s="173"/>
      <c r="T95" s="199" t="s">
        <v>585</v>
      </c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</row>
    <row r="96">
      <c r="A96" s="207">
        <v>92.0</v>
      </c>
      <c r="B96" s="196" t="s">
        <v>514</v>
      </c>
      <c r="C96" s="196" t="s">
        <v>422</v>
      </c>
      <c r="D96" s="232" t="s">
        <v>720</v>
      </c>
      <c r="E96" s="233">
        <v>44393.0</v>
      </c>
      <c r="F96" s="234" t="s">
        <v>642</v>
      </c>
      <c r="G96" s="173" t="s">
        <v>194</v>
      </c>
      <c r="H96" s="173">
        <v>1.0</v>
      </c>
      <c r="I96" s="207">
        <v>216.3</v>
      </c>
      <c r="J96" s="199">
        <v>1000000.0</v>
      </c>
      <c r="K96" s="206">
        <f>vlookup($D96,Python!$D$2:$F$1000,3,FALSE)</f>
        <v>350.1</v>
      </c>
      <c r="L96" s="199">
        <v>500000.0</v>
      </c>
      <c r="M96" s="173"/>
      <c r="N96" s="199" t="s">
        <v>585</v>
      </c>
      <c r="O96" s="173"/>
      <c r="P96" s="199" t="s">
        <v>585</v>
      </c>
      <c r="Q96" s="173"/>
      <c r="R96" s="199" t="s">
        <v>585</v>
      </c>
      <c r="S96" s="173"/>
      <c r="T96" s="199" t="s">
        <v>585</v>
      </c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</row>
    <row r="97">
      <c r="A97" s="194">
        <v>93.0</v>
      </c>
      <c r="B97" s="196" t="s">
        <v>514</v>
      </c>
      <c r="C97" s="196" t="s">
        <v>422</v>
      </c>
      <c r="D97" s="232" t="s">
        <v>721</v>
      </c>
      <c r="E97" s="233">
        <v>44395.0</v>
      </c>
      <c r="F97" s="234" t="s">
        <v>642</v>
      </c>
      <c r="G97" s="173" t="s">
        <v>194</v>
      </c>
      <c r="H97" s="173">
        <v>1.0</v>
      </c>
      <c r="I97" s="207">
        <v>507.8</v>
      </c>
      <c r="J97" s="199">
        <v>2500000.0</v>
      </c>
      <c r="K97" s="206">
        <f>vlookup($D97,Python!$D$2:$F$1000,3,FALSE)</f>
        <v>616.7</v>
      </c>
      <c r="L97" s="199">
        <v>500000.0</v>
      </c>
      <c r="M97" s="173"/>
      <c r="N97" s="199" t="s">
        <v>585</v>
      </c>
      <c r="O97" s="173"/>
      <c r="P97" s="199" t="s">
        <v>585</v>
      </c>
      <c r="Q97" s="173"/>
      <c r="R97" s="199" t="s">
        <v>585</v>
      </c>
      <c r="S97" s="173"/>
      <c r="T97" s="199" t="s">
        <v>585</v>
      </c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</row>
    <row r="98">
      <c r="A98" s="194">
        <v>94.0</v>
      </c>
      <c r="B98" s="196" t="s">
        <v>514</v>
      </c>
      <c r="C98" s="196" t="s">
        <v>422</v>
      </c>
      <c r="D98" s="232" t="s">
        <v>722</v>
      </c>
      <c r="E98" s="233">
        <v>44396.0</v>
      </c>
      <c r="F98" s="234" t="s">
        <v>642</v>
      </c>
      <c r="G98" s="173" t="s">
        <v>194</v>
      </c>
      <c r="H98" s="173">
        <v>1.0</v>
      </c>
      <c r="I98" s="207">
        <v>418.2</v>
      </c>
      <c r="J98" s="199">
        <v>2000000.0</v>
      </c>
      <c r="K98" s="206">
        <f>vlookup($D98,Python!$D$2:$F$1000,3,FALSE)</f>
        <v>536.4</v>
      </c>
      <c r="L98" s="199">
        <v>500000.0</v>
      </c>
      <c r="M98" s="173"/>
      <c r="N98" s="199" t="s">
        <v>585</v>
      </c>
      <c r="O98" s="173"/>
      <c r="P98" s="199" t="s">
        <v>585</v>
      </c>
      <c r="Q98" s="173"/>
      <c r="R98" s="199" t="s">
        <v>585</v>
      </c>
      <c r="S98" s="173"/>
      <c r="T98" s="199" t="s">
        <v>585</v>
      </c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</row>
    <row r="99">
      <c r="A99" s="207">
        <v>95.0</v>
      </c>
      <c r="B99" s="196" t="s">
        <v>514</v>
      </c>
      <c r="C99" s="196" t="s">
        <v>422</v>
      </c>
      <c r="D99" s="232" t="s">
        <v>723</v>
      </c>
      <c r="E99" s="233">
        <v>44397.0</v>
      </c>
      <c r="F99" s="234" t="s">
        <v>642</v>
      </c>
      <c r="G99" s="173" t="s">
        <v>194</v>
      </c>
      <c r="H99" s="173">
        <v>1.0</v>
      </c>
      <c r="I99" s="207">
        <v>115.6</v>
      </c>
      <c r="J99" s="199">
        <v>500000.0</v>
      </c>
      <c r="K99" s="206">
        <f>vlookup($D99,Python!$D$2:$F$1000,3,FALSE)</f>
        <v>221.7</v>
      </c>
      <c r="L99" s="199">
        <v>500000.0</v>
      </c>
      <c r="M99" s="173"/>
      <c r="N99" s="199" t="s">
        <v>585</v>
      </c>
      <c r="O99" s="173"/>
      <c r="P99" s="199" t="s">
        <v>585</v>
      </c>
      <c r="Q99" s="173"/>
      <c r="R99" s="199" t="s">
        <v>585</v>
      </c>
      <c r="S99" s="173"/>
      <c r="T99" s="199" t="s">
        <v>585</v>
      </c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</row>
    <row r="100">
      <c r="A100" s="194">
        <v>96.0</v>
      </c>
      <c r="B100" s="196" t="s">
        <v>514</v>
      </c>
      <c r="C100" s="196" t="s">
        <v>422</v>
      </c>
      <c r="D100" s="232" t="s">
        <v>724</v>
      </c>
      <c r="E100" s="235">
        <v>44400.0</v>
      </c>
      <c r="F100" s="236" t="s">
        <v>642</v>
      </c>
      <c r="G100" s="173" t="s">
        <v>194</v>
      </c>
      <c r="H100" s="173">
        <v>1.0</v>
      </c>
      <c r="I100" s="207">
        <v>741.0</v>
      </c>
      <c r="J100" s="199">
        <v>3500000.0</v>
      </c>
      <c r="K100" s="206">
        <f>vlookup($D100,Python!$D$2:$F$1000,3,FALSE)</f>
        <v>1000</v>
      </c>
      <c r="L100" s="199">
        <v>1500000.0</v>
      </c>
      <c r="M100" s="173"/>
      <c r="N100" s="199" t="s">
        <v>585</v>
      </c>
      <c r="O100" s="173"/>
      <c r="P100" s="199" t="s">
        <v>585</v>
      </c>
      <c r="Q100" s="173"/>
      <c r="R100" s="199" t="s">
        <v>585</v>
      </c>
      <c r="S100" s="173"/>
      <c r="T100" s="199" t="s">
        <v>585</v>
      </c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</row>
    <row r="101">
      <c r="A101" s="194">
        <v>97.0</v>
      </c>
      <c r="B101" s="196" t="s">
        <v>514</v>
      </c>
      <c r="C101" s="196" t="s">
        <v>422</v>
      </c>
      <c r="D101" s="232" t="s">
        <v>725</v>
      </c>
      <c r="E101" s="233">
        <v>44401.0</v>
      </c>
      <c r="F101" s="234" t="s">
        <v>642</v>
      </c>
      <c r="G101" s="173" t="s">
        <v>194</v>
      </c>
      <c r="H101" s="173">
        <v>1.0</v>
      </c>
      <c r="I101" s="207">
        <v>1600.0</v>
      </c>
      <c r="J101" s="199">
        <v>8000000.0</v>
      </c>
      <c r="K101" s="206">
        <f>vlookup($D101,Python!$D$2:$F$1000,3,FALSE)</f>
        <v>2600</v>
      </c>
      <c r="L101" s="199">
        <v>5000000.0</v>
      </c>
      <c r="M101" s="173"/>
      <c r="N101" s="199" t="s">
        <v>585</v>
      </c>
      <c r="O101" s="173"/>
      <c r="P101" s="199" t="s">
        <v>585</v>
      </c>
      <c r="Q101" s="173"/>
      <c r="R101" s="199" t="s">
        <v>585</v>
      </c>
      <c r="S101" s="173"/>
      <c r="T101" s="199" t="s">
        <v>585</v>
      </c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</row>
    <row r="102">
      <c r="A102" s="207">
        <v>98.0</v>
      </c>
      <c r="B102" s="196" t="s">
        <v>515</v>
      </c>
      <c r="C102" s="196" t="s">
        <v>422</v>
      </c>
      <c r="D102" s="232" t="s">
        <v>726</v>
      </c>
      <c r="E102" s="233">
        <v>44399.0</v>
      </c>
      <c r="F102" s="234" t="s">
        <v>642</v>
      </c>
      <c r="G102" s="173" t="s">
        <v>194</v>
      </c>
      <c r="H102" s="173">
        <v>1.0</v>
      </c>
      <c r="I102" s="207">
        <v>122.8</v>
      </c>
      <c r="J102" s="199">
        <v>500000.0</v>
      </c>
      <c r="K102" s="206">
        <f>vlookup($D102,Python!$D$2:$F$1000,3,FALSE)</f>
        <v>173.6</v>
      </c>
      <c r="L102" s="199">
        <v>0.0</v>
      </c>
      <c r="M102" s="173"/>
      <c r="N102" s="199" t="s">
        <v>585</v>
      </c>
      <c r="O102" s="173"/>
      <c r="P102" s="199" t="s">
        <v>585</v>
      </c>
      <c r="Q102" s="173"/>
      <c r="R102" s="199" t="s">
        <v>585</v>
      </c>
      <c r="S102" s="173"/>
      <c r="T102" s="199" t="s">
        <v>585</v>
      </c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</row>
    <row r="103">
      <c r="A103" s="194">
        <v>99.0</v>
      </c>
      <c r="B103" s="196" t="s">
        <v>516</v>
      </c>
      <c r="C103" s="196" t="s">
        <v>422</v>
      </c>
      <c r="D103" s="232" t="s">
        <v>727</v>
      </c>
      <c r="E103" s="233">
        <v>44399.0</v>
      </c>
      <c r="F103" s="234" t="s">
        <v>647</v>
      </c>
      <c r="G103" s="173" t="s">
        <v>194</v>
      </c>
      <c r="H103" s="173">
        <v>1.0</v>
      </c>
      <c r="I103" s="207">
        <v>0.818</v>
      </c>
      <c r="J103" s="199">
        <v>0.0</v>
      </c>
      <c r="K103" s="206">
        <f>vlookup($D103,Python!$D$2:$F$1000,3,FALSE)</f>
        <v>15.6</v>
      </c>
      <c r="L103" s="199">
        <v>0.0</v>
      </c>
      <c r="M103" s="173"/>
      <c r="N103" s="199" t="s">
        <v>585</v>
      </c>
      <c r="O103" s="173"/>
      <c r="P103" s="199" t="s">
        <v>585</v>
      </c>
      <c r="Q103" s="173"/>
      <c r="R103" s="199" t="s">
        <v>585</v>
      </c>
      <c r="S103" s="173"/>
      <c r="T103" s="199" t="s">
        <v>585</v>
      </c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</row>
    <row r="104">
      <c r="A104" s="194">
        <v>100.0</v>
      </c>
      <c r="B104" s="196" t="s">
        <v>517</v>
      </c>
      <c r="C104" s="196" t="s">
        <v>422</v>
      </c>
      <c r="D104" s="232" t="s">
        <v>728</v>
      </c>
      <c r="E104" s="233">
        <v>44395.0</v>
      </c>
      <c r="F104" s="234" t="s">
        <v>642</v>
      </c>
      <c r="G104" s="173" t="s">
        <v>194</v>
      </c>
      <c r="H104" s="173">
        <v>1.0</v>
      </c>
      <c r="I104" s="207">
        <v>22.4</v>
      </c>
      <c r="J104" s="199">
        <v>0.0</v>
      </c>
      <c r="K104" s="206">
        <f>vlookup($D104,Python!$D$2:$F$1000,3,FALSE)</f>
        <v>43.5</v>
      </c>
      <c r="L104" s="199">
        <v>0.0</v>
      </c>
      <c r="M104" s="173"/>
      <c r="N104" s="199" t="s">
        <v>585</v>
      </c>
      <c r="O104" s="173"/>
      <c r="P104" s="199" t="s">
        <v>585</v>
      </c>
      <c r="Q104" s="173"/>
      <c r="R104" s="199" t="s">
        <v>585</v>
      </c>
      <c r="S104" s="173"/>
      <c r="T104" s="199" t="s">
        <v>585</v>
      </c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</row>
    <row r="105">
      <c r="A105" s="207">
        <v>101.0</v>
      </c>
      <c r="B105" s="196" t="s">
        <v>517</v>
      </c>
      <c r="C105" s="196" t="s">
        <v>422</v>
      </c>
      <c r="D105" s="232" t="s">
        <v>729</v>
      </c>
      <c r="E105" s="233">
        <v>44396.0</v>
      </c>
      <c r="F105" s="234" t="s">
        <v>642</v>
      </c>
      <c r="G105" s="173" t="s">
        <v>194</v>
      </c>
      <c r="H105" s="173">
        <v>1.0</v>
      </c>
      <c r="I105" s="207">
        <v>203.9</v>
      </c>
      <c r="J105" s="199">
        <v>1000000.0</v>
      </c>
      <c r="K105" s="206">
        <f>vlookup($D105,Python!$D$2:$F$1000,3,FALSE)</f>
        <v>264.1</v>
      </c>
      <c r="L105" s="199">
        <v>0.0</v>
      </c>
      <c r="M105" s="173"/>
      <c r="N105" s="199" t="s">
        <v>585</v>
      </c>
      <c r="O105" s="173"/>
      <c r="P105" s="199" t="s">
        <v>585</v>
      </c>
      <c r="Q105" s="173"/>
      <c r="R105" s="199" t="s">
        <v>585</v>
      </c>
      <c r="S105" s="173"/>
      <c r="T105" s="199" t="s">
        <v>585</v>
      </c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</row>
    <row r="106">
      <c r="A106" s="194">
        <v>102.0</v>
      </c>
      <c r="B106" s="196" t="s">
        <v>517</v>
      </c>
      <c r="C106" s="196" t="s">
        <v>422</v>
      </c>
      <c r="D106" s="232" t="s">
        <v>730</v>
      </c>
      <c r="E106" s="233">
        <v>44397.0</v>
      </c>
      <c r="F106" s="234" t="s">
        <v>642</v>
      </c>
      <c r="G106" s="173" t="s">
        <v>194</v>
      </c>
      <c r="H106" s="173">
        <v>1.0</v>
      </c>
      <c r="I106" s="207">
        <v>27.4</v>
      </c>
      <c r="J106" s="199">
        <v>0.0</v>
      </c>
      <c r="K106" s="206">
        <f>vlookup($D106,Python!$D$2:$F$1000,3,FALSE)</f>
        <v>60.7</v>
      </c>
      <c r="L106" s="199">
        <v>0.0</v>
      </c>
      <c r="M106" s="173"/>
      <c r="N106" s="199" t="s">
        <v>585</v>
      </c>
      <c r="O106" s="173"/>
      <c r="P106" s="199" t="s">
        <v>585</v>
      </c>
      <c r="Q106" s="173"/>
      <c r="R106" s="199" t="s">
        <v>585</v>
      </c>
      <c r="S106" s="173"/>
      <c r="T106" s="199" t="s">
        <v>585</v>
      </c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</row>
    <row r="107">
      <c r="A107" s="194">
        <v>103.0</v>
      </c>
      <c r="B107" s="196" t="s">
        <v>517</v>
      </c>
      <c r="C107" s="196" t="s">
        <v>422</v>
      </c>
      <c r="D107" s="232" t="s">
        <v>731</v>
      </c>
      <c r="E107" s="233">
        <v>44399.0</v>
      </c>
      <c r="F107" s="234" t="s">
        <v>642</v>
      </c>
      <c r="G107" s="173" t="s">
        <v>194</v>
      </c>
      <c r="H107" s="173">
        <v>1.0</v>
      </c>
      <c r="I107" s="207">
        <v>365.8</v>
      </c>
      <c r="J107" s="199">
        <v>1500000.0</v>
      </c>
      <c r="K107" s="206">
        <f>vlookup($D107,Python!$D$2:$F$1000,3,FALSE)</f>
        <v>452.8</v>
      </c>
      <c r="L107" s="199">
        <v>500000.0</v>
      </c>
      <c r="M107" s="173"/>
      <c r="N107" s="199" t="s">
        <v>585</v>
      </c>
      <c r="O107" s="173"/>
      <c r="P107" s="199" t="s">
        <v>585</v>
      </c>
      <c r="Q107" s="173"/>
      <c r="R107" s="199" t="s">
        <v>585</v>
      </c>
      <c r="S107" s="173"/>
      <c r="T107" s="199" t="s">
        <v>585</v>
      </c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</row>
    <row r="108">
      <c r="A108" s="207">
        <v>104.0</v>
      </c>
      <c r="B108" s="196" t="s">
        <v>517</v>
      </c>
      <c r="C108" s="196" t="s">
        <v>422</v>
      </c>
      <c r="D108" s="232" t="s">
        <v>732</v>
      </c>
      <c r="E108" s="233">
        <v>44400.0</v>
      </c>
      <c r="F108" s="234" t="s">
        <v>642</v>
      </c>
      <c r="G108" s="173" t="s">
        <v>194</v>
      </c>
      <c r="H108" s="173">
        <v>1.0</v>
      </c>
      <c r="I108" s="207">
        <v>28.5</v>
      </c>
      <c r="J108" s="199">
        <v>0.0</v>
      </c>
      <c r="K108" s="206">
        <f>vlookup($D108,Python!$D$2:$F$1000,3,FALSE)</f>
        <v>77.6</v>
      </c>
      <c r="L108" s="199">
        <v>0.0</v>
      </c>
      <c r="M108" s="173"/>
      <c r="N108" s="199" t="s">
        <v>585</v>
      </c>
      <c r="O108" s="173"/>
      <c r="P108" s="199" t="s">
        <v>585</v>
      </c>
      <c r="Q108" s="173"/>
      <c r="R108" s="199" t="s">
        <v>585</v>
      </c>
      <c r="S108" s="173"/>
      <c r="T108" s="199" t="s">
        <v>585</v>
      </c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</row>
    <row r="109">
      <c r="A109" s="194">
        <v>105.0</v>
      </c>
      <c r="B109" s="196" t="s">
        <v>517</v>
      </c>
      <c r="C109" s="196" t="s">
        <v>422</v>
      </c>
      <c r="D109" s="232" t="s">
        <v>733</v>
      </c>
      <c r="E109" s="233">
        <v>44401.0</v>
      </c>
      <c r="F109" s="234" t="s">
        <v>642</v>
      </c>
      <c r="G109" s="173" t="s">
        <v>194</v>
      </c>
      <c r="H109" s="173">
        <v>1.0</v>
      </c>
      <c r="I109" s="207">
        <v>306.3</v>
      </c>
      <c r="J109" s="199">
        <v>1500000.0</v>
      </c>
      <c r="K109" s="206">
        <f>vlookup($D109,Python!$D$2:$F$1000,3,FALSE)</f>
        <v>468.8</v>
      </c>
      <c r="L109" s="199">
        <v>500000.0</v>
      </c>
      <c r="M109" s="173"/>
      <c r="N109" s="199" t="s">
        <v>585</v>
      </c>
      <c r="O109" s="173"/>
      <c r="P109" s="199" t="s">
        <v>585</v>
      </c>
      <c r="Q109" s="173"/>
      <c r="R109" s="199" t="s">
        <v>585</v>
      </c>
      <c r="S109" s="173"/>
      <c r="T109" s="199" t="s">
        <v>585</v>
      </c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</row>
    <row r="110">
      <c r="A110" s="194">
        <v>106.0</v>
      </c>
      <c r="B110" s="196" t="s">
        <v>518</v>
      </c>
      <c r="C110" s="196" t="s">
        <v>422</v>
      </c>
      <c r="D110" s="232" t="s">
        <v>734</v>
      </c>
      <c r="E110" s="233">
        <v>44399.0</v>
      </c>
      <c r="F110" s="234" t="s">
        <v>642</v>
      </c>
      <c r="G110" s="173" t="s">
        <v>194</v>
      </c>
      <c r="H110" s="173">
        <v>1.0</v>
      </c>
      <c r="I110" s="207">
        <v>22.0</v>
      </c>
      <c r="J110" s="199">
        <v>0.0</v>
      </c>
      <c r="K110" s="206">
        <f>vlookup($D110,Python!$D$2:$F$1000,3,FALSE)</f>
        <v>51.6</v>
      </c>
      <c r="L110" s="199">
        <v>0.0</v>
      </c>
      <c r="M110" s="173"/>
      <c r="N110" s="199" t="s">
        <v>585</v>
      </c>
      <c r="O110" s="173"/>
      <c r="P110" s="199" t="s">
        <v>585</v>
      </c>
      <c r="Q110" s="173"/>
      <c r="R110" s="199" t="s">
        <v>585</v>
      </c>
      <c r="S110" s="173"/>
      <c r="T110" s="199" t="s">
        <v>585</v>
      </c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</row>
    <row r="111">
      <c r="A111" s="207">
        <v>107.0</v>
      </c>
      <c r="B111" s="196" t="s">
        <v>518</v>
      </c>
      <c r="C111" s="196" t="s">
        <v>422</v>
      </c>
      <c r="D111" s="232" t="s">
        <v>735</v>
      </c>
      <c r="E111" s="233">
        <v>44400.0</v>
      </c>
      <c r="F111" s="234" t="s">
        <v>641</v>
      </c>
      <c r="G111" s="173" t="s">
        <v>194</v>
      </c>
      <c r="H111" s="173">
        <v>1.0</v>
      </c>
      <c r="I111" s="207">
        <v>0.6675</v>
      </c>
      <c r="J111" s="199">
        <v>0.0</v>
      </c>
      <c r="K111" s="206">
        <f>vlookup($D111,Python!$D$2:$F$1000,3,FALSE)</f>
        <v>31.9</v>
      </c>
      <c r="L111" s="199">
        <v>0.0</v>
      </c>
      <c r="M111" s="173"/>
      <c r="N111" s="199" t="s">
        <v>585</v>
      </c>
      <c r="O111" s="173"/>
      <c r="P111" s="199" t="s">
        <v>585</v>
      </c>
      <c r="Q111" s="173"/>
      <c r="R111" s="199" t="s">
        <v>585</v>
      </c>
      <c r="S111" s="173"/>
      <c r="T111" s="199" t="s">
        <v>585</v>
      </c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</row>
    <row r="112">
      <c r="A112" s="194">
        <v>108.0</v>
      </c>
      <c r="B112" s="196" t="s">
        <v>518</v>
      </c>
      <c r="C112" s="196" t="s">
        <v>422</v>
      </c>
      <c r="D112" s="232" t="s">
        <v>736</v>
      </c>
      <c r="E112" s="233">
        <v>44401.0</v>
      </c>
      <c r="F112" s="234" t="s">
        <v>642</v>
      </c>
      <c r="G112" s="173" t="s">
        <v>194</v>
      </c>
      <c r="H112" s="173">
        <v>1.0</v>
      </c>
      <c r="I112" s="207">
        <v>50.9</v>
      </c>
      <c r="J112" s="199">
        <v>0.0</v>
      </c>
      <c r="K112" s="206">
        <f>vlookup($D112,Python!$D$2:$F$1000,3,FALSE)</f>
        <v>133.3</v>
      </c>
      <c r="L112" s="199">
        <v>500000.0</v>
      </c>
      <c r="M112" s="173"/>
      <c r="N112" s="199" t="s">
        <v>585</v>
      </c>
      <c r="O112" s="173"/>
      <c r="P112" s="199" t="s">
        <v>585</v>
      </c>
      <c r="Q112" s="173"/>
      <c r="R112" s="199" t="s">
        <v>585</v>
      </c>
      <c r="S112" s="173"/>
      <c r="T112" s="199" t="s">
        <v>585</v>
      </c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</row>
    <row r="113">
      <c r="A113" s="194">
        <v>109.0</v>
      </c>
      <c r="B113" s="196" t="s">
        <v>519</v>
      </c>
      <c r="C113" s="196" t="s">
        <v>422</v>
      </c>
      <c r="D113" s="232" t="s">
        <v>737</v>
      </c>
      <c r="E113" s="233">
        <v>44398.0</v>
      </c>
      <c r="F113" s="234" t="s">
        <v>642</v>
      </c>
      <c r="G113" s="173" t="s">
        <v>194</v>
      </c>
      <c r="H113" s="173">
        <v>1.0</v>
      </c>
      <c r="I113" s="207">
        <v>125.7</v>
      </c>
      <c r="J113" s="199">
        <v>500000.0</v>
      </c>
      <c r="K113" s="206">
        <f>vlookup($D113,Python!$D$2:$F$1000,3,FALSE)</f>
        <v>197</v>
      </c>
      <c r="L113" s="199">
        <v>0.0</v>
      </c>
      <c r="M113" s="173"/>
      <c r="N113" s="199" t="s">
        <v>585</v>
      </c>
      <c r="O113" s="173"/>
      <c r="P113" s="199" t="s">
        <v>585</v>
      </c>
      <c r="Q113" s="173"/>
      <c r="R113" s="199" t="s">
        <v>585</v>
      </c>
      <c r="S113" s="173"/>
      <c r="T113" s="199" t="s">
        <v>585</v>
      </c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</row>
    <row r="114">
      <c r="A114" s="207">
        <v>110.0</v>
      </c>
      <c r="B114" s="196" t="s">
        <v>520</v>
      </c>
      <c r="C114" s="196" t="s">
        <v>422</v>
      </c>
      <c r="D114" s="232" t="s">
        <v>738</v>
      </c>
      <c r="E114" s="233">
        <v>44395.0</v>
      </c>
      <c r="F114" s="234" t="s">
        <v>642</v>
      </c>
      <c r="G114" s="173" t="s">
        <v>194</v>
      </c>
      <c r="H114" s="173">
        <v>1.0</v>
      </c>
      <c r="I114" s="207">
        <v>617.0</v>
      </c>
      <c r="J114" s="199">
        <v>3000000.0</v>
      </c>
      <c r="K114" s="206">
        <f>vlookup($D114,Python!$D$2:$F$1000,3,FALSE)</f>
        <v>697.7</v>
      </c>
      <c r="L114" s="199">
        <v>0.0</v>
      </c>
      <c r="M114" s="173"/>
      <c r="N114" s="199" t="s">
        <v>585</v>
      </c>
      <c r="O114" s="173"/>
      <c r="P114" s="199" t="s">
        <v>585</v>
      </c>
      <c r="Q114" s="173"/>
      <c r="R114" s="199" t="s">
        <v>585</v>
      </c>
      <c r="S114" s="173"/>
      <c r="T114" s="199" t="s">
        <v>585</v>
      </c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</row>
    <row r="115">
      <c r="A115" s="194">
        <v>111.0</v>
      </c>
      <c r="B115" s="196" t="s">
        <v>520</v>
      </c>
      <c r="C115" s="196" t="s">
        <v>422</v>
      </c>
      <c r="D115" s="232" t="s">
        <v>739</v>
      </c>
      <c r="E115" s="233">
        <v>44396.0</v>
      </c>
      <c r="F115" s="234" t="s">
        <v>642</v>
      </c>
      <c r="G115" s="173" t="s">
        <v>194</v>
      </c>
      <c r="H115" s="173">
        <v>1.0</v>
      </c>
      <c r="I115" s="207">
        <v>1200.0</v>
      </c>
      <c r="J115" s="199">
        <v>6000000.0</v>
      </c>
      <c r="K115" s="206">
        <f>vlookup($D115,Python!$D$2:$F$1000,3,FALSE)</f>
        <v>1300</v>
      </c>
      <c r="L115" s="199">
        <v>500000.0</v>
      </c>
      <c r="M115" s="173"/>
      <c r="N115" s="199" t="s">
        <v>585</v>
      </c>
      <c r="O115" s="173"/>
      <c r="P115" s="199" t="s">
        <v>585</v>
      </c>
      <c r="Q115" s="173"/>
      <c r="R115" s="199" t="s">
        <v>585</v>
      </c>
      <c r="S115" s="173"/>
      <c r="T115" s="199" t="s">
        <v>585</v>
      </c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</row>
    <row r="116">
      <c r="A116" s="194">
        <v>112.0</v>
      </c>
      <c r="B116" s="196" t="s">
        <v>520</v>
      </c>
      <c r="C116" s="196" t="s">
        <v>422</v>
      </c>
      <c r="D116" s="232" t="s">
        <v>740</v>
      </c>
      <c r="E116" s="233">
        <v>44397.0</v>
      </c>
      <c r="F116" s="234" t="s">
        <v>647</v>
      </c>
      <c r="G116" s="173" t="s">
        <v>194</v>
      </c>
      <c r="H116" s="173">
        <v>1.0</v>
      </c>
      <c r="I116" s="207">
        <v>364.0</v>
      </c>
      <c r="J116" s="199">
        <v>1500000.0</v>
      </c>
      <c r="K116" s="206">
        <f>vlookup($D116,Python!$D$2:$F$1000,3,FALSE)</f>
        <v>441.8</v>
      </c>
      <c r="L116" s="199">
        <v>500000.0</v>
      </c>
      <c r="M116" s="173"/>
      <c r="N116" s="199" t="s">
        <v>585</v>
      </c>
      <c r="O116" s="173"/>
      <c r="P116" s="199" t="s">
        <v>585</v>
      </c>
      <c r="Q116" s="173"/>
      <c r="R116" s="199" t="s">
        <v>585</v>
      </c>
      <c r="S116" s="173"/>
      <c r="T116" s="199" t="s">
        <v>585</v>
      </c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</row>
    <row r="117">
      <c r="A117" s="207">
        <v>113.0</v>
      </c>
      <c r="B117" s="196" t="s">
        <v>520</v>
      </c>
      <c r="C117" s="196" t="s">
        <v>422</v>
      </c>
      <c r="D117" s="232" t="s">
        <v>741</v>
      </c>
      <c r="E117" s="233">
        <v>44399.0</v>
      </c>
      <c r="F117" s="234" t="s">
        <v>642</v>
      </c>
      <c r="G117" s="173" t="s">
        <v>194</v>
      </c>
      <c r="H117" s="173">
        <v>1.0</v>
      </c>
      <c r="I117" s="207">
        <v>7100.0</v>
      </c>
      <c r="J117" s="199">
        <v>3.55E7</v>
      </c>
      <c r="K117" s="206">
        <f>vlookup($D117,Python!$D$2:$F$1000,3,FALSE)</f>
        <v>8400</v>
      </c>
      <c r="L117" s="199">
        <v>6500000.0</v>
      </c>
      <c r="M117" s="173"/>
      <c r="N117" s="199" t="s">
        <v>585</v>
      </c>
      <c r="O117" s="173"/>
      <c r="P117" s="199" t="s">
        <v>585</v>
      </c>
      <c r="Q117" s="173"/>
      <c r="R117" s="199" t="s">
        <v>585</v>
      </c>
      <c r="S117" s="173"/>
      <c r="T117" s="199" t="s">
        <v>585</v>
      </c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</row>
    <row r="118">
      <c r="A118" s="194">
        <v>114.0</v>
      </c>
      <c r="B118" s="196" t="s">
        <v>520</v>
      </c>
      <c r="C118" s="196" t="s">
        <v>422</v>
      </c>
      <c r="D118" s="232" t="s">
        <v>742</v>
      </c>
      <c r="E118" s="233">
        <v>44400.0</v>
      </c>
      <c r="F118" s="234" t="s">
        <v>642</v>
      </c>
      <c r="G118" s="173" t="s">
        <v>194</v>
      </c>
      <c r="H118" s="173">
        <v>1.0</v>
      </c>
      <c r="I118" s="207">
        <v>206.0</v>
      </c>
      <c r="J118" s="199">
        <v>1000000.0</v>
      </c>
      <c r="K118" s="206">
        <f>vlookup($D118,Python!$D$2:$F$1000,3,FALSE)</f>
        <v>316.5</v>
      </c>
      <c r="L118" s="199">
        <v>500000.0</v>
      </c>
      <c r="M118" s="173"/>
      <c r="N118" s="199" t="s">
        <v>585</v>
      </c>
      <c r="O118" s="173"/>
      <c r="P118" s="199" t="s">
        <v>585</v>
      </c>
      <c r="Q118" s="173"/>
      <c r="R118" s="199" t="s">
        <v>585</v>
      </c>
      <c r="S118" s="173"/>
      <c r="T118" s="199" t="s">
        <v>585</v>
      </c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</row>
    <row r="119">
      <c r="A119" s="194">
        <v>115.0</v>
      </c>
      <c r="B119" s="196" t="s">
        <v>520</v>
      </c>
      <c r="C119" s="196" t="s">
        <v>422</v>
      </c>
      <c r="D119" s="232" t="s">
        <v>743</v>
      </c>
      <c r="E119" s="233">
        <v>44401.0</v>
      </c>
      <c r="F119" s="234" t="s">
        <v>642</v>
      </c>
      <c r="G119" s="173" t="s">
        <v>194</v>
      </c>
      <c r="H119" s="173">
        <v>1.0</v>
      </c>
      <c r="I119" s="207">
        <v>699.4</v>
      </c>
      <c r="J119" s="199">
        <v>3000000.0</v>
      </c>
      <c r="K119" s="206">
        <f>vlookup($D119,Python!$D$2:$F$1000,3,FALSE)</f>
        <v>900.7</v>
      </c>
      <c r="L119" s="199">
        <v>1500000.0</v>
      </c>
      <c r="M119" s="173"/>
      <c r="N119" s="199" t="s">
        <v>585</v>
      </c>
      <c r="O119" s="173"/>
      <c r="P119" s="199" t="s">
        <v>585</v>
      </c>
      <c r="Q119" s="173"/>
      <c r="R119" s="199" t="s">
        <v>585</v>
      </c>
      <c r="S119" s="173"/>
      <c r="T119" s="199" t="s">
        <v>585</v>
      </c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</row>
    <row r="120">
      <c r="A120" s="207">
        <v>116.0</v>
      </c>
      <c r="B120" s="196" t="s">
        <v>522</v>
      </c>
      <c r="C120" s="196" t="s">
        <v>422</v>
      </c>
      <c r="D120" s="232" t="s">
        <v>744</v>
      </c>
      <c r="E120" s="233">
        <v>44395.0</v>
      </c>
      <c r="F120" s="234" t="s">
        <v>642</v>
      </c>
      <c r="G120" s="173" t="s">
        <v>194</v>
      </c>
      <c r="H120" s="173">
        <v>1.0</v>
      </c>
      <c r="I120" s="207">
        <v>1800.0</v>
      </c>
      <c r="J120" s="199">
        <v>9000000.0</v>
      </c>
      <c r="K120" s="206">
        <f>vlookup($D120,Python!$D$2:$F$1000,3,FALSE)</f>
        <v>2400</v>
      </c>
      <c r="L120" s="199">
        <v>3000000.0</v>
      </c>
      <c r="M120" s="173"/>
      <c r="N120" s="199" t="s">
        <v>585</v>
      </c>
      <c r="O120" s="173"/>
      <c r="P120" s="199" t="s">
        <v>585</v>
      </c>
      <c r="Q120" s="173"/>
      <c r="R120" s="199" t="s">
        <v>585</v>
      </c>
      <c r="S120" s="173"/>
      <c r="T120" s="199" t="s">
        <v>585</v>
      </c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</row>
    <row r="121">
      <c r="A121" s="194">
        <v>117.0</v>
      </c>
      <c r="B121" s="196" t="s">
        <v>522</v>
      </c>
      <c r="C121" s="196" t="s">
        <v>422</v>
      </c>
      <c r="D121" s="232" t="s">
        <v>745</v>
      </c>
      <c r="E121" s="233">
        <v>44397.0</v>
      </c>
      <c r="F121" s="234" t="s">
        <v>642</v>
      </c>
      <c r="G121" s="173" t="s">
        <v>194</v>
      </c>
      <c r="H121" s="173">
        <v>1.0</v>
      </c>
      <c r="I121" s="207">
        <v>2300.0</v>
      </c>
      <c r="J121" s="199">
        <v>1.15E7</v>
      </c>
      <c r="K121" s="206">
        <f>vlookup($D121,Python!$D$2:$F$1000,3,FALSE)</f>
        <v>3000</v>
      </c>
      <c r="L121" s="199">
        <v>3500000.0</v>
      </c>
      <c r="M121" s="173"/>
      <c r="N121" s="199" t="s">
        <v>585</v>
      </c>
      <c r="O121" s="173"/>
      <c r="P121" s="199" t="s">
        <v>585</v>
      </c>
      <c r="Q121" s="173"/>
      <c r="R121" s="199" t="s">
        <v>585</v>
      </c>
      <c r="S121" s="173"/>
      <c r="T121" s="199" t="s">
        <v>585</v>
      </c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</row>
    <row r="122">
      <c r="A122" s="194">
        <v>118.0</v>
      </c>
      <c r="B122" s="196" t="s">
        <v>522</v>
      </c>
      <c r="C122" s="196" t="s">
        <v>422</v>
      </c>
      <c r="D122" s="232" t="s">
        <v>746</v>
      </c>
      <c r="E122" s="233">
        <v>44399.0</v>
      </c>
      <c r="F122" s="234" t="s">
        <v>642</v>
      </c>
      <c r="G122" s="173" t="s">
        <v>194</v>
      </c>
      <c r="H122" s="173">
        <v>1.0</v>
      </c>
      <c r="I122" s="207">
        <v>5800.0</v>
      </c>
      <c r="J122" s="199">
        <v>2.9E7</v>
      </c>
      <c r="K122" s="206">
        <f>vlookup($D122,Python!$D$2:$F$1000,3,FALSE)</f>
        <v>7800</v>
      </c>
      <c r="L122" s="199">
        <v>1.0E7</v>
      </c>
      <c r="M122" s="173"/>
      <c r="N122" s="199" t="s">
        <v>585</v>
      </c>
      <c r="O122" s="173"/>
      <c r="P122" s="199" t="s">
        <v>585</v>
      </c>
      <c r="Q122" s="173"/>
      <c r="R122" s="199" t="s">
        <v>585</v>
      </c>
      <c r="S122" s="173"/>
      <c r="T122" s="199" t="s">
        <v>585</v>
      </c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</row>
    <row r="123">
      <c r="A123" s="207">
        <v>119.0</v>
      </c>
      <c r="B123" s="196" t="s">
        <v>521</v>
      </c>
      <c r="C123" s="196" t="s">
        <v>422</v>
      </c>
      <c r="D123" s="232" t="s">
        <v>747</v>
      </c>
      <c r="E123" s="233">
        <v>44401.0</v>
      </c>
      <c r="F123" s="234" t="s">
        <v>642</v>
      </c>
      <c r="G123" s="173" t="s">
        <v>489</v>
      </c>
      <c r="H123" s="173">
        <v>1.0</v>
      </c>
      <c r="I123" s="207">
        <v>64.7</v>
      </c>
      <c r="J123" s="199">
        <v>0.0</v>
      </c>
      <c r="K123" s="206">
        <f>vlookup($D123,Python!$D$2:$F$1000,3,FALSE)</f>
        <v>107.3</v>
      </c>
      <c r="L123" s="199">
        <v>500000.0</v>
      </c>
      <c r="M123" s="173"/>
      <c r="N123" s="199" t="s">
        <v>585</v>
      </c>
      <c r="O123" s="173"/>
      <c r="P123" s="199" t="s">
        <v>585</v>
      </c>
      <c r="Q123" s="173"/>
      <c r="R123" s="199" t="s">
        <v>585</v>
      </c>
      <c r="S123" s="173"/>
      <c r="T123" s="199" t="s">
        <v>585</v>
      </c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</row>
    <row r="124">
      <c r="A124" s="194">
        <v>120.0</v>
      </c>
      <c r="B124" s="196" t="s">
        <v>523</v>
      </c>
      <c r="C124" s="196" t="s">
        <v>422</v>
      </c>
      <c r="D124" s="232" t="s">
        <v>748</v>
      </c>
      <c r="E124" s="233">
        <v>44400.0</v>
      </c>
      <c r="F124" s="234" t="s">
        <v>642</v>
      </c>
      <c r="G124" s="173" t="s">
        <v>194</v>
      </c>
      <c r="H124" s="173">
        <v>1.0</v>
      </c>
      <c r="I124" s="207">
        <v>41.0</v>
      </c>
      <c r="J124" s="199">
        <v>0.0</v>
      </c>
      <c r="K124" s="206">
        <f>vlookup($D124,Python!$D$2:$F$1000,3,FALSE)</f>
        <v>88.8</v>
      </c>
      <c r="L124" s="199">
        <v>0.0</v>
      </c>
      <c r="M124" s="173"/>
      <c r="N124" s="199" t="s">
        <v>585</v>
      </c>
      <c r="O124" s="173"/>
      <c r="P124" s="199" t="s">
        <v>585</v>
      </c>
      <c r="Q124" s="173"/>
      <c r="R124" s="199" t="s">
        <v>585</v>
      </c>
      <c r="S124" s="173"/>
      <c r="T124" s="199" t="s">
        <v>585</v>
      </c>
      <c r="U124" s="173"/>
      <c r="V124" s="173"/>
      <c r="W124" s="173"/>
      <c r="X124" s="173"/>
      <c r="Y124" s="173"/>
      <c r="Z124" s="173"/>
      <c r="AA124" s="173"/>
      <c r="AB124" s="173"/>
      <c r="AC124" s="173"/>
      <c r="AD124" s="173"/>
      <c r="AE124" s="173"/>
      <c r="AF124" s="173"/>
    </row>
    <row r="125">
      <c r="A125" s="194">
        <v>121.0</v>
      </c>
      <c r="B125" s="196" t="s">
        <v>526</v>
      </c>
      <c r="C125" s="196" t="s">
        <v>418</v>
      </c>
      <c r="D125" s="232" t="s">
        <v>749</v>
      </c>
      <c r="E125" s="233">
        <v>44401.0</v>
      </c>
      <c r="F125" s="234" t="s">
        <v>642</v>
      </c>
      <c r="G125" s="173" t="s">
        <v>194</v>
      </c>
      <c r="H125" s="173">
        <v>1.0</v>
      </c>
      <c r="I125" s="207">
        <v>2.7</v>
      </c>
      <c r="J125" s="199">
        <v>0.0</v>
      </c>
      <c r="K125" s="206" t="str">
        <f>vlookup($D125,Python!$D$2:$F$1000,3,FALSE)</f>
        <v/>
      </c>
      <c r="L125" s="199" t="s">
        <v>585</v>
      </c>
      <c r="M125" s="173"/>
      <c r="N125" s="199" t="s">
        <v>585</v>
      </c>
      <c r="O125" s="173"/>
      <c r="P125" s="199" t="s">
        <v>585</v>
      </c>
      <c r="Q125" s="173"/>
      <c r="R125" s="199" t="s">
        <v>585</v>
      </c>
      <c r="S125" s="173"/>
      <c r="T125" s="199" t="s">
        <v>585</v>
      </c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</row>
    <row r="126">
      <c r="A126" s="207">
        <v>122.0</v>
      </c>
      <c r="B126" s="196" t="s">
        <v>528</v>
      </c>
      <c r="C126" s="196" t="s">
        <v>418</v>
      </c>
      <c r="D126" s="232" t="s">
        <v>750</v>
      </c>
      <c r="E126" s="233">
        <v>44402.0</v>
      </c>
      <c r="F126" s="234" t="s">
        <v>641</v>
      </c>
      <c r="G126" s="173" t="s">
        <v>194</v>
      </c>
      <c r="H126" s="173">
        <v>1.0</v>
      </c>
      <c r="I126" s="207">
        <v>6.5</v>
      </c>
      <c r="J126" s="199">
        <v>0.0</v>
      </c>
      <c r="K126" s="206" t="str">
        <f>vlookup($D126,Python!$D$2:$F$1000,3,FALSE)</f>
        <v/>
      </c>
      <c r="L126" s="199" t="s">
        <v>585</v>
      </c>
      <c r="M126" s="173"/>
      <c r="N126" s="199" t="s">
        <v>585</v>
      </c>
      <c r="O126" s="173"/>
      <c r="P126" s="199" t="s">
        <v>585</v>
      </c>
      <c r="Q126" s="173"/>
      <c r="R126" s="199" t="s">
        <v>585</v>
      </c>
      <c r="S126" s="173"/>
      <c r="T126" s="199" t="s">
        <v>585</v>
      </c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</row>
    <row r="127">
      <c r="A127" s="194">
        <v>123.0</v>
      </c>
      <c r="B127" s="196" t="s">
        <v>500</v>
      </c>
      <c r="C127" s="196" t="s">
        <v>422</v>
      </c>
      <c r="D127" s="232" t="s">
        <v>751</v>
      </c>
      <c r="E127" s="233">
        <v>44393.0</v>
      </c>
      <c r="F127" s="234" t="s">
        <v>641</v>
      </c>
      <c r="G127" s="173" t="s">
        <v>194</v>
      </c>
      <c r="H127" s="173">
        <v>1.0</v>
      </c>
      <c r="I127" s="207">
        <v>68.3</v>
      </c>
      <c r="J127" s="199">
        <v>0.0</v>
      </c>
      <c r="K127" s="206">
        <f>vlookup($D127,Python!$D$2:$F$1000,3,FALSE)</f>
        <v>73.8</v>
      </c>
      <c r="L127" s="199">
        <v>0.0</v>
      </c>
      <c r="M127" s="173"/>
      <c r="N127" s="199" t="s">
        <v>585</v>
      </c>
      <c r="O127" s="173"/>
      <c r="P127" s="199" t="s">
        <v>585</v>
      </c>
      <c r="Q127" s="173"/>
      <c r="R127" s="199" t="s">
        <v>585</v>
      </c>
      <c r="S127" s="173"/>
      <c r="T127" s="199" t="s">
        <v>585</v>
      </c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</row>
    <row r="128">
      <c r="A128" s="194">
        <v>124.0</v>
      </c>
      <c r="B128" s="196" t="s">
        <v>500</v>
      </c>
      <c r="C128" s="196" t="s">
        <v>422</v>
      </c>
      <c r="D128" s="232" t="s">
        <v>752</v>
      </c>
      <c r="E128" s="233">
        <v>44398.0</v>
      </c>
      <c r="F128" s="234" t="s">
        <v>641</v>
      </c>
      <c r="G128" s="173" t="s">
        <v>194</v>
      </c>
      <c r="H128" s="173">
        <v>1.0</v>
      </c>
      <c r="I128" s="207">
        <v>672.3</v>
      </c>
      <c r="J128" s="199">
        <v>3000000.0</v>
      </c>
      <c r="K128" s="206">
        <f>vlookup($D128,Python!$D$2:$F$1000,3,FALSE)</f>
        <v>720.8</v>
      </c>
      <c r="L128" s="199">
        <v>500000.0</v>
      </c>
      <c r="M128" s="173"/>
      <c r="N128" s="199" t="s">
        <v>585</v>
      </c>
      <c r="O128" s="173"/>
      <c r="P128" s="199" t="s">
        <v>585</v>
      </c>
      <c r="Q128" s="173"/>
      <c r="R128" s="199" t="s">
        <v>585</v>
      </c>
      <c r="S128" s="173"/>
      <c r="T128" s="199" t="s">
        <v>585</v>
      </c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</row>
    <row r="129">
      <c r="A129" s="207">
        <v>125.0</v>
      </c>
      <c r="B129" s="213" t="s">
        <v>15</v>
      </c>
      <c r="C129" s="196" t="s">
        <v>422</v>
      </c>
      <c r="D129" s="208" t="s">
        <v>753</v>
      </c>
      <c r="E129" s="209">
        <v>44394.0</v>
      </c>
      <c r="F129" s="210" t="s">
        <v>642</v>
      </c>
      <c r="G129" s="173" t="s">
        <v>21</v>
      </c>
      <c r="H129" s="173">
        <v>1.0</v>
      </c>
      <c r="I129" s="207">
        <v>125.0</v>
      </c>
      <c r="J129" s="199">
        <v>500000.0</v>
      </c>
      <c r="K129" s="206" t="str">
        <f>vlookup($D129,Python!$D$2:$F$1000,3,FALSE)</f>
        <v/>
      </c>
      <c r="L129" s="199" t="s">
        <v>585</v>
      </c>
      <c r="M129" s="173"/>
      <c r="N129" s="199" t="s">
        <v>585</v>
      </c>
      <c r="O129" s="173"/>
      <c r="P129" s="199" t="s">
        <v>585</v>
      </c>
      <c r="Q129" s="173"/>
      <c r="R129" s="199" t="s">
        <v>585</v>
      </c>
      <c r="S129" s="173"/>
      <c r="T129" s="199" t="s">
        <v>585</v>
      </c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</row>
    <row r="130">
      <c r="A130" s="194">
        <v>126.0</v>
      </c>
      <c r="B130" s="195" t="s">
        <v>531</v>
      </c>
      <c r="C130" s="196" t="s">
        <v>422</v>
      </c>
      <c r="D130" s="208" t="s">
        <v>754</v>
      </c>
      <c r="E130" s="209">
        <v>44391.0</v>
      </c>
      <c r="F130" s="210" t="s">
        <v>641</v>
      </c>
      <c r="G130" s="173" t="s">
        <v>21</v>
      </c>
      <c r="H130" s="173">
        <v>1.0</v>
      </c>
      <c r="I130" s="207">
        <v>45.8</v>
      </c>
      <c r="J130" s="199">
        <v>0.0</v>
      </c>
      <c r="K130" s="206">
        <f>vlookup($D130,Python!$D$2:$F$1000,3,FALSE)</f>
        <v>63</v>
      </c>
      <c r="L130" s="199">
        <v>0.0</v>
      </c>
      <c r="M130" s="173"/>
      <c r="N130" s="199" t="s">
        <v>585</v>
      </c>
      <c r="O130" s="173"/>
      <c r="P130" s="199" t="s">
        <v>585</v>
      </c>
      <c r="Q130" s="173"/>
      <c r="R130" s="199" t="s">
        <v>585</v>
      </c>
      <c r="S130" s="173"/>
      <c r="T130" s="199" t="s">
        <v>585</v>
      </c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</row>
    <row r="131">
      <c r="A131" s="194">
        <v>127.0</v>
      </c>
      <c r="B131" s="195" t="s">
        <v>534</v>
      </c>
      <c r="C131" s="196" t="s">
        <v>422</v>
      </c>
      <c r="D131" s="208" t="s">
        <v>755</v>
      </c>
      <c r="E131" s="209">
        <v>44394.0</v>
      </c>
      <c r="F131" s="210" t="s">
        <v>642</v>
      </c>
      <c r="G131" s="173" t="s">
        <v>21</v>
      </c>
      <c r="H131" s="173">
        <v>1.0</v>
      </c>
      <c r="I131" s="207">
        <v>1.5</v>
      </c>
      <c r="J131" s="199">
        <v>0.0</v>
      </c>
      <c r="K131" s="206">
        <f>vlookup($D131,Python!$D$2:$F$1000,3,FALSE)</f>
        <v>2.812</v>
      </c>
      <c r="L131" s="199">
        <v>0.0</v>
      </c>
      <c r="M131" s="173"/>
      <c r="N131" s="199" t="s">
        <v>585</v>
      </c>
      <c r="O131" s="173"/>
      <c r="P131" s="199" t="s">
        <v>585</v>
      </c>
      <c r="Q131" s="173"/>
      <c r="R131" s="199" t="s">
        <v>585</v>
      </c>
      <c r="S131" s="173"/>
      <c r="T131" s="199" t="s">
        <v>585</v>
      </c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</row>
    <row r="132">
      <c r="A132" s="207">
        <v>128.0</v>
      </c>
      <c r="B132" s="195" t="s">
        <v>534</v>
      </c>
      <c r="C132" s="196" t="s">
        <v>418</v>
      </c>
      <c r="D132" s="208" t="s">
        <v>535</v>
      </c>
      <c r="E132" s="209">
        <v>44394.0</v>
      </c>
      <c r="F132" s="210" t="s">
        <v>641</v>
      </c>
      <c r="G132" s="173" t="s">
        <v>21</v>
      </c>
      <c r="H132" s="173">
        <v>1.0</v>
      </c>
      <c r="I132" s="207">
        <v>52.0</v>
      </c>
      <c r="J132" s="199">
        <v>1000000.0</v>
      </c>
      <c r="K132" s="206" t="str">
        <f>vlookup($D132,Python!$D$2:$F$1000,3,FALSE)</f>
        <v/>
      </c>
      <c r="L132" s="199" t="s">
        <v>585</v>
      </c>
      <c r="M132" s="173"/>
      <c r="N132" s="199" t="s">
        <v>585</v>
      </c>
      <c r="O132" s="173"/>
      <c r="P132" s="199" t="s">
        <v>585</v>
      </c>
      <c r="Q132" s="173"/>
      <c r="R132" s="199" t="s">
        <v>585</v>
      </c>
      <c r="S132" s="173"/>
      <c r="T132" s="199" t="s">
        <v>585</v>
      </c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</row>
    <row r="133">
      <c r="A133" s="194">
        <v>129.0</v>
      </c>
      <c r="B133" s="195" t="s">
        <v>539</v>
      </c>
      <c r="C133" s="196" t="s">
        <v>418</v>
      </c>
      <c r="D133" s="232" t="s">
        <v>540</v>
      </c>
      <c r="E133" s="233">
        <v>44394.0</v>
      </c>
      <c r="F133" s="234" t="s">
        <v>647</v>
      </c>
      <c r="G133" s="173" t="s">
        <v>21</v>
      </c>
      <c r="H133" s="173">
        <v>1.0</v>
      </c>
      <c r="I133" s="207">
        <v>54.0</v>
      </c>
      <c r="J133" s="199">
        <v>1000000.0</v>
      </c>
      <c r="K133" s="206" t="str">
        <f>vlookup($D133,Python!$D$2:$F$1000,3,FALSE)</f>
        <v/>
      </c>
      <c r="L133" s="199" t="s">
        <v>585</v>
      </c>
      <c r="M133" s="173"/>
      <c r="N133" s="199" t="s">
        <v>585</v>
      </c>
      <c r="O133" s="173"/>
      <c r="P133" s="199" t="s">
        <v>585</v>
      </c>
      <c r="Q133" s="173"/>
      <c r="R133" s="199" t="s">
        <v>585</v>
      </c>
      <c r="S133" s="173"/>
      <c r="T133" s="199" t="s">
        <v>585</v>
      </c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</row>
    <row r="134">
      <c r="A134" s="194">
        <v>130.0</v>
      </c>
      <c r="B134" s="195" t="s">
        <v>541</v>
      </c>
      <c r="C134" s="196" t="s">
        <v>418</v>
      </c>
      <c r="D134" s="232" t="s">
        <v>542</v>
      </c>
      <c r="E134" s="233">
        <v>44402.0</v>
      </c>
      <c r="F134" s="234" t="s">
        <v>641</v>
      </c>
      <c r="G134" s="173" t="s">
        <v>21</v>
      </c>
      <c r="H134" s="173">
        <v>1.0</v>
      </c>
      <c r="I134" s="207">
        <v>39.0</v>
      </c>
      <c r="J134" s="199">
        <v>0.0</v>
      </c>
      <c r="K134" s="206" t="str">
        <f>vlookup($D134,Python!$D$2:$F$1000,3,FALSE)</f>
        <v/>
      </c>
      <c r="L134" s="199" t="s">
        <v>585</v>
      </c>
      <c r="M134" s="173"/>
      <c r="N134" s="199" t="s">
        <v>585</v>
      </c>
      <c r="O134" s="173"/>
      <c r="P134" s="199" t="s">
        <v>585</v>
      </c>
      <c r="Q134" s="173"/>
      <c r="R134" s="199" t="s">
        <v>585</v>
      </c>
      <c r="S134" s="173"/>
      <c r="T134" s="199" t="s">
        <v>585</v>
      </c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</row>
    <row r="135">
      <c r="A135" s="207">
        <v>131.0</v>
      </c>
      <c r="B135" s="195" t="s">
        <v>543</v>
      </c>
      <c r="C135" s="196" t="s">
        <v>422</v>
      </c>
      <c r="D135" s="208" t="s">
        <v>756</v>
      </c>
      <c r="E135" s="209">
        <v>44391.0</v>
      </c>
      <c r="F135" s="210" t="s">
        <v>642</v>
      </c>
      <c r="G135" s="173" t="s">
        <v>21</v>
      </c>
      <c r="H135" s="173">
        <v>1.0</v>
      </c>
      <c r="I135" s="207">
        <v>15.8</v>
      </c>
      <c r="J135" s="199">
        <v>0.0</v>
      </c>
      <c r="K135" s="206">
        <f>vlookup($D135,Python!$D$2:$F$1000,3,FALSE)</f>
        <v>15.9</v>
      </c>
      <c r="L135" s="199">
        <v>0.0</v>
      </c>
      <c r="M135" s="173"/>
      <c r="N135" s="199" t="s">
        <v>585</v>
      </c>
      <c r="O135" s="173"/>
      <c r="P135" s="199" t="s">
        <v>585</v>
      </c>
      <c r="Q135" s="173"/>
      <c r="R135" s="199" t="s">
        <v>585</v>
      </c>
      <c r="S135" s="173"/>
      <c r="T135" s="199" t="s">
        <v>585</v>
      </c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</row>
    <row r="136">
      <c r="A136" s="194">
        <v>132.0</v>
      </c>
      <c r="B136" s="195" t="s">
        <v>546</v>
      </c>
      <c r="C136" s="196" t="s">
        <v>418</v>
      </c>
      <c r="D136" s="208" t="s">
        <v>547</v>
      </c>
      <c r="E136" s="233">
        <v>44399.0</v>
      </c>
      <c r="F136" s="234" t="s">
        <v>647</v>
      </c>
      <c r="G136" s="173" t="s">
        <v>21</v>
      </c>
      <c r="H136" s="173">
        <v>1.0</v>
      </c>
      <c r="I136" s="207">
        <v>0.8</v>
      </c>
      <c r="J136" s="199">
        <v>0.0</v>
      </c>
      <c r="K136" s="206" t="str">
        <f>vlookup($D136,Python!$D$2:$F$1000,3,FALSE)</f>
        <v/>
      </c>
      <c r="L136" s="199" t="s">
        <v>585</v>
      </c>
      <c r="M136" s="173"/>
      <c r="N136" s="199" t="s">
        <v>585</v>
      </c>
      <c r="O136" s="173"/>
      <c r="P136" s="199" t="s">
        <v>585</v>
      </c>
      <c r="Q136" s="173"/>
      <c r="R136" s="199" t="s">
        <v>585</v>
      </c>
      <c r="S136" s="173"/>
      <c r="T136" s="199" t="s">
        <v>585</v>
      </c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</row>
    <row r="137">
      <c r="A137" s="194">
        <v>133.0</v>
      </c>
      <c r="B137" s="195" t="s">
        <v>546</v>
      </c>
      <c r="C137" s="196" t="s">
        <v>510</v>
      </c>
      <c r="D137" s="232" t="s">
        <v>548</v>
      </c>
      <c r="E137" s="233">
        <v>44400.0</v>
      </c>
      <c r="F137" s="234" t="s">
        <v>647</v>
      </c>
      <c r="G137" s="173" t="s">
        <v>21</v>
      </c>
      <c r="H137" s="173">
        <v>1.0</v>
      </c>
      <c r="I137" s="207">
        <v>1.0</v>
      </c>
      <c r="J137" s="199">
        <v>0.0</v>
      </c>
      <c r="K137" s="206">
        <f>vlookup($D137,Python!$D$2:$F$1000,3,FALSE)</f>
        <v>1.494</v>
      </c>
      <c r="L137" s="199">
        <v>0.0</v>
      </c>
      <c r="M137" s="173"/>
      <c r="N137" s="199" t="s">
        <v>585</v>
      </c>
      <c r="O137" s="173"/>
      <c r="P137" s="199" t="s">
        <v>585</v>
      </c>
      <c r="Q137" s="173"/>
      <c r="R137" s="199" t="s">
        <v>585</v>
      </c>
      <c r="S137" s="173"/>
      <c r="T137" s="199" t="s">
        <v>585</v>
      </c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</row>
    <row r="138">
      <c r="A138" s="207">
        <v>134.0</v>
      </c>
      <c r="B138" s="195" t="s">
        <v>549</v>
      </c>
      <c r="C138" s="196" t="s">
        <v>422</v>
      </c>
      <c r="D138" s="208" t="s">
        <v>757</v>
      </c>
      <c r="E138" s="209">
        <v>44398.0</v>
      </c>
      <c r="F138" s="210" t="s">
        <v>642</v>
      </c>
      <c r="G138" s="173" t="s">
        <v>21</v>
      </c>
      <c r="H138" s="173">
        <v>1.0</v>
      </c>
      <c r="I138" s="207">
        <v>1600.0</v>
      </c>
      <c r="J138" s="199">
        <v>8000000.0</v>
      </c>
      <c r="K138" s="206">
        <f>vlookup($D138,Python!$D$2:$F$1000,3,FALSE)</f>
        <v>1700</v>
      </c>
      <c r="L138" s="199">
        <v>500000.0</v>
      </c>
      <c r="M138" s="173"/>
      <c r="N138" s="199" t="s">
        <v>585</v>
      </c>
      <c r="O138" s="173"/>
      <c r="P138" s="199" t="s">
        <v>585</v>
      </c>
      <c r="Q138" s="173"/>
      <c r="R138" s="199" t="s">
        <v>585</v>
      </c>
      <c r="S138" s="173"/>
      <c r="T138" s="199" t="s">
        <v>585</v>
      </c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</row>
    <row r="139">
      <c r="A139" s="194">
        <v>135.0</v>
      </c>
      <c r="B139" s="195" t="s">
        <v>553</v>
      </c>
      <c r="C139" s="196" t="s">
        <v>422</v>
      </c>
      <c r="D139" s="208" t="s">
        <v>758</v>
      </c>
      <c r="E139" s="209">
        <v>44401.0</v>
      </c>
      <c r="F139" s="210" t="s">
        <v>642</v>
      </c>
      <c r="G139" s="173" t="s">
        <v>21</v>
      </c>
      <c r="H139" s="173">
        <v>1.0</v>
      </c>
      <c r="I139" s="207">
        <v>77.0</v>
      </c>
      <c r="J139" s="199">
        <v>0.0</v>
      </c>
      <c r="K139" s="206">
        <f>vlookup($D139,Python!$D$2:$F$1000,3,FALSE)</f>
        <v>124</v>
      </c>
      <c r="L139" s="199">
        <v>500000.0</v>
      </c>
      <c r="M139" s="173"/>
      <c r="N139" s="199" t="s">
        <v>585</v>
      </c>
      <c r="O139" s="173"/>
      <c r="P139" s="173" t="s">
        <v>585</v>
      </c>
      <c r="Q139" s="173"/>
      <c r="R139" s="173" t="s">
        <v>585</v>
      </c>
      <c r="S139" s="173"/>
      <c r="T139" s="173" t="s">
        <v>585</v>
      </c>
      <c r="U139" s="173"/>
      <c r="V139" s="173"/>
      <c r="W139" s="173"/>
      <c r="X139" s="173"/>
      <c r="Y139" s="173"/>
      <c r="Z139" s="173"/>
      <c r="AA139" s="173"/>
      <c r="AB139" s="173"/>
      <c r="AC139" s="173"/>
      <c r="AD139" s="173"/>
      <c r="AE139" s="173"/>
      <c r="AF139" s="173"/>
    </row>
    <row r="140">
      <c r="A140" s="194">
        <v>136.0</v>
      </c>
      <c r="B140" s="195" t="s">
        <v>555</v>
      </c>
      <c r="C140" s="196" t="s">
        <v>418</v>
      </c>
      <c r="D140" s="232" t="s">
        <v>556</v>
      </c>
      <c r="E140" s="233">
        <v>44402.0</v>
      </c>
      <c r="F140" s="234" t="s">
        <v>647</v>
      </c>
      <c r="G140" s="173" t="s">
        <v>21</v>
      </c>
      <c r="H140" s="173">
        <v>1.0</v>
      </c>
      <c r="I140" s="207">
        <v>5.5</v>
      </c>
      <c r="J140" s="199">
        <v>0.0</v>
      </c>
      <c r="K140" s="206" t="str">
        <f>vlookup($D140,Python!$D$2:$F$1000,3,FALSE)</f>
        <v/>
      </c>
      <c r="L140" s="199" t="s">
        <v>585</v>
      </c>
      <c r="M140" s="173"/>
      <c r="N140" s="199" t="s">
        <v>585</v>
      </c>
      <c r="O140" s="173"/>
      <c r="P140" s="173" t="s">
        <v>585</v>
      </c>
      <c r="Q140" s="173"/>
      <c r="R140" s="173" t="s">
        <v>585</v>
      </c>
      <c r="S140" s="173"/>
      <c r="T140" s="173" t="s">
        <v>585</v>
      </c>
      <c r="U140" s="173"/>
      <c r="V140" s="173"/>
      <c r="W140" s="173"/>
      <c r="X140" s="173"/>
      <c r="Y140" s="173"/>
      <c r="Z140" s="173"/>
      <c r="AA140" s="173"/>
      <c r="AB140" s="173"/>
      <c r="AC140" s="173"/>
      <c r="AD140" s="173"/>
      <c r="AE140" s="173"/>
      <c r="AF140" s="173"/>
    </row>
    <row r="141">
      <c r="A141" s="207">
        <v>137.0</v>
      </c>
      <c r="B141" s="195" t="s">
        <v>557</v>
      </c>
      <c r="C141" s="196" t="s">
        <v>418</v>
      </c>
      <c r="D141" s="208" t="s">
        <v>558</v>
      </c>
      <c r="E141" s="209"/>
      <c r="F141" s="210" t="s">
        <v>647</v>
      </c>
      <c r="G141" s="173" t="s">
        <v>21</v>
      </c>
      <c r="H141" s="173">
        <v>1.0</v>
      </c>
      <c r="I141" s="207">
        <v>3.2</v>
      </c>
      <c r="J141" s="199">
        <v>0.0</v>
      </c>
      <c r="K141" s="206" t="str">
        <f>vlookup($D141,Python!$D$2:$F$1000,3,FALSE)</f>
        <v/>
      </c>
      <c r="L141" s="199" t="s">
        <v>585</v>
      </c>
      <c r="M141" s="173"/>
      <c r="N141" s="199" t="s">
        <v>585</v>
      </c>
      <c r="O141" s="173"/>
      <c r="P141" s="173" t="s">
        <v>585</v>
      </c>
      <c r="Q141" s="173"/>
      <c r="R141" s="173" t="s">
        <v>585</v>
      </c>
      <c r="S141" s="173"/>
      <c r="T141" s="173" t="s">
        <v>585</v>
      </c>
      <c r="U141" s="173"/>
      <c r="V141" s="173"/>
      <c r="W141" s="173"/>
      <c r="X141" s="173"/>
      <c r="Y141" s="173"/>
      <c r="Z141" s="173"/>
      <c r="AA141" s="173"/>
      <c r="AB141" s="173"/>
      <c r="AC141" s="173"/>
      <c r="AD141" s="173"/>
      <c r="AE141" s="173"/>
      <c r="AF141" s="173"/>
    </row>
    <row r="142">
      <c r="A142" s="194">
        <v>138.0</v>
      </c>
      <c r="B142" s="195" t="s">
        <v>559</v>
      </c>
      <c r="C142" s="196" t="s">
        <v>422</v>
      </c>
      <c r="D142" s="208" t="s">
        <v>759</v>
      </c>
      <c r="E142" s="209">
        <v>44399.0</v>
      </c>
      <c r="F142" s="210" t="s">
        <v>642</v>
      </c>
      <c r="G142" s="173" t="s">
        <v>21</v>
      </c>
      <c r="H142" s="173">
        <v>1.0</v>
      </c>
      <c r="I142" s="207">
        <v>4300.0</v>
      </c>
      <c r="J142" s="199">
        <v>2.15E7</v>
      </c>
      <c r="K142" s="206">
        <f>vlookup($D142,Python!$D$2:$F$1000,3,FALSE)</f>
        <v>5800</v>
      </c>
      <c r="L142" s="199">
        <v>7500000.0</v>
      </c>
      <c r="M142" s="173"/>
      <c r="N142" s="199" t="s">
        <v>585</v>
      </c>
      <c r="O142" s="173"/>
      <c r="P142" s="173" t="s">
        <v>585</v>
      </c>
      <c r="Q142" s="173"/>
      <c r="R142" s="173" t="s">
        <v>585</v>
      </c>
      <c r="S142" s="173"/>
      <c r="T142" s="173" t="s">
        <v>585</v>
      </c>
      <c r="U142" s="173"/>
      <c r="V142" s="173"/>
      <c r="W142" s="173"/>
      <c r="X142" s="173"/>
      <c r="Y142" s="173"/>
      <c r="Z142" s="173"/>
      <c r="AA142" s="173"/>
      <c r="AB142" s="173"/>
      <c r="AC142" s="173"/>
      <c r="AD142" s="173"/>
      <c r="AE142" s="173"/>
      <c r="AF142" s="173"/>
    </row>
    <row r="143">
      <c r="A143" s="194">
        <v>139.0</v>
      </c>
      <c r="B143" s="195" t="s">
        <v>561</v>
      </c>
      <c r="C143" s="196" t="s">
        <v>422</v>
      </c>
      <c r="D143" s="208" t="s">
        <v>760</v>
      </c>
      <c r="E143" s="209">
        <v>44401.0</v>
      </c>
      <c r="F143" s="210" t="s">
        <v>647</v>
      </c>
      <c r="G143" s="173" t="s">
        <v>21</v>
      </c>
      <c r="H143" s="173">
        <v>1.0</v>
      </c>
      <c r="I143" s="207">
        <v>101.0</v>
      </c>
      <c r="J143" s="199">
        <v>500000.0</v>
      </c>
      <c r="K143" s="206">
        <f>vlookup($D143,Python!$D$2:$F$1000,3,FALSE)</f>
        <v>213.1</v>
      </c>
      <c r="L143" s="199">
        <v>500000.0</v>
      </c>
      <c r="M143" s="173"/>
      <c r="N143" s="199" t="s">
        <v>585</v>
      </c>
      <c r="O143" s="173"/>
      <c r="P143" s="173" t="s">
        <v>585</v>
      </c>
      <c r="Q143" s="173"/>
      <c r="R143" s="173" t="s">
        <v>585</v>
      </c>
      <c r="S143" s="173"/>
      <c r="T143" s="173" t="s">
        <v>585</v>
      </c>
      <c r="U143" s="173"/>
      <c r="V143" s="173"/>
      <c r="W143" s="173"/>
      <c r="X143" s="173"/>
      <c r="Y143" s="173"/>
      <c r="Z143" s="173"/>
      <c r="AA143" s="173"/>
      <c r="AB143" s="173"/>
      <c r="AC143" s="173"/>
      <c r="AD143" s="173"/>
      <c r="AE143" s="173"/>
      <c r="AF143" s="173"/>
    </row>
    <row r="144">
      <c r="A144" s="207">
        <v>140.0</v>
      </c>
      <c r="B144" s="195" t="s">
        <v>563</v>
      </c>
      <c r="C144" s="196" t="s">
        <v>422</v>
      </c>
      <c r="D144" s="208" t="s">
        <v>761</v>
      </c>
      <c r="E144" s="209">
        <v>44399.0</v>
      </c>
      <c r="F144" s="210" t="s">
        <v>642</v>
      </c>
      <c r="G144" s="173" t="s">
        <v>21</v>
      </c>
      <c r="H144" s="173">
        <v>1.0</v>
      </c>
      <c r="I144" s="207">
        <v>1900.0</v>
      </c>
      <c r="J144" s="199">
        <v>9500000.0</v>
      </c>
      <c r="K144" s="206">
        <f>vlookup($D144,Python!$D$2:$F$1000,3,FALSE)</f>
        <v>2500</v>
      </c>
      <c r="L144" s="199">
        <v>3000000.0</v>
      </c>
      <c r="M144" s="173"/>
      <c r="N144" s="199" t="s">
        <v>585</v>
      </c>
      <c r="O144" s="173"/>
      <c r="P144" s="173" t="s">
        <v>585</v>
      </c>
      <c r="Q144" s="173"/>
      <c r="R144" s="173" t="s">
        <v>585</v>
      </c>
      <c r="S144" s="173"/>
      <c r="T144" s="173" t="s">
        <v>585</v>
      </c>
      <c r="U144" s="173"/>
      <c r="V144" s="173"/>
      <c r="W144" s="173"/>
      <c r="X144" s="173"/>
      <c r="Y144" s="173"/>
      <c r="Z144" s="173"/>
      <c r="AA144" s="173"/>
      <c r="AB144" s="173"/>
      <c r="AC144" s="173"/>
      <c r="AD144" s="173"/>
      <c r="AE144" s="173"/>
      <c r="AF144" s="173"/>
    </row>
    <row r="145">
      <c r="A145" s="194">
        <v>141.0</v>
      </c>
      <c r="B145" s="195" t="s">
        <v>563</v>
      </c>
      <c r="C145" s="196" t="s">
        <v>422</v>
      </c>
      <c r="D145" s="208" t="s">
        <v>564</v>
      </c>
      <c r="E145" s="209">
        <v>44401.0</v>
      </c>
      <c r="F145" s="210" t="s">
        <v>642</v>
      </c>
      <c r="G145" s="173" t="s">
        <v>21</v>
      </c>
      <c r="H145" s="173">
        <v>1.0</v>
      </c>
      <c r="I145" s="207">
        <v>1400.0</v>
      </c>
      <c r="J145" s="199">
        <v>7000000.0</v>
      </c>
      <c r="K145" s="206">
        <f>vlookup($D145,Python!$D$2:$F$1000,3,FALSE)</f>
        <v>1800</v>
      </c>
      <c r="L145" s="199">
        <v>2000000.0</v>
      </c>
      <c r="M145" s="173"/>
      <c r="N145" s="199" t="s">
        <v>585</v>
      </c>
      <c r="O145" s="173"/>
      <c r="P145" s="173" t="s">
        <v>585</v>
      </c>
      <c r="Q145" s="173"/>
      <c r="R145" s="173" t="s">
        <v>585</v>
      </c>
      <c r="S145" s="173"/>
      <c r="T145" s="173" t="s">
        <v>585</v>
      </c>
      <c r="U145" s="173"/>
      <c r="V145" s="173"/>
      <c r="W145" s="173"/>
      <c r="X145" s="173"/>
      <c r="Y145" s="173"/>
      <c r="Z145" s="173"/>
      <c r="AA145" s="173"/>
      <c r="AB145" s="173"/>
      <c r="AC145" s="173"/>
      <c r="AD145" s="173"/>
      <c r="AE145" s="173"/>
      <c r="AF145" s="173"/>
    </row>
    <row r="146">
      <c r="A146" s="194">
        <v>142.0</v>
      </c>
      <c r="B146" s="195" t="s">
        <v>565</v>
      </c>
      <c r="C146" s="196" t="s">
        <v>422</v>
      </c>
      <c r="D146" s="208" t="s">
        <v>762</v>
      </c>
      <c r="E146" s="209">
        <v>44401.0</v>
      </c>
      <c r="F146" s="210" t="s">
        <v>642</v>
      </c>
      <c r="G146" s="173" t="s">
        <v>21</v>
      </c>
      <c r="H146" s="173">
        <v>1.0</v>
      </c>
      <c r="I146" s="207">
        <v>40.5</v>
      </c>
      <c r="J146" s="199">
        <v>0.0</v>
      </c>
      <c r="K146" s="206">
        <f>vlookup($D146,Python!$D$2:$F$1000,3,FALSE)</f>
        <v>44.3</v>
      </c>
      <c r="L146" s="199">
        <v>0.0</v>
      </c>
      <c r="M146" s="173"/>
      <c r="N146" s="199" t="s">
        <v>585</v>
      </c>
      <c r="O146" s="173"/>
      <c r="P146" s="173" t="s">
        <v>585</v>
      </c>
      <c r="Q146" s="173"/>
      <c r="R146" s="173" t="s">
        <v>585</v>
      </c>
      <c r="S146" s="173"/>
      <c r="T146" s="173" t="s">
        <v>585</v>
      </c>
      <c r="U146" s="173"/>
      <c r="V146" s="173"/>
      <c r="W146" s="173"/>
      <c r="X146" s="173"/>
      <c r="Y146" s="173"/>
      <c r="Z146" s="173"/>
      <c r="AA146" s="173"/>
      <c r="AB146" s="173"/>
      <c r="AC146" s="173"/>
      <c r="AD146" s="173"/>
      <c r="AE146" s="173"/>
      <c r="AF146" s="173"/>
    </row>
    <row r="147">
      <c r="A147" s="207">
        <v>143.0</v>
      </c>
      <c r="B147" s="195" t="s">
        <v>567</v>
      </c>
      <c r="C147" s="196" t="s">
        <v>422</v>
      </c>
      <c r="D147" s="208" t="s">
        <v>763</v>
      </c>
      <c r="E147" s="209">
        <v>44400.0</v>
      </c>
      <c r="F147" s="210" t="s">
        <v>642</v>
      </c>
      <c r="G147" s="173" t="s">
        <v>21</v>
      </c>
      <c r="H147" s="173">
        <v>1.0</v>
      </c>
      <c r="I147" s="207">
        <v>1500.0</v>
      </c>
      <c r="J147" s="199">
        <v>7500000.0</v>
      </c>
      <c r="K147" s="206">
        <f>vlookup($D147,Python!$D$2:$F$1000,3,FALSE)</f>
        <v>1900</v>
      </c>
      <c r="L147" s="199">
        <v>2000000.0</v>
      </c>
      <c r="M147" s="173"/>
      <c r="N147" s="199" t="s">
        <v>585</v>
      </c>
      <c r="O147" s="173"/>
      <c r="P147" s="173" t="s">
        <v>585</v>
      </c>
      <c r="Q147" s="173"/>
      <c r="R147" s="173" t="s">
        <v>585</v>
      </c>
      <c r="S147" s="173"/>
      <c r="T147" s="173" t="s">
        <v>585</v>
      </c>
      <c r="U147" s="173"/>
      <c r="V147" s="173"/>
      <c r="W147" s="173"/>
      <c r="X147" s="173"/>
      <c r="Y147" s="173"/>
      <c r="Z147" s="173"/>
      <c r="AA147" s="173"/>
      <c r="AB147" s="173"/>
      <c r="AC147" s="173"/>
      <c r="AD147" s="173"/>
      <c r="AE147" s="173"/>
      <c r="AF147" s="173"/>
    </row>
    <row r="148">
      <c r="A148" s="194">
        <v>144.0</v>
      </c>
      <c r="B148" s="195" t="s">
        <v>567</v>
      </c>
      <c r="C148" s="196" t="s">
        <v>422</v>
      </c>
      <c r="D148" s="208" t="s">
        <v>764</v>
      </c>
      <c r="E148" s="209">
        <v>44402.0</v>
      </c>
      <c r="F148" s="210" t="s">
        <v>642</v>
      </c>
      <c r="G148" s="173" t="s">
        <v>21</v>
      </c>
      <c r="H148" s="173">
        <v>1.0</v>
      </c>
      <c r="I148" s="207">
        <v>760.0</v>
      </c>
      <c r="J148" s="199">
        <v>3500000.0</v>
      </c>
      <c r="K148" s="206">
        <f>vlookup($D148,Python!$D$2:$F$1000,3,FALSE)</f>
        <v>1800</v>
      </c>
      <c r="L148" s="199">
        <v>5500000.0</v>
      </c>
      <c r="M148" s="173"/>
      <c r="N148" s="199" t="s">
        <v>585</v>
      </c>
      <c r="O148" s="173"/>
      <c r="P148" s="173" t="s">
        <v>585</v>
      </c>
      <c r="Q148" s="173"/>
      <c r="R148" s="173" t="s">
        <v>585</v>
      </c>
      <c r="S148" s="173"/>
      <c r="T148" s="173" t="s">
        <v>585</v>
      </c>
      <c r="U148" s="173"/>
      <c r="V148" s="173"/>
      <c r="W148" s="173"/>
      <c r="X148" s="173"/>
      <c r="Y148" s="173"/>
      <c r="Z148" s="173"/>
      <c r="AA148" s="173"/>
      <c r="AB148" s="173"/>
      <c r="AC148" s="173"/>
      <c r="AD148" s="173"/>
      <c r="AE148" s="173"/>
      <c r="AF148" s="173"/>
    </row>
    <row r="149">
      <c r="A149" s="194">
        <v>145.0</v>
      </c>
      <c r="B149" s="195" t="s">
        <v>569</v>
      </c>
      <c r="C149" s="196" t="s">
        <v>422</v>
      </c>
      <c r="D149" s="208" t="s">
        <v>765</v>
      </c>
      <c r="E149" s="209">
        <v>44401.0</v>
      </c>
      <c r="F149" s="210" t="s">
        <v>642</v>
      </c>
      <c r="G149" s="173" t="s">
        <v>21</v>
      </c>
      <c r="H149" s="173">
        <v>1.0</v>
      </c>
      <c r="I149" s="207">
        <v>85.1</v>
      </c>
      <c r="J149" s="199">
        <v>0.0</v>
      </c>
      <c r="K149" s="206">
        <f>vlookup($D149,Python!$D$2:$F$1000,3,FALSE)</f>
        <v>126.1</v>
      </c>
      <c r="L149" s="199">
        <v>500000.0</v>
      </c>
      <c r="M149" s="173"/>
      <c r="N149" s="199" t="s">
        <v>585</v>
      </c>
      <c r="O149" s="173"/>
      <c r="P149" s="173" t="s">
        <v>585</v>
      </c>
      <c r="Q149" s="173"/>
      <c r="R149" s="173" t="s">
        <v>585</v>
      </c>
      <c r="S149" s="173"/>
      <c r="T149" s="173" t="s">
        <v>585</v>
      </c>
      <c r="U149" s="173"/>
      <c r="V149" s="173"/>
      <c r="W149" s="173"/>
      <c r="X149" s="173"/>
      <c r="Y149" s="173"/>
      <c r="Z149" s="173"/>
      <c r="AA149" s="173"/>
      <c r="AB149" s="173"/>
      <c r="AC149" s="173"/>
      <c r="AD149" s="173"/>
      <c r="AE149" s="173"/>
      <c r="AF149" s="173"/>
    </row>
    <row r="150">
      <c r="A150" s="194">
        <v>147.0</v>
      </c>
      <c r="B150" s="195" t="s">
        <v>573</v>
      </c>
      <c r="C150" s="196" t="s">
        <v>422</v>
      </c>
      <c r="D150" s="208" t="s">
        <v>766</v>
      </c>
      <c r="E150" s="209">
        <v>44402.0</v>
      </c>
      <c r="F150" s="210" t="s">
        <v>642</v>
      </c>
      <c r="G150" s="173" t="s">
        <v>21</v>
      </c>
      <c r="H150" s="173">
        <v>1.0</v>
      </c>
      <c r="I150" s="207">
        <v>4.1</v>
      </c>
      <c r="J150" s="199">
        <v>0.0</v>
      </c>
      <c r="K150" s="206">
        <f>vlookup($D150,Python!$D$2:$F$1000,3,FALSE)</f>
        <v>11.4</v>
      </c>
      <c r="L150" s="199">
        <v>0.0</v>
      </c>
      <c r="M150" s="173"/>
      <c r="N150" s="199" t="s">
        <v>585</v>
      </c>
      <c r="O150" s="173"/>
      <c r="P150" s="173" t="s">
        <v>585</v>
      </c>
      <c r="Q150" s="173"/>
      <c r="R150" s="173" t="s">
        <v>585</v>
      </c>
      <c r="S150" s="173"/>
      <c r="T150" s="173" t="s">
        <v>585</v>
      </c>
      <c r="U150" s="173"/>
      <c r="V150" s="173"/>
      <c r="W150" s="173"/>
      <c r="X150" s="173"/>
      <c r="Y150" s="173"/>
      <c r="Z150" s="173"/>
      <c r="AA150" s="173"/>
      <c r="AB150" s="173"/>
      <c r="AC150" s="173"/>
      <c r="AD150" s="173"/>
      <c r="AE150" s="173"/>
      <c r="AF150" s="173"/>
    </row>
    <row r="151">
      <c r="A151" s="194">
        <v>148.0</v>
      </c>
      <c r="B151" s="195" t="s">
        <v>575</v>
      </c>
      <c r="C151" s="196" t="s">
        <v>422</v>
      </c>
      <c r="D151" s="208" t="s">
        <v>767</v>
      </c>
      <c r="E151" s="209">
        <v>44404.0</v>
      </c>
      <c r="F151" s="210" t="s">
        <v>642</v>
      </c>
      <c r="G151" s="173" t="s">
        <v>21</v>
      </c>
      <c r="H151" s="173">
        <v>1.0</v>
      </c>
      <c r="I151" s="207">
        <v>12.8</v>
      </c>
      <c r="J151" s="199">
        <v>0.0</v>
      </c>
      <c r="K151" s="206">
        <f>vlookup($D151,Python!$D$2:$F$1000,3,FALSE)</f>
        <v>42.1</v>
      </c>
      <c r="L151" s="199">
        <v>0.0</v>
      </c>
      <c r="M151" s="173"/>
      <c r="N151" s="199" t="s">
        <v>585</v>
      </c>
      <c r="O151" s="173"/>
      <c r="P151" s="173" t="s">
        <v>585</v>
      </c>
      <c r="Q151" s="173"/>
      <c r="R151" s="173" t="s">
        <v>585</v>
      </c>
      <c r="S151" s="173"/>
      <c r="T151" s="173" t="s">
        <v>585</v>
      </c>
      <c r="U151" s="173"/>
      <c r="V151" s="173"/>
      <c r="W151" s="173"/>
      <c r="X151" s="173"/>
      <c r="Y151" s="173"/>
      <c r="Z151" s="173"/>
      <c r="AA151" s="173"/>
      <c r="AB151" s="173"/>
      <c r="AC151" s="173"/>
      <c r="AD151" s="173"/>
      <c r="AE151" s="173"/>
      <c r="AF151" s="173"/>
    </row>
    <row r="152">
      <c r="A152" s="207">
        <v>149.0</v>
      </c>
      <c r="B152" s="213" t="s">
        <v>577</v>
      </c>
      <c r="C152" s="214" t="s">
        <v>422</v>
      </c>
      <c r="D152" s="215" t="s">
        <v>768</v>
      </c>
      <c r="E152" s="217"/>
      <c r="F152" s="217"/>
      <c r="G152" s="218" t="s">
        <v>21</v>
      </c>
      <c r="H152" s="218">
        <v>1.0</v>
      </c>
      <c r="I152" s="219">
        <v>15.3</v>
      </c>
      <c r="J152" s="220">
        <v>0.0</v>
      </c>
      <c r="K152" s="221" t="str">
        <f>vlookup($D152,Python!$D$2:$F$1000,3,FALSE)</f>
        <v/>
      </c>
      <c r="L152" s="220" t="s">
        <v>585</v>
      </c>
      <c r="M152" s="222"/>
      <c r="N152" s="220" t="s">
        <v>585</v>
      </c>
      <c r="O152" s="222"/>
      <c r="P152" s="218" t="s">
        <v>585</v>
      </c>
      <c r="Q152" s="222"/>
      <c r="R152" s="218" t="s">
        <v>585</v>
      </c>
      <c r="S152" s="222"/>
      <c r="T152" s="218" t="s">
        <v>585</v>
      </c>
      <c r="U152" s="222"/>
      <c r="V152" s="222"/>
      <c r="W152" s="222"/>
      <c r="X152" s="222"/>
      <c r="Y152" s="222"/>
      <c r="Z152" s="222"/>
      <c r="AA152" s="222"/>
      <c r="AB152" s="222"/>
      <c r="AC152" s="222"/>
      <c r="AD152" s="222"/>
      <c r="AE152" s="222"/>
      <c r="AF152" s="222"/>
    </row>
    <row r="153">
      <c r="A153" s="194">
        <v>150.0</v>
      </c>
      <c r="B153" s="195" t="s">
        <v>577</v>
      </c>
      <c r="C153" s="196" t="s">
        <v>422</v>
      </c>
      <c r="D153" s="208" t="s">
        <v>769</v>
      </c>
      <c r="E153" s="209">
        <v>44435.0</v>
      </c>
      <c r="F153" s="210" t="s">
        <v>642</v>
      </c>
      <c r="G153" s="173" t="s">
        <v>21</v>
      </c>
      <c r="H153" s="173">
        <v>1.0</v>
      </c>
      <c r="I153" s="207">
        <v>686.0</v>
      </c>
      <c r="J153" s="199">
        <v>3000000.0</v>
      </c>
      <c r="K153" s="206">
        <f>vlookup($D153,Python!$D$2:$F$1000,3,FALSE)</f>
        <v>1200</v>
      </c>
      <c r="L153" s="199">
        <v>3000000.0</v>
      </c>
      <c r="M153" s="173"/>
      <c r="N153" s="199" t="s">
        <v>585</v>
      </c>
      <c r="O153" s="173"/>
      <c r="P153" s="173" t="s">
        <v>585</v>
      </c>
      <c r="Q153" s="173"/>
      <c r="R153" s="173" t="s">
        <v>585</v>
      </c>
      <c r="S153" s="173"/>
      <c r="T153" s="173" t="s">
        <v>585</v>
      </c>
      <c r="U153" s="173"/>
      <c r="V153" s="173"/>
      <c r="W153" s="173"/>
      <c r="X153" s="173"/>
      <c r="Y153" s="173"/>
      <c r="Z153" s="173"/>
      <c r="AA153" s="173"/>
      <c r="AB153" s="173"/>
      <c r="AC153" s="173"/>
      <c r="AD153" s="173"/>
      <c r="AE153" s="173"/>
      <c r="AF153" s="173"/>
    </row>
    <row r="154">
      <c r="A154" s="194">
        <v>151.0</v>
      </c>
      <c r="B154" s="195" t="s">
        <v>577</v>
      </c>
      <c r="C154" s="196" t="s">
        <v>422</v>
      </c>
      <c r="D154" s="208" t="s">
        <v>770</v>
      </c>
      <c r="E154" s="209">
        <v>44435.0</v>
      </c>
      <c r="F154" s="210" t="s">
        <v>642</v>
      </c>
      <c r="G154" s="173" t="s">
        <v>21</v>
      </c>
      <c r="H154" s="173">
        <v>1.0</v>
      </c>
      <c r="I154" s="207">
        <v>64.1</v>
      </c>
      <c r="J154" s="199">
        <v>0.0</v>
      </c>
      <c r="K154" s="206">
        <f>vlookup($D154,Python!$D$2:$F$1000,3,FALSE)</f>
        <v>227.9</v>
      </c>
      <c r="L154" s="199">
        <v>1000000.0</v>
      </c>
      <c r="M154" s="173"/>
      <c r="N154" s="199" t="s">
        <v>585</v>
      </c>
      <c r="O154" s="173"/>
      <c r="P154" s="173" t="s">
        <v>585</v>
      </c>
      <c r="Q154" s="173"/>
      <c r="R154" s="173" t="s">
        <v>585</v>
      </c>
      <c r="S154" s="173"/>
      <c r="T154" s="173" t="s">
        <v>585</v>
      </c>
      <c r="U154" s="173"/>
      <c r="V154" s="173"/>
      <c r="W154" s="173"/>
      <c r="X154" s="173"/>
      <c r="Y154" s="173"/>
      <c r="Z154" s="173"/>
      <c r="AA154" s="173"/>
      <c r="AB154" s="173"/>
      <c r="AC154" s="173"/>
      <c r="AD154" s="173"/>
      <c r="AE154" s="173"/>
      <c r="AF154" s="173"/>
    </row>
    <row r="155">
      <c r="A155" s="207">
        <v>152.0</v>
      </c>
      <c r="B155" s="195" t="s">
        <v>579</v>
      </c>
      <c r="C155" s="196" t="s">
        <v>422</v>
      </c>
      <c r="D155" s="208" t="s">
        <v>771</v>
      </c>
      <c r="E155" s="209">
        <v>44433.0</v>
      </c>
      <c r="F155" s="210" t="s">
        <v>642</v>
      </c>
      <c r="G155" s="173" t="s">
        <v>21</v>
      </c>
      <c r="H155" s="173">
        <v>1.0</v>
      </c>
      <c r="I155" s="207">
        <v>44.2</v>
      </c>
      <c r="J155" s="199">
        <v>0.0</v>
      </c>
      <c r="K155" s="206">
        <f>vlookup($D155,Python!$D$2:$F$1000,3,FALSE)</f>
        <v>54.6</v>
      </c>
      <c r="L155" s="199">
        <v>0.0</v>
      </c>
      <c r="M155" s="173"/>
      <c r="N155" s="199" t="s">
        <v>585</v>
      </c>
      <c r="O155" s="173"/>
      <c r="P155" s="173" t="s">
        <v>585</v>
      </c>
      <c r="Q155" s="173"/>
      <c r="R155" s="173" t="s">
        <v>585</v>
      </c>
      <c r="S155" s="173"/>
      <c r="T155" s="173" t="s">
        <v>585</v>
      </c>
      <c r="U155" s="173"/>
      <c r="V155" s="173"/>
      <c r="W155" s="173"/>
      <c r="X155" s="173"/>
      <c r="Y155" s="173"/>
      <c r="Z155" s="173"/>
      <c r="AA155" s="173"/>
      <c r="AB155" s="173"/>
      <c r="AC155" s="173"/>
      <c r="AD155" s="173"/>
      <c r="AE155" s="173"/>
      <c r="AF155" s="173"/>
    </row>
    <row r="156">
      <c r="A156" s="194">
        <v>153.0</v>
      </c>
      <c r="B156" s="195" t="s">
        <v>579</v>
      </c>
      <c r="C156" s="196" t="s">
        <v>422</v>
      </c>
      <c r="D156" s="208" t="s">
        <v>772</v>
      </c>
      <c r="E156" s="209">
        <v>44434.0</v>
      </c>
      <c r="F156" s="210" t="s">
        <v>642</v>
      </c>
      <c r="G156" s="173" t="s">
        <v>21</v>
      </c>
      <c r="H156" s="173">
        <v>1.0</v>
      </c>
      <c r="I156" s="207">
        <v>48.9</v>
      </c>
      <c r="J156" s="199">
        <v>0.0</v>
      </c>
      <c r="K156" s="206">
        <f>vlookup($D156,Python!$D$2:$F$1000,3,FALSE)</f>
        <v>61</v>
      </c>
      <c r="L156" s="199">
        <v>0.0</v>
      </c>
      <c r="M156" s="173"/>
      <c r="N156" s="199" t="s">
        <v>585</v>
      </c>
      <c r="O156" s="173"/>
      <c r="P156" s="173" t="s">
        <v>585</v>
      </c>
      <c r="Q156" s="173"/>
      <c r="R156" s="173" t="s">
        <v>585</v>
      </c>
      <c r="S156" s="173"/>
      <c r="T156" s="173" t="s">
        <v>585</v>
      </c>
      <c r="U156" s="173"/>
      <c r="V156" s="173"/>
      <c r="W156" s="173"/>
      <c r="X156" s="173"/>
      <c r="Y156" s="173"/>
      <c r="Z156" s="173"/>
      <c r="AA156" s="173"/>
      <c r="AB156" s="173"/>
      <c r="AC156" s="173"/>
      <c r="AD156" s="173"/>
      <c r="AE156" s="173"/>
      <c r="AF156" s="173"/>
    </row>
    <row r="157">
      <c r="A157" s="194">
        <v>154.0</v>
      </c>
      <c r="B157" s="195" t="s">
        <v>579</v>
      </c>
      <c r="C157" s="196" t="s">
        <v>422</v>
      </c>
      <c r="D157" s="208" t="s">
        <v>773</v>
      </c>
      <c r="E157" s="209">
        <v>44435.0</v>
      </c>
      <c r="F157" s="210" t="s">
        <v>642</v>
      </c>
      <c r="G157" s="173" t="s">
        <v>21</v>
      </c>
      <c r="H157" s="173">
        <v>1.0</v>
      </c>
      <c r="I157" s="207">
        <v>180.0</v>
      </c>
      <c r="J157" s="199">
        <v>500000.0</v>
      </c>
      <c r="K157" s="206">
        <f>vlookup($D157,Python!$D$2:$F$1000,3,FALSE)</f>
        <v>426.4</v>
      </c>
      <c r="L157" s="199">
        <v>1500000.0</v>
      </c>
      <c r="M157" s="173"/>
      <c r="N157" s="199" t="s">
        <v>585</v>
      </c>
      <c r="O157" s="173"/>
      <c r="P157" s="173" t="s">
        <v>585</v>
      </c>
      <c r="Q157" s="173"/>
      <c r="R157" s="173" t="s">
        <v>585</v>
      </c>
      <c r="S157" s="173"/>
      <c r="T157" s="173" t="s">
        <v>585</v>
      </c>
      <c r="U157" s="173"/>
      <c r="V157" s="173"/>
      <c r="W157" s="173"/>
      <c r="X157" s="173"/>
      <c r="Y157" s="173"/>
      <c r="Z157" s="173"/>
      <c r="AA157" s="173"/>
      <c r="AB157" s="173"/>
      <c r="AC157" s="173"/>
      <c r="AD157" s="173"/>
      <c r="AE157" s="173"/>
      <c r="AF157" s="173"/>
    </row>
    <row r="158">
      <c r="A158" s="207">
        <v>155.0</v>
      </c>
      <c r="B158" s="195" t="s">
        <v>581</v>
      </c>
      <c r="C158" s="196" t="s">
        <v>422</v>
      </c>
      <c r="D158" s="208" t="s">
        <v>774</v>
      </c>
      <c r="E158" s="209">
        <v>44433.0</v>
      </c>
      <c r="F158" s="210" t="s">
        <v>642</v>
      </c>
      <c r="G158" s="173" t="s">
        <v>21</v>
      </c>
      <c r="H158" s="173">
        <v>1.0</v>
      </c>
      <c r="I158" s="207">
        <v>208.0</v>
      </c>
      <c r="J158" s="199">
        <v>1000000.0</v>
      </c>
      <c r="K158" s="206">
        <f>vlookup($D158,Python!$D$2:$F$1000,3,FALSE)</f>
        <v>606.8</v>
      </c>
      <c r="L158" s="199">
        <v>2000000.0</v>
      </c>
      <c r="M158" s="173"/>
      <c r="N158" s="199" t="s">
        <v>585</v>
      </c>
      <c r="O158" s="173"/>
      <c r="P158" s="173" t="s">
        <v>585</v>
      </c>
      <c r="Q158" s="173"/>
      <c r="R158" s="173" t="s">
        <v>585</v>
      </c>
      <c r="S158" s="173"/>
      <c r="T158" s="173" t="s">
        <v>585</v>
      </c>
      <c r="U158" s="173"/>
      <c r="V158" s="173"/>
      <c r="W158" s="173"/>
      <c r="X158" s="173"/>
      <c r="Y158" s="173"/>
      <c r="Z158" s="173"/>
      <c r="AA158" s="173"/>
      <c r="AB158" s="173"/>
      <c r="AC158" s="173"/>
      <c r="AD158" s="173"/>
      <c r="AE158" s="173"/>
      <c r="AF158" s="173"/>
    </row>
    <row r="159">
      <c r="A159" s="194">
        <v>156.0</v>
      </c>
      <c r="B159" s="195" t="s">
        <v>581</v>
      </c>
      <c r="C159" s="196" t="s">
        <v>422</v>
      </c>
      <c r="D159" s="208" t="s">
        <v>775</v>
      </c>
      <c r="E159" s="209">
        <v>44434.0</v>
      </c>
      <c r="F159" s="210" t="s">
        <v>642</v>
      </c>
      <c r="G159" s="173" t="s">
        <v>21</v>
      </c>
      <c r="H159" s="173">
        <v>1.0</v>
      </c>
      <c r="I159" s="207">
        <v>39.0</v>
      </c>
      <c r="J159" s="199">
        <v>0.0</v>
      </c>
      <c r="K159" s="206">
        <f>vlookup($D159,Python!$D$2:$F$1000,3,FALSE)</f>
        <v>361</v>
      </c>
      <c r="L159" s="199">
        <v>1500000.0</v>
      </c>
      <c r="M159" s="173"/>
      <c r="N159" s="199" t="s">
        <v>585</v>
      </c>
      <c r="O159" s="173"/>
      <c r="P159" s="173" t="s">
        <v>585</v>
      </c>
      <c r="Q159" s="173"/>
      <c r="R159" s="173" t="s">
        <v>585</v>
      </c>
      <c r="S159" s="173"/>
      <c r="T159" s="173" t="s">
        <v>585</v>
      </c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</row>
    <row r="160">
      <c r="A160" s="194">
        <v>157.0</v>
      </c>
      <c r="B160" s="195" t="s">
        <v>583</v>
      </c>
      <c r="C160" s="196" t="s">
        <v>422</v>
      </c>
      <c r="D160" s="208" t="s">
        <v>776</v>
      </c>
      <c r="E160" s="209">
        <v>44433.0</v>
      </c>
      <c r="F160" s="210" t="s">
        <v>642</v>
      </c>
      <c r="G160" s="173" t="s">
        <v>21</v>
      </c>
      <c r="H160" s="173">
        <v>1.0</v>
      </c>
      <c r="I160" s="207">
        <v>436.0</v>
      </c>
      <c r="J160" s="199">
        <v>2000000.0</v>
      </c>
      <c r="K160" s="206">
        <f>vlookup($D160,Python!$D$2:$F$1000,3,FALSE)</f>
        <v>706.3</v>
      </c>
      <c r="L160" s="199">
        <v>1500000.0</v>
      </c>
      <c r="M160" s="173"/>
      <c r="N160" s="199" t="s">
        <v>585</v>
      </c>
      <c r="O160" s="173"/>
      <c r="P160" s="173" t="s">
        <v>585</v>
      </c>
      <c r="Q160" s="173"/>
      <c r="R160" s="173" t="s">
        <v>585</v>
      </c>
      <c r="S160" s="173"/>
      <c r="T160" s="173" t="s">
        <v>585</v>
      </c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</row>
    <row r="161">
      <c r="A161" s="207">
        <v>158.0</v>
      </c>
      <c r="B161" s="196" t="s">
        <v>583</v>
      </c>
      <c r="C161" s="196" t="s">
        <v>422</v>
      </c>
      <c r="D161" s="208" t="s">
        <v>777</v>
      </c>
      <c r="E161" s="209">
        <v>44434.0</v>
      </c>
      <c r="F161" s="210" t="s">
        <v>642</v>
      </c>
      <c r="G161" s="173" t="s">
        <v>21</v>
      </c>
      <c r="H161" s="173">
        <v>1.0</v>
      </c>
      <c r="I161" s="207">
        <v>1600.0</v>
      </c>
      <c r="J161" s="199">
        <v>8000000.0</v>
      </c>
      <c r="K161" s="206">
        <f>vlookup($D161,Python!$D$2:$F$1000,3,FALSE)</f>
        <v>2000</v>
      </c>
      <c r="L161" s="199">
        <v>2000000.0</v>
      </c>
      <c r="M161" s="173"/>
      <c r="N161" s="199" t="s">
        <v>585</v>
      </c>
      <c r="O161" s="173"/>
      <c r="P161" s="173" t="s">
        <v>585</v>
      </c>
      <c r="Q161" s="173"/>
      <c r="R161" s="173" t="s">
        <v>585</v>
      </c>
      <c r="S161" s="173"/>
      <c r="T161" s="173" t="s">
        <v>585</v>
      </c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</row>
    <row r="162">
      <c r="A162" s="194">
        <v>159.0</v>
      </c>
      <c r="B162" s="196" t="s">
        <v>583</v>
      </c>
      <c r="C162" s="196" t="s">
        <v>422</v>
      </c>
      <c r="D162" s="208" t="s">
        <v>778</v>
      </c>
      <c r="E162" s="209">
        <v>44435.0</v>
      </c>
      <c r="F162" s="210" t="s">
        <v>642</v>
      </c>
      <c r="G162" s="173" t="s">
        <v>21</v>
      </c>
      <c r="H162" s="173">
        <v>1.0</v>
      </c>
      <c r="I162" s="207">
        <v>515.0</v>
      </c>
      <c r="J162" s="199">
        <v>2500000.0</v>
      </c>
      <c r="K162" s="206">
        <f>vlookup($D162,Python!$D$2:$F$1000,3,FALSE)</f>
        <v>1400</v>
      </c>
      <c r="L162" s="199">
        <v>4500000.0</v>
      </c>
      <c r="M162" s="173"/>
      <c r="N162" s="199" t="s">
        <v>585</v>
      </c>
      <c r="O162" s="173"/>
      <c r="P162" s="173" t="s">
        <v>585</v>
      </c>
      <c r="Q162" s="173"/>
      <c r="R162" s="173" t="s">
        <v>585</v>
      </c>
      <c r="S162" s="173"/>
      <c r="T162" s="173" t="s">
        <v>585</v>
      </c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</row>
    <row r="163">
      <c r="A163" s="194">
        <v>160.0</v>
      </c>
      <c r="B163" s="196" t="s">
        <v>779</v>
      </c>
      <c r="C163" s="196" t="s">
        <v>422</v>
      </c>
      <c r="D163" s="208" t="s">
        <v>780</v>
      </c>
      <c r="E163" s="209">
        <v>44389.0</v>
      </c>
      <c r="F163" s="210" t="s">
        <v>647</v>
      </c>
      <c r="G163" s="173" t="s">
        <v>194</v>
      </c>
      <c r="H163" s="173">
        <v>1.0</v>
      </c>
      <c r="I163" s="207">
        <v>237.0</v>
      </c>
      <c r="J163" s="199">
        <v>1000000.0</v>
      </c>
      <c r="K163" s="206">
        <f>vlookup($D163,Python!$D$2:$F$1000,3,FALSE)</f>
        <v>252.6</v>
      </c>
      <c r="L163" s="199">
        <v>0.0</v>
      </c>
      <c r="M163" s="173"/>
      <c r="N163" s="199" t="s">
        <v>585</v>
      </c>
      <c r="O163" s="173"/>
      <c r="P163" s="173" t="s">
        <v>585</v>
      </c>
      <c r="Q163" s="173"/>
      <c r="R163" s="173" t="s">
        <v>585</v>
      </c>
      <c r="S163" s="173"/>
      <c r="T163" s="173" t="s">
        <v>585</v>
      </c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</row>
    <row r="164">
      <c r="A164" s="207">
        <v>161.0</v>
      </c>
      <c r="B164" s="196" t="s">
        <v>779</v>
      </c>
      <c r="C164" s="196" t="s">
        <v>422</v>
      </c>
      <c r="D164" s="208" t="s">
        <v>781</v>
      </c>
      <c r="E164" s="209">
        <v>44390.0</v>
      </c>
      <c r="F164" s="210" t="s">
        <v>647</v>
      </c>
      <c r="G164" s="173" t="s">
        <v>194</v>
      </c>
      <c r="H164" s="173">
        <v>1.0</v>
      </c>
      <c r="I164" s="207">
        <v>180.0</v>
      </c>
      <c r="J164" s="199">
        <v>500000.0</v>
      </c>
      <c r="K164" s="206">
        <f>vlookup($D164,Python!$D$2:$F$1000,3,FALSE)</f>
        <v>210.9</v>
      </c>
      <c r="L164" s="199">
        <v>500000.0</v>
      </c>
      <c r="M164" s="173"/>
      <c r="N164" s="199" t="s">
        <v>585</v>
      </c>
      <c r="O164" s="173"/>
      <c r="P164" s="173" t="s">
        <v>585</v>
      </c>
      <c r="Q164" s="173"/>
      <c r="R164" s="173" t="s">
        <v>585</v>
      </c>
      <c r="S164" s="173"/>
      <c r="T164" s="173" t="s">
        <v>585</v>
      </c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</row>
    <row r="165">
      <c r="A165" s="194">
        <v>162.0</v>
      </c>
      <c r="B165" s="196" t="s">
        <v>779</v>
      </c>
      <c r="C165" s="196" t="s">
        <v>422</v>
      </c>
      <c r="D165" s="208" t="s">
        <v>782</v>
      </c>
      <c r="E165" s="209">
        <v>44391.0</v>
      </c>
      <c r="F165" s="210" t="s">
        <v>647</v>
      </c>
      <c r="G165" s="173" t="s">
        <v>194</v>
      </c>
      <c r="H165" s="173">
        <v>1.0</v>
      </c>
      <c r="I165" s="207">
        <v>1700.0</v>
      </c>
      <c r="J165" s="199">
        <v>8500000.0</v>
      </c>
      <c r="K165" s="206">
        <f>vlookup($D165,Python!$D$2:$F$1000,3,FALSE)</f>
        <v>1900</v>
      </c>
      <c r="L165" s="199">
        <v>1000000.0</v>
      </c>
      <c r="M165" s="173"/>
      <c r="N165" s="199" t="s">
        <v>585</v>
      </c>
      <c r="O165" s="173"/>
      <c r="P165" s="173" t="s">
        <v>585</v>
      </c>
      <c r="Q165" s="173"/>
      <c r="R165" s="173" t="s">
        <v>585</v>
      </c>
      <c r="S165" s="173"/>
      <c r="T165" s="173" t="s">
        <v>585</v>
      </c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</row>
    <row r="166">
      <c r="A166" s="194">
        <v>163.0</v>
      </c>
      <c r="B166" s="196" t="s">
        <v>779</v>
      </c>
      <c r="C166" s="196" t="s">
        <v>422</v>
      </c>
      <c r="D166" s="208" t="s">
        <v>783</v>
      </c>
      <c r="E166" s="209">
        <v>44396.0</v>
      </c>
      <c r="F166" s="210" t="s">
        <v>647</v>
      </c>
      <c r="G166" s="173" t="s">
        <v>194</v>
      </c>
      <c r="H166" s="173">
        <v>1.0</v>
      </c>
      <c r="I166" s="207">
        <v>147.1</v>
      </c>
      <c r="J166" s="199">
        <v>500000.0</v>
      </c>
      <c r="K166" s="206">
        <f>vlookup($D166,Python!$D$2:$F$1000,3,FALSE)</f>
        <v>241.4</v>
      </c>
      <c r="L166" s="199">
        <v>500000.0</v>
      </c>
      <c r="M166" s="173"/>
      <c r="N166" s="199" t="s">
        <v>585</v>
      </c>
      <c r="O166" s="173"/>
      <c r="P166" s="173" t="s">
        <v>585</v>
      </c>
      <c r="Q166" s="173"/>
      <c r="R166" s="173" t="s">
        <v>585</v>
      </c>
      <c r="S166" s="173"/>
      <c r="T166" s="173" t="s">
        <v>585</v>
      </c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</row>
    <row r="167">
      <c r="A167" s="237"/>
      <c r="B167" s="238"/>
      <c r="C167" s="238"/>
      <c r="D167" s="239" t="s">
        <v>628</v>
      </c>
      <c r="E167" s="240"/>
      <c r="F167" s="240"/>
      <c r="G167" s="238" t="s">
        <v>585</v>
      </c>
      <c r="H167" s="238">
        <v>1.0</v>
      </c>
      <c r="I167" s="237"/>
      <c r="J167" s="241">
        <v>0.0</v>
      </c>
      <c r="K167" s="206" t="str">
        <f>vlookup($D167,Python!$D$2:$F$1000,3,FALSE)</f>
        <v/>
      </c>
      <c r="L167" s="241" t="s">
        <v>585</v>
      </c>
      <c r="M167" s="173"/>
      <c r="N167" s="241" t="s">
        <v>585</v>
      </c>
      <c r="O167" s="237"/>
      <c r="P167" s="238" t="s">
        <v>585</v>
      </c>
      <c r="Q167" s="237"/>
      <c r="R167" s="238" t="s">
        <v>585</v>
      </c>
      <c r="S167" s="237"/>
      <c r="T167" s="238" t="s">
        <v>585</v>
      </c>
      <c r="U167" s="237"/>
      <c r="V167" s="237"/>
      <c r="W167" s="237"/>
      <c r="X167" s="237"/>
      <c r="Y167" s="237"/>
      <c r="Z167" s="237"/>
      <c r="AA167" s="237"/>
      <c r="AB167" s="237"/>
      <c r="AC167" s="237"/>
      <c r="AD167" s="237"/>
      <c r="AE167" s="237"/>
      <c r="AF167" s="237"/>
    </row>
    <row r="168">
      <c r="A168" s="207">
        <v>1.0</v>
      </c>
      <c r="B168" s="196" t="s">
        <v>437</v>
      </c>
      <c r="C168" s="196" t="s">
        <v>422</v>
      </c>
      <c r="D168" s="208" t="s">
        <v>784</v>
      </c>
      <c r="E168" s="209">
        <v>44406.0</v>
      </c>
      <c r="F168" s="210" t="s">
        <v>647</v>
      </c>
      <c r="G168" s="173" t="s">
        <v>92</v>
      </c>
      <c r="H168" s="173">
        <v>1.0</v>
      </c>
      <c r="I168" s="173"/>
      <c r="J168" s="199">
        <v>0.0</v>
      </c>
      <c r="K168" s="206">
        <f>vlookup($D168,Python!$D$2:$F$1000,3,FALSE)</f>
        <v>1000</v>
      </c>
      <c r="L168" s="199">
        <v>5000000.0</v>
      </c>
      <c r="M168" s="173"/>
      <c r="N168" s="199" t="s">
        <v>585</v>
      </c>
      <c r="O168" s="173"/>
      <c r="P168" s="173" t="s">
        <v>585</v>
      </c>
      <c r="Q168" s="173"/>
      <c r="R168" s="173" t="s">
        <v>585</v>
      </c>
      <c r="S168" s="173"/>
      <c r="T168" s="173" t="s">
        <v>585</v>
      </c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</row>
    <row r="169">
      <c r="A169" s="207">
        <v>2.0</v>
      </c>
      <c r="B169" s="196" t="s">
        <v>437</v>
      </c>
      <c r="C169" s="196" t="s">
        <v>422</v>
      </c>
      <c r="D169" s="208" t="s">
        <v>785</v>
      </c>
      <c r="E169" s="209">
        <v>44409.0</v>
      </c>
      <c r="F169" s="210" t="s">
        <v>647</v>
      </c>
      <c r="G169" s="173" t="s">
        <v>92</v>
      </c>
      <c r="H169" s="173">
        <v>1.0</v>
      </c>
      <c r="I169" s="173"/>
      <c r="J169" s="199">
        <v>0.0</v>
      </c>
      <c r="K169" s="206">
        <f>vlookup($D169,Python!$D$2:$F$1000,3,FALSE)</f>
        <v>1500</v>
      </c>
      <c r="L169" s="199">
        <v>7500000.0</v>
      </c>
      <c r="M169" s="173"/>
      <c r="N169" s="199" t="s">
        <v>585</v>
      </c>
      <c r="O169" s="173"/>
      <c r="P169" s="173" t="s">
        <v>585</v>
      </c>
      <c r="Q169" s="173"/>
      <c r="R169" s="173" t="s">
        <v>585</v>
      </c>
      <c r="S169" s="173"/>
      <c r="T169" s="173" t="s">
        <v>585</v>
      </c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</row>
    <row r="170">
      <c r="A170" s="207">
        <v>3.0</v>
      </c>
      <c r="B170" s="196" t="s">
        <v>443</v>
      </c>
      <c r="C170" s="196" t="s">
        <v>422</v>
      </c>
      <c r="D170" s="208" t="s">
        <v>786</v>
      </c>
      <c r="E170" s="209">
        <v>44406.0</v>
      </c>
      <c r="F170" s="210" t="s">
        <v>642</v>
      </c>
      <c r="G170" s="173" t="s">
        <v>445</v>
      </c>
      <c r="H170" s="173">
        <v>1.0</v>
      </c>
      <c r="I170" s="173"/>
      <c r="J170" s="199">
        <v>0.0</v>
      </c>
      <c r="K170" s="206">
        <f>vlookup($D170,Python!$D$2:$F$1000,3,FALSE)</f>
        <v>3100</v>
      </c>
      <c r="L170" s="199">
        <v>1.55E7</v>
      </c>
      <c r="M170" s="173"/>
      <c r="N170" s="199" t="s">
        <v>585</v>
      </c>
      <c r="O170" s="173"/>
      <c r="P170" s="173" t="s">
        <v>585</v>
      </c>
      <c r="Q170" s="173"/>
      <c r="R170" s="173" t="s">
        <v>585</v>
      </c>
      <c r="S170" s="173"/>
      <c r="T170" s="173" t="s">
        <v>585</v>
      </c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</row>
    <row r="171">
      <c r="A171" s="207">
        <v>4.0</v>
      </c>
      <c r="B171" s="196" t="s">
        <v>443</v>
      </c>
      <c r="C171" s="196" t="s">
        <v>422</v>
      </c>
      <c r="D171" s="208" t="s">
        <v>787</v>
      </c>
      <c r="E171" s="209">
        <v>44407.0</v>
      </c>
      <c r="F171" s="210" t="s">
        <v>642</v>
      </c>
      <c r="G171" s="173" t="s">
        <v>445</v>
      </c>
      <c r="H171" s="173">
        <v>1.0</v>
      </c>
      <c r="I171" s="173"/>
      <c r="J171" s="199">
        <v>0.0</v>
      </c>
      <c r="K171" s="206">
        <f>vlookup($D171,Python!$D$2:$F$1000,3,FALSE)</f>
        <v>1800</v>
      </c>
      <c r="L171" s="199">
        <v>9000000.0</v>
      </c>
      <c r="M171" s="173"/>
      <c r="N171" s="199" t="s">
        <v>585</v>
      </c>
      <c r="O171" s="173"/>
      <c r="P171" s="173" t="s">
        <v>585</v>
      </c>
      <c r="Q171" s="173"/>
      <c r="R171" s="173" t="s">
        <v>585</v>
      </c>
      <c r="S171" s="173"/>
      <c r="T171" s="173" t="s">
        <v>585</v>
      </c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</row>
    <row r="172">
      <c r="A172" s="207">
        <v>5.0</v>
      </c>
      <c r="B172" s="196" t="s">
        <v>443</v>
      </c>
      <c r="C172" s="196" t="s">
        <v>422</v>
      </c>
      <c r="D172" s="208" t="s">
        <v>788</v>
      </c>
      <c r="E172" s="209">
        <v>44408.0</v>
      </c>
      <c r="F172" s="210" t="s">
        <v>642</v>
      </c>
      <c r="G172" s="173" t="s">
        <v>445</v>
      </c>
      <c r="H172" s="173">
        <v>1.0</v>
      </c>
      <c r="I172" s="173"/>
      <c r="J172" s="199">
        <v>0.0</v>
      </c>
      <c r="K172" s="206">
        <f>vlookup($D172,Python!$D$2:$F$1000,3,FALSE)</f>
        <v>661.5</v>
      </c>
      <c r="L172" s="199">
        <v>3000000.0</v>
      </c>
      <c r="M172" s="173"/>
      <c r="N172" s="199" t="s">
        <v>585</v>
      </c>
      <c r="O172" s="173"/>
      <c r="P172" s="173" t="s">
        <v>585</v>
      </c>
      <c r="Q172" s="173"/>
      <c r="R172" s="173" t="s">
        <v>585</v>
      </c>
      <c r="S172" s="173"/>
      <c r="T172" s="173" t="s">
        <v>585</v>
      </c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</row>
    <row r="173">
      <c r="A173" s="207">
        <v>6.0</v>
      </c>
      <c r="B173" s="196" t="s">
        <v>443</v>
      </c>
      <c r="C173" s="196" t="s">
        <v>422</v>
      </c>
      <c r="D173" s="208" t="s">
        <v>789</v>
      </c>
      <c r="E173" s="209">
        <v>44413.0</v>
      </c>
      <c r="F173" s="210" t="s">
        <v>647</v>
      </c>
      <c r="G173" s="173" t="s">
        <v>445</v>
      </c>
      <c r="H173" s="173">
        <v>1.0</v>
      </c>
      <c r="I173" s="173"/>
      <c r="J173" s="199">
        <v>0.0</v>
      </c>
      <c r="K173" s="206">
        <f>vlookup($D173,Python!$D$2:$F$1000,3,FALSE)</f>
        <v>127.4</v>
      </c>
      <c r="L173" s="199">
        <v>500000.0</v>
      </c>
      <c r="M173" s="173"/>
      <c r="N173" s="199" t="s">
        <v>585</v>
      </c>
      <c r="O173" s="173"/>
      <c r="P173" s="173" t="s">
        <v>585</v>
      </c>
      <c r="Q173" s="173"/>
      <c r="R173" s="173" t="s">
        <v>585</v>
      </c>
      <c r="S173" s="173"/>
      <c r="T173" s="173" t="s">
        <v>585</v>
      </c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</row>
    <row r="174">
      <c r="A174" s="207">
        <v>7.0</v>
      </c>
      <c r="B174" s="196" t="s">
        <v>448</v>
      </c>
      <c r="C174" s="196" t="s">
        <v>422</v>
      </c>
      <c r="D174" s="208" t="s">
        <v>790</v>
      </c>
      <c r="E174" s="209">
        <v>44415.0</v>
      </c>
      <c r="F174" s="210" t="s">
        <v>641</v>
      </c>
      <c r="G174" s="173" t="s">
        <v>92</v>
      </c>
      <c r="H174" s="173">
        <v>1.0</v>
      </c>
      <c r="I174" s="173"/>
      <c r="J174" s="199">
        <v>0.0</v>
      </c>
      <c r="K174" s="206">
        <f>vlookup($D174,Python!$D$2:$F$1000,3,FALSE)</f>
        <v>244.8</v>
      </c>
      <c r="L174" s="199">
        <v>1000000.0</v>
      </c>
      <c r="M174" s="173"/>
      <c r="N174" s="199" t="s">
        <v>585</v>
      </c>
      <c r="O174" s="173"/>
      <c r="P174" s="173" t="s">
        <v>585</v>
      </c>
      <c r="Q174" s="173"/>
      <c r="R174" s="173" t="s">
        <v>585</v>
      </c>
      <c r="S174" s="173"/>
      <c r="T174" s="173" t="s">
        <v>585</v>
      </c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</row>
    <row r="175">
      <c r="A175" s="207">
        <v>8.0</v>
      </c>
      <c r="B175" s="196" t="s">
        <v>452</v>
      </c>
      <c r="C175" s="196" t="s">
        <v>422</v>
      </c>
      <c r="D175" s="208" t="s">
        <v>791</v>
      </c>
      <c r="E175" s="209">
        <v>44414.0</v>
      </c>
      <c r="F175" s="210" t="s">
        <v>641</v>
      </c>
      <c r="G175" s="173" t="s">
        <v>92</v>
      </c>
      <c r="H175" s="173">
        <v>1.0</v>
      </c>
      <c r="I175" s="173"/>
      <c r="J175" s="199">
        <v>0.0</v>
      </c>
      <c r="K175" s="206">
        <f>vlookup($D175,Python!$D$2:$F$1000,3,FALSE)</f>
        <v>1.16</v>
      </c>
      <c r="L175" s="199">
        <v>0.0</v>
      </c>
      <c r="M175" s="173"/>
      <c r="N175" s="199" t="s">
        <v>585</v>
      </c>
      <c r="O175" s="173"/>
      <c r="P175" s="173" t="s">
        <v>585</v>
      </c>
      <c r="Q175" s="173"/>
      <c r="R175" s="173" t="s">
        <v>585</v>
      </c>
      <c r="S175" s="173"/>
      <c r="T175" s="173" t="s">
        <v>585</v>
      </c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</row>
    <row r="176">
      <c r="A176" s="207">
        <v>9.0</v>
      </c>
      <c r="B176" s="196" t="s">
        <v>454</v>
      </c>
      <c r="C176" s="196" t="s">
        <v>422</v>
      </c>
      <c r="D176" s="208" t="s">
        <v>792</v>
      </c>
      <c r="E176" s="209">
        <v>44413.0</v>
      </c>
      <c r="F176" s="210" t="s">
        <v>647</v>
      </c>
      <c r="G176" s="173" t="s">
        <v>92</v>
      </c>
      <c r="H176" s="173">
        <v>1.0</v>
      </c>
      <c r="I176" s="173"/>
      <c r="J176" s="199">
        <v>0.0</v>
      </c>
      <c r="K176" s="206">
        <f>vlookup($D176,Python!$D$2:$F$1000,3,FALSE)</f>
        <v>232</v>
      </c>
      <c r="L176" s="199">
        <v>1000000.0</v>
      </c>
      <c r="M176" s="173"/>
      <c r="N176" s="199" t="s">
        <v>585</v>
      </c>
      <c r="O176" s="173"/>
      <c r="P176" s="173" t="s">
        <v>585</v>
      </c>
      <c r="Q176" s="173"/>
      <c r="R176" s="173" t="s">
        <v>585</v>
      </c>
      <c r="S176" s="173"/>
      <c r="T176" s="173" t="s">
        <v>585</v>
      </c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</row>
    <row r="177">
      <c r="A177" s="207">
        <v>10.0</v>
      </c>
      <c r="B177" s="196" t="s">
        <v>454</v>
      </c>
      <c r="C177" s="196" t="s">
        <v>422</v>
      </c>
      <c r="D177" s="208" t="s">
        <v>793</v>
      </c>
      <c r="E177" s="209">
        <v>44413.0</v>
      </c>
      <c r="F177" s="210" t="s">
        <v>647</v>
      </c>
      <c r="G177" s="173" t="s">
        <v>92</v>
      </c>
      <c r="H177" s="173">
        <v>1.0</v>
      </c>
      <c r="I177" s="173"/>
      <c r="J177" s="199">
        <v>0.0</v>
      </c>
      <c r="K177" s="206">
        <f>vlookup($D177,Python!$D$2:$F$1000,3,FALSE)</f>
        <v>149.7</v>
      </c>
      <c r="L177" s="199">
        <v>500000.0</v>
      </c>
      <c r="M177" s="173"/>
      <c r="N177" s="199" t="s">
        <v>585</v>
      </c>
      <c r="O177" s="173"/>
      <c r="P177" s="173" t="s">
        <v>585</v>
      </c>
      <c r="Q177" s="173"/>
      <c r="R177" s="173" t="s">
        <v>585</v>
      </c>
      <c r="S177" s="173"/>
      <c r="T177" s="173" t="s">
        <v>585</v>
      </c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</row>
    <row r="178">
      <c r="A178" s="207">
        <v>11.0</v>
      </c>
      <c r="B178" s="196" t="s">
        <v>456</v>
      </c>
      <c r="C178" s="196" t="s">
        <v>422</v>
      </c>
      <c r="D178" s="208" t="s">
        <v>794</v>
      </c>
      <c r="E178" s="209">
        <v>44406.0</v>
      </c>
      <c r="F178" s="210" t="s">
        <v>642</v>
      </c>
      <c r="G178" s="173" t="s">
        <v>92</v>
      </c>
      <c r="H178" s="173">
        <v>1.0</v>
      </c>
      <c r="I178" s="173"/>
      <c r="J178" s="199">
        <v>0.0</v>
      </c>
      <c r="K178" s="206">
        <f>vlookup($D178,Python!$D$2:$F$1000,3,FALSE)</f>
        <v>1200</v>
      </c>
      <c r="L178" s="199">
        <v>6000000.0</v>
      </c>
      <c r="M178" s="173"/>
      <c r="N178" s="199" t="s">
        <v>585</v>
      </c>
      <c r="O178" s="173"/>
      <c r="P178" s="173" t="s">
        <v>585</v>
      </c>
      <c r="Q178" s="173"/>
      <c r="R178" s="173" t="s">
        <v>585</v>
      </c>
      <c r="S178" s="173"/>
      <c r="T178" s="173" t="s">
        <v>585</v>
      </c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</row>
    <row r="179">
      <c r="A179" s="207">
        <v>12.0</v>
      </c>
      <c r="B179" s="195" t="s">
        <v>456</v>
      </c>
      <c r="C179" s="196" t="s">
        <v>422</v>
      </c>
      <c r="D179" s="208" t="s">
        <v>795</v>
      </c>
      <c r="E179" s="209">
        <v>44408.0</v>
      </c>
      <c r="F179" s="210" t="s">
        <v>642</v>
      </c>
      <c r="G179" s="173" t="s">
        <v>92</v>
      </c>
      <c r="H179" s="173">
        <v>1.0</v>
      </c>
      <c r="I179" s="173"/>
      <c r="J179" s="199">
        <v>0.0</v>
      </c>
      <c r="K179" s="206">
        <f>vlookup($D179,Python!$D$2:$F$1000,3,FALSE)</f>
        <v>2500</v>
      </c>
      <c r="L179" s="199">
        <v>1.25E7</v>
      </c>
      <c r="M179" s="173"/>
      <c r="N179" s="199" t="s">
        <v>585</v>
      </c>
      <c r="O179" s="173"/>
      <c r="P179" s="173" t="s">
        <v>585</v>
      </c>
      <c r="Q179" s="173"/>
      <c r="R179" s="173" t="s">
        <v>585</v>
      </c>
      <c r="S179" s="173"/>
      <c r="T179" s="173" t="s">
        <v>585</v>
      </c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</row>
    <row r="180">
      <c r="A180" s="207">
        <v>13.0</v>
      </c>
      <c r="B180" s="195" t="s">
        <v>456</v>
      </c>
      <c r="C180" s="196" t="s">
        <v>422</v>
      </c>
      <c r="D180" s="208" t="s">
        <v>796</v>
      </c>
      <c r="E180" s="209">
        <v>44409.0</v>
      </c>
      <c r="F180" s="210" t="s">
        <v>642</v>
      </c>
      <c r="G180" s="173" t="s">
        <v>92</v>
      </c>
      <c r="H180" s="173">
        <v>1.0</v>
      </c>
      <c r="I180" s="173"/>
      <c r="J180" s="199">
        <v>0.0</v>
      </c>
      <c r="K180" s="206">
        <f>vlookup($D180,Python!$D$2:$F$1000,3,FALSE)</f>
        <v>2600</v>
      </c>
      <c r="L180" s="199">
        <v>1.3E7</v>
      </c>
      <c r="M180" s="173"/>
      <c r="N180" s="199" t="s">
        <v>585</v>
      </c>
      <c r="O180" s="173"/>
      <c r="P180" s="173" t="s">
        <v>585</v>
      </c>
      <c r="Q180" s="173"/>
      <c r="R180" s="173" t="s">
        <v>585</v>
      </c>
      <c r="S180" s="173"/>
      <c r="T180" s="173" t="s">
        <v>585</v>
      </c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</row>
    <row r="181">
      <c r="A181" s="207">
        <v>14.0</v>
      </c>
      <c r="B181" s="196" t="s">
        <v>462</v>
      </c>
      <c r="C181" s="196" t="s">
        <v>422</v>
      </c>
      <c r="D181" s="208" t="s">
        <v>797</v>
      </c>
      <c r="E181" s="209">
        <v>44407.0</v>
      </c>
      <c r="F181" s="210" t="s">
        <v>642</v>
      </c>
      <c r="G181" s="173" t="s">
        <v>92</v>
      </c>
      <c r="H181" s="173">
        <v>1.0</v>
      </c>
      <c r="I181" s="173"/>
      <c r="J181" s="199">
        <v>0.0</v>
      </c>
      <c r="K181" s="206">
        <f>vlookup($D181,Python!$D$2:$F$1000,3,FALSE)</f>
        <v>106.4</v>
      </c>
      <c r="L181" s="199">
        <v>500000.0</v>
      </c>
      <c r="M181" s="173"/>
      <c r="N181" s="199" t="s">
        <v>585</v>
      </c>
      <c r="O181" s="173"/>
      <c r="P181" s="173" t="s">
        <v>585</v>
      </c>
      <c r="Q181" s="173"/>
      <c r="R181" s="173" t="s">
        <v>585</v>
      </c>
      <c r="S181" s="173"/>
      <c r="T181" s="173" t="s">
        <v>585</v>
      </c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</row>
    <row r="182">
      <c r="A182" s="207">
        <v>15.0</v>
      </c>
      <c r="B182" s="196" t="s">
        <v>464</v>
      </c>
      <c r="C182" s="196" t="s">
        <v>422</v>
      </c>
      <c r="D182" s="208" t="s">
        <v>798</v>
      </c>
      <c r="E182" s="209">
        <v>44408.0</v>
      </c>
      <c r="F182" s="210" t="s">
        <v>642</v>
      </c>
      <c r="G182" s="173" t="s">
        <v>466</v>
      </c>
      <c r="H182" s="173">
        <v>1.0</v>
      </c>
      <c r="I182" s="173"/>
      <c r="J182" s="199">
        <v>0.0</v>
      </c>
      <c r="K182" s="206">
        <f>vlookup($D182,Python!$D$2:$F$1000,3,FALSE)</f>
        <v>114.6</v>
      </c>
      <c r="L182" s="199">
        <v>500000.0</v>
      </c>
      <c r="M182" s="173"/>
      <c r="N182" s="199" t="s">
        <v>585</v>
      </c>
      <c r="O182" s="173"/>
      <c r="P182" s="173" t="s">
        <v>585</v>
      </c>
      <c r="Q182" s="173"/>
      <c r="R182" s="173" t="s">
        <v>585</v>
      </c>
      <c r="S182" s="173"/>
      <c r="T182" s="173" t="s">
        <v>585</v>
      </c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</row>
    <row r="183">
      <c r="A183" s="207">
        <v>16.0</v>
      </c>
      <c r="B183" s="196" t="s">
        <v>586</v>
      </c>
      <c r="C183" s="196" t="s">
        <v>422</v>
      </c>
      <c r="D183" s="208" t="s">
        <v>587</v>
      </c>
      <c r="E183" s="209">
        <v>44411.0</v>
      </c>
      <c r="F183" s="210" t="s">
        <v>642</v>
      </c>
      <c r="G183" s="173" t="s">
        <v>466</v>
      </c>
      <c r="H183" s="173">
        <v>1.0</v>
      </c>
      <c r="I183" s="173"/>
      <c r="J183" s="199">
        <v>0.0</v>
      </c>
      <c r="K183" s="206">
        <f>vlookup($D183,Python!$D$2:$F$1000,3,FALSE)</f>
        <v>1500</v>
      </c>
      <c r="L183" s="199">
        <v>7500000.0</v>
      </c>
      <c r="M183" s="173"/>
      <c r="N183" s="199" t="s">
        <v>585</v>
      </c>
      <c r="O183" s="173"/>
      <c r="P183" s="173" t="s">
        <v>585</v>
      </c>
      <c r="Q183" s="173"/>
      <c r="R183" s="173" t="s">
        <v>585</v>
      </c>
      <c r="S183" s="173"/>
      <c r="T183" s="173" t="s">
        <v>585</v>
      </c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</row>
    <row r="184">
      <c r="A184" s="207">
        <v>17.0</v>
      </c>
      <c r="B184" s="196" t="s">
        <v>588</v>
      </c>
      <c r="C184" s="196" t="s">
        <v>422</v>
      </c>
      <c r="D184" s="208" t="s">
        <v>589</v>
      </c>
      <c r="E184" s="209">
        <v>44404.0</v>
      </c>
      <c r="F184" s="210" t="s">
        <v>642</v>
      </c>
      <c r="G184" s="173" t="s">
        <v>92</v>
      </c>
      <c r="H184" s="173">
        <v>1.0</v>
      </c>
      <c r="I184" s="173"/>
      <c r="J184" s="199">
        <v>0.0</v>
      </c>
      <c r="K184" s="206">
        <f>vlookup($D184,Python!$D$2:$F$1000,3,FALSE)</f>
        <v>435.4</v>
      </c>
      <c r="L184" s="199">
        <v>2000000.0</v>
      </c>
      <c r="M184" s="173"/>
      <c r="N184" s="199" t="s">
        <v>585</v>
      </c>
      <c r="O184" s="173"/>
      <c r="P184" s="173" t="s">
        <v>585</v>
      </c>
      <c r="Q184" s="173"/>
      <c r="R184" s="173" t="s">
        <v>585</v>
      </c>
      <c r="S184" s="173"/>
      <c r="T184" s="173" t="s">
        <v>585</v>
      </c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</row>
    <row r="185">
      <c r="A185" s="207">
        <v>18.0</v>
      </c>
      <c r="B185" s="196" t="s">
        <v>588</v>
      </c>
      <c r="C185" s="196" t="s">
        <v>422</v>
      </c>
      <c r="D185" s="208" t="s">
        <v>799</v>
      </c>
      <c r="E185" s="209">
        <v>44405.0</v>
      </c>
      <c r="F185" s="210" t="s">
        <v>642</v>
      </c>
      <c r="G185" s="173" t="s">
        <v>92</v>
      </c>
      <c r="H185" s="173">
        <v>1.0</v>
      </c>
      <c r="I185" s="173"/>
      <c r="J185" s="199">
        <v>0.0</v>
      </c>
      <c r="K185" s="206">
        <f>vlookup($D185,Python!$D$2:$F$1000,3,FALSE)</f>
        <v>781.8</v>
      </c>
      <c r="L185" s="199">
        <v>3500000.0</v>
      </c>
      <c r="M185" s="173"/>
      <c r="N185" s="199" t="s">
        <v>585</v>
      </c>
      <c r="O185" s="173"/>
      <c r="P185" s="173" t="s">
        <v>585</v>
      </c>
      <c r="Q185" s="173"/>
      <c r="R185" s="173" t="s">
        <v>585</v>
      </c>
      <c r="S185" s="173"/>
      <c r="T185" s="173" t="s">
        <v>585</v>
      </c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</row>
    <row r="186">
      <c r="A186" s="207">
        <v>19.0</v>
      </c>
      <c r="B186" s="196" t="s">
        <v>588</v>
      </c>
      <c r="C186" s="196" t="s">
        <v>422</v>
      </c>
      <c r="D186" s="208" t="s">
        <v>800</v>
      </c>
      <c r="E186" s="209">
        <v>44407.0</v>
      </c>
      <c r="F186" s="210" t="s">
        <v>642</v>
      </c>
      <c r="G186" s="173" t="s">
        <v>92</v>
      </c>
      <c r="H186" s="173">
        <v>1.0</v>
      </c>
      <c r="I186" s="173"/>
      <c r="J186" s="199">
        <v>0.0</v>
      </c>
      <c r="K186" s="206">
        <f>vlookup($D186,Python!$D$2:$F$1000,3,FALSE)</f>
        <v>514.9</v>
      </c>
      <c r="L186" s="199">
        <v>2500000.0</v>
      </c>
      <c r="M186" s="173"/>
      <c r="N186" s="199" t="s">
        <v>585</v>
      </c>
      <c r="O186" s="173"/>
      <c r="P186" s="173" t="s">
        <v>585</v>
      </c>
      <c r="Q186" s="173"/>
      <c r="R186" s="173" t="s">
        <v>585</v>
      </c>
      <c r="S186" s="173"/>
      <c r="T186" s="173" t="s">
        <v>585</v>
      </c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</row>
    <row r="187">
      <c r="A187" s="207">
        <v>20.0</v>
      </c>
      <c r="B187" s="196" t="s">
        <v>590</v>
      </c>
      <c r="C187" s="196" t="s">
        <v>422</v>
      </c>
      <c r="D187" s="208" t="s">
        <v>801</v>
      </c>
      <c r="E187" s="209">
        <v>44405.0</v>
      </c>
      <c r="F187" s="210" t="s">
        <v>642</v>
      </c>
      <c r="G187" s="173" t="s">
        <v>92</v>
      </c>
      <c r="H187" s="173">
        <v>1.0</v>
      </c>
      <c r="I187" s="173"/>
      <c r="J187" s="199">
        <v>0.0</v>
      </c>
      <c r="K187" s="206">
        <f>vlookup($D187,Python!$D$2:$F$1000,3,FALSE)</f>
        <v>26.8</v>
      </c>
      <c r="L187" s="199">
        <v>0.0</v>
      </c>
      <c r="M187" s="173"/>
      <c r="N187" s="199" t="s">
        <v>585</v>
      </c>
      <c r="O187" s="173"/>
      <c r="P187" s="173" t="s">
        <v>585</v>
      </c>
      <c r="Q187" s="173"/>
      <c r="R187" s="173" t="s">
        <v>585</v>
      </c>
      <c r="S187" s="173"/>
      <c r="T187" s="173" t="s">
        <v>585</v>
      </c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</row>
    <row r="188">
      <c r="A188" s="207">
        <v>21.0</v>
      </c>
      <c r="B188" s="196" t="s">
        <v>469</v>
      </c>
      <c r="C188" s="196" t="s">
        <v>418</v>
      </c>
      <c r="D188" s="208" t="s">
        <v>802</v>
      </c>
      <c r="E188" s="209">
        <v>44415.0</v>
      </c>
      <c r="F188" s="210" t="s">
        <v>641</v>
      </c>
      <c r="G188" s="173" t="s">
        <v>92</v>
      </c>
      <c r="H188" s="173">
        <v>1.0</v>
      </c>
      <c r="I188" s="173"/>
      <c r="J188" s="199">
        <v>0.0</v>
      </c>
      <c r="K188" s="206">
        <f>vlookup($D188,Python!$D$2:$F$1000,3,FALSE)</f>
        <v>21</v>
      </c>
      <c r="L188" s="199">
        <v>0.0</v>
      </c>
      <c r="M188" s="173"/>
      <c r="N188" s="199" t="s">
        <v>585</v>
      </c>
      <c r="O188" s="173"/>
      <c r="P188" s="173" t="s">
        <v>585</v>
      </c>
      <c r="Q188" s="173"/>
      <c r="R188" s="173" t="s">
        <v>585</v>
      </c>
      <c r="S188" s="173"/>
      <c r="T188" s="173" t="s">
        <v>585</v>
      </c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</row>
    <row r="189">
      <c r="A189" s="207">
        <v>22.0</v>
      </c>
      <c r="B189" s="196" t="s">
        <v>469</v>
      </c>
      <c r="C189" s="196" t="s">
        <v>510</v>
      </c>
      <c r="D189" s="208" t="s">
        <v>803</v>
      </c>
      <c r="E189" s="209">
        <v>44415.0</v>
      </c>
      <c r="F189" s="210" t="s">
        <v>641</v>
      </c>
      <c r="G189" s="173" t="s">
        <v>92</v>
      </c>
      <c r="H189" s="173">
        <v>1.0</v>
      </c>
      <c r="I189" s="173"/>
      <c r="J189" s="199">
        <v>0.0</v>
      </c>
      <c r="K189" s="206">
        <f>vlookup($D189,Python!$D$2:$F$1000,3,FALSE)</f>
        <v>73.3</v>
      </c>
      <c r="L189" s="199">
        <v>1000000.0</v>
      </c>
      <c r="M189" s="173"/>
      <c r="N189" s="199" t="s">
        <v>585</v>
      </c>
      <c r="O189" s="173"/>
      <c r="P189" s="173" t="s">
        <v>585</v>
      </c>
      <c r="Q189" s="173"/>
      <c r="R189" s="173" t="s">
        <v>585</v>
      </c>
      <c r="S189" s="173"/>
      <c r="T189" s="173" t="s">
        <v>585</v>
      </c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</row>
    <row r="190">
      <c r="A190" s="207">
        <v>23.0</v>
      </c>
      <c r="B190" s="196" t="s">
        <v>477</v>
      </c>
      <c r="C190" s="196" t="s">
        <v>418</v>
      </c>
      <c r="D190" s="208" t="s">
        <v>804</v>
      </c>
      <c r="E190" s="209">
        <v>44414.0</v>
      </c>
      <c r="F190" s="210" t="s">
        <v>641</v>
      </c>
      <c r="G190" s="173" t="s">
        <v>92</v>
      </c>
      <c r="H190" s="173">
        <v>1.0</v>
      </c>
      <c r="I190" s="173"/>
      <c r="J190" s="199">
        <v>0.0</v>
      </c>
      <c r="K190" s="206">
        <f>vlookup($D190,Python!$D$2:$F$1000,3,FALSE)</f>
        <v>102</v>
      </c>
      <c r="L190" s="199">
        <v>2000000.0</v>
      </c>
      <c r="M190" s="173"/>
      <c r="N190" s="199" t="s">
        <v>585</v>
      </c>
      <c r="O190" s="173"/>
      <c r="P190" s="173" t="s">
        <v>585</v>
      </c>
      <c r="Q190" s="173"/>
      <c r="R190" s="173" t="s">
        <v>585</v>
      </c>
      <c r="S190" s="173"/>
      <c r="T190" s="173" t="s">
        <v>585</v>
      </c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</row>
    <row r="191">
      <c r="A191" s="207">
        <v>24.0</v>
      </c>
      <c r="B191" s="196" t="s">
        <v>483</v>
      </c>
      <c r="C191" s="196" t="s">
        <v>418</v>
      </c>
      <c r="D191" s="208" t="s">
        <v>805</v>
      </c>
      <c r="E191" s="209">
        <v>44415.0</v>
      </c>
      <c r="F191" s="210" t="s">
        <v>641</v>
      </c>
      <c r="G191" s="173" t="s">
        <v>92</v>
      </c>
      <c r="H191" s="173">
        <v>1.0</v>
      </c>
      <c r="I191" s="173"/>
      <c r="J191" s="199">
        <v>0.0</v>
      </c>
      <c r="K191" s="206">
        <f>vlookup($D191,Python!$D$2:$F$1000,3,FALSE)</f>
        <v>20</v>
      </c>
      <c r="L191" s="199">
        <v>0.0</v>
      </c>
      <c r="M191" s="173"/>
      <c r="N191" s="199" t="s">
        <v>585</v>
      </c>
      <c r="O191" s="173"/>
      <c r="P191" s="173" t="s">
        <v>585</v>
      </c>
      <c r="Q191" s="173"/>
      <c r="R191" s="173" t="s">
        <v>585</v>
      </c>
      <c r="S191" s="173"/>
      <c r="T191" s="173" t="s">
        <v>585</v>
      </c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</row>
    <row r="192">
      <c r="A192" s="207">
        <v>25.0</v>
      </c>
      <c r="B192" s="196" t="s">
        <v>485</v>
      </c>
      <c r="C192" s="196" t="s">
        <v>418</v>
      </c>
      <c r="D192" s="208" t="s">
        <v>806</v>
      </c>
      <c r="E192" s="209">
        <v>44415.0</v>
      </c>
      <c r="F192" s="210" t="s">
        <v>641</v>
      </c>
      <c r="G192" s="173" t="s">
        <v>92</v>
      </c>
      <c r="H192" s="173">
        <v>1.0</v>
      </c>
      <c r="I192" s="173"/>
      <c r="J192" s="199">
        <v>0.0</v>
      </c>
      <c r="K192" s="206">
        <f>vlookup($D192,Python!$D$2:$F$1000,3,FALSE)</f>
        <v>10</v>
      </c>
      <c r="L192" s="199">
        <v>0.0</v>
      </c>
      <c r="M192" s="173"/>
      <c r="N192" s="199" t="s">
        <v>585</v>
      </c>
      <c r="O192" s="173"/>
      <c r="P192" s="173" t="s">
        <v>585</v>
      </c>
      <c r="Q192" s="173"/>
      <c r="R192" s="173" t="s">
        <v>585</v>
      </c>
      <c r="S192" s="173"/>
      <c r="T192" s="173" t="s">
        <v>585</v>
      </c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</row>
    <row r="193">
      <c r="A193" s="207">
        <v>26.0</v>
      </c>
      <c r="B193" s="196" t="s">
        <v>492</v>
      </c>
      <c r="C193" s="196" t="s">
        <v>422</v>
      </c>
      <c r="D193" s="208" t="s">
        <v>807</v>
      </c>
      <c r="E193" s="209">
        <v>44407.0</v>
      </c>
      <c r="F193" s="210" t="s">
        <v>642</v>
      </c>
      <c r="G193" s="173" t="s">
        <v>92</v>
      </c>
      <c r="H193" s="173">
        <v>1.0</v>
      </c>
      <c r="I193" s="173"/>
      <c r="J193" s="199">
        <v>0.0</v>
      </c>
      <c r="K193" s="206">
        <f>vlookup($D193,Python!$D$2:$F$1000,3,FALSE)</f>
        <v>460.6</v>
      </c>
      <c r="L193" s="199">
        <v>2000000.0</v>
      </c>
      <c r="M193" s="173"/>
      <c r="N193" s="199" t="s">
        <v>585</v>
      </c>
      <c r="O193" s="173"/>
      <c r="P193" s="173" t="s">
        <v>585</v>
      </c>
      <c r="Q193" s="173"/>
      <c r="R193" s="173" t="s">
        <v>585</v>
      </c>
      <c r="S193" s="173"/>
      <c r="T193" s="173" t="s">
        <v>585</v>
      </c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</row>
    <row r="194">
      <c r="A194" s="207">
        <v>27.0</v>
      </c>
      <c r="B194" s="196" t="s">
        <v>492</v>
      </c>
      <c r="C194" s="196" t="s">
        <v>422</v>
      </c>
      <c r="D194" s="208" t="s">
        <v>808</v>
      </c>
      <c r="E194" s="209">
        <v>44421.0</v>
      </c>
      <c r="F194" s="210" t="s">
        <v>647</v>
      </c>
      <c r="G194" s="173" t="s">
        <v>92</v>
      </c>
      <c r="H194" s="173">
        <v>1.0</v>
      </c>
      <c r="I194" s="173"/>
      <c r="J194" s="199">
        <v>0.0</v>
      </c>
      <c r="K194" s="206">
        <f>vlookup($D194,Python!$D$2:$F$1000,3,FALSE)</f>
        <v>933.9</v>
      </c>
      <c r="L194" s="199">
        <v>4500000.0</v>
      </c>
      <c r="M194" s="173"/>
      <c r="N194" s="199" t="s">
        <v>585</v>
      </c>
      <c r="O194" s="173"/>
      <c r="P194" s="173" t="s">
        <v>585</v>
      </c>
      <c r="Q194" s="173"/>
      <c r="R194" s="173" t="s">
        <v>585</v>
      </c>
      <c r="S194" s="173"/>
      <c r="T194" s="173" t="s">
        <v>585</v>
      </c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</row>
    <row r="195">
      <c r="A195" s="207">
        <v>28.0</v>
      </c>
      <c r="B195" s="196" t="s">
        <v>592</v>
      </c>
      <c r="C195" s="196" t="s">
        <v>418</v>
      </c>
      <c r="D195" s="208" t="s">
        <v>809</v>
      </c>
      <c r="E195" s="209">
        <v>44401.0</v>
      </c>
      <c r="F195" s="210" t="s">
        <v>642</v>
      </c>
      <c r="G195" s="173" t="s">
        <v>92</v>
      </c>
      <c r="H195" s="173">
        <v>1.0</v>
      </c>
      <c r="I195" s="173"/>
      <c r="J195" s="199">
        <v>0.0</v>
      </c>
      <c r="K195" s="206">
        <f>vlookup($D195,Python!$D$2:$F$1000,3,FALSE)</f>
        <v>51</v>
      </c>
      <c r="L195" s="199">
        <v>1000000.0</v>
      </c>
      <c r="M195" s="173"/>
      <c r="N195" s="199" t="s">
        <v>585</v>
      </c>
      <c r="O195" s="173"/>
      <c r="P195" s="173" t="s">
        <v>585</v>
      </c>
      <c r="Q195" s="173"/>
      <c r="R195" s="173" t="s">
        <v>585</v>
      </c>
      <c r="S195" s="173"/>
      <c r="T195" s="173" t="s">
        <v>585</v>
      </c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</row>
    <row r="196">
      <c r="A196" s="207">
        <v>29.0</v>
      </c>
      <c r="B196" s="196" t="s">
        <v>594</v>
      </c>
      <c r="C196" s="196" t="s">
        <v>418</v>
      </c>
      <c r="D196" s="208" t="s">
        <v>810</v>
      </c>
      <c r="E196" s="209">
        <v>44407.0</v>
      </c>
      <c r="F196" s="210" t="s">
        <v>641</v>
      </c>
      <c r="G196" s="173" t="s">
        <v>92</v>
      </c>
      <c r="H196" s="173">
        <v>1.0</v>
      </c>
      <c r="I196" s="173"/>
      <c r="J196" s="199">
        <v>0.0</v>
      </c>
      <c r="K196" s="206">
        <f>vlookup($D196,Python!$D$2:$F$1000,3,FALSE)</f>
        <v>4.2</v>
      </c>
      <c r="L196" s="199">
        <v>0.0</v>
      </c>
      <c r="M196" s="173"/>
      <c r="N196" s="199" t="s">
        <v>585</v>
      </c>
      <c r="O196" s="173"/>
      <c r="P196" s="173" t="s">
        <v>585</v>
      </c>
      <c r="Q196" s="173"/>
      <c r="R196" s="173" t="s">
        <v>585</v>
      </c>
      <c r="S196" s="173"/>
      <c r="T196" s="173" t="s">
        <v>585</v>
      </c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</row>
    <row r="197">
      <c r="A197" s="207">
        <v>30.0</v>
      </c>
      <c r="B197" s="196" t="s">
        <v>594</v>
      </c>
      <c r="C197" s="196" t="s">
        <v>422</v>
      </c>
      <c r="D197" s="208" t="s">
        <v>811</v>
      </c>
      <c r="E197" s="209">
        <v>44407.0</v>
      </c>
      <c r="F197" s="210" t="s">
        <v>641</v>
      </c>
      <c r="G197" s="173" t="s">
        <v>92</v>
      </c>
      <c r="H197" s="173">
        <v>1.0</v>
      </c>
      <c r="I197" s="173"/>
      <c r="J197" s="199">
        <v>0.0</v>
      </c>
      <c r="K197" s="206">
        <f>vlookup($D197,Python!$D$2:$F$1000,3,FALSE)</f>
        <v>100.4</v>
      </c>
      <c r="L197" s="199">
        <v>500000.0</v>
      </c>
      <c r="M197" s="173"/>
      <c r="N197" s="199" t="s">
        <v>585</v>
      </c>
      <c r="O197" s="173"/>
      <c r="P197" s="173" t="s">
        <v>585</v>
      </c>
      <c r="Q197" s="173"/>
      <c r="R197" s="173" t="s">
        <v>585</v>
      </c>
      <c r="S197" s="173"/>
      <c r="T197" s="173" t="s">
        <v>585</v>
      </c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</row>
    <row r="198">
      <c r="A198" s="207">
        <v>31.0</v>
      </c>
      <c r="B198" s="196" t="s">
        <v>596</v>
      </c>
      <c r="C198" s="196" t="s">
        <v>418</v>
      </c>
      <c r="D198" s="208" t="s">
        <v>812</v>
      </c>
      <c r="E198" s="209">
        <v>44411.0</v>
      </c>
      <c r="F198" s="210" t="s">
        <v>641</v>
      </c>
      <c r="G198" s="173" t="s">
        <v>92</v>
      </c>
      <c r="H198" s="173">
        <v>1.0</v>
      </c>
      <c r="I198" s="173"/>
      <c r="J198" s="199">
        <v>0.0</v>
      </c>
      <c r="K198" s="206">
        <f>vlookup($D198,Python!$D$2:$F$1000,3,FALSE)</f>
        <v>54</v>
      </c>
      <c r="L198" s="199">
        <v>1000000.0</v>
      </c>
      <c r="M198" s="173"/>
      <c r="N198" s="199" t="s">
        <v>585</v>
      </c>
      <c r="O198" s="173"/>
      <c r="P198" s="173" t="s">
        <v>585</v>
      </c>
      <c r="Q198" s="173"/>
      <c r="R198" s="173" t="s">
        <v>585</v>
      </c>
      <c r="S198" s="173"/>
      <c r="T198" s="173" t="s">
        <v>585</v>
      </c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</row>
    <row r="199">
      <c r="A199" s="207">
        <v>32.0</v>
      </c>
      <c r="B199" s="242" t="s">
        <v>598</v>
      </c>
      <c r="C199" s="242" t="s">
        <v>418</v>
      </c>
      <c r="D199" s="243" t="s">
        <v>813</v>
      </c>
      <c r="E199" s="244">
        <v>44408.0</v>
      </c>
      <c r="F199" s="245" t="s">
        <v>641</v>
      </c>
      <c r="G199" s="246" t="s">
        <v>92</v>
      </c>
      <c r="H199" s="246">
        <v>1.0</v>
      </c>
      <c r="I199" s="247"/>
      <c r="J199" s="248">
        <v>0.0</v>
      </c>
      <c r="K199" s="249">
        <f>vlookup($D199,Python!$D$2:$F$1000,3,FALSE)</f>
        <v>5.2</v>
      </c>
      <c r="L199" s="248">
        <v>0.0</v>
      </c>
      <c r="M199" s="247"/>
      <c r="N199" s="248" t="s">
        <v>585</v>
      </c>
      <c r="O199" s="247"/>
      <c r="P199" s="246" t="s">
        <v>585</v>
      </c>
      <c r="Q199" s="247"/>
      <c r="R199" s="246" t="s">
        <v>585</v>
      </c>
      <c r="S199" s="247"/>
      <c r="T199" s="246" t="s">
        <v>585</v>
      </c>
      <c r="U199" s="247"/>
      <c r="V199" s="247"/>
      <c r="W199" s="247"/>
      <c r="X199" s="247"/>
      <c r="Y199" s="247"/>
      <c r="Z199" s="247"/>
      <c r="AA199" s="247"/>
      <c r="AB199" s="247"/>
      <c r="AC199" s="247"/>
      <c r="AD199" s="247"/>
      <c r="AE199" s="247"/>
      <c r="AF199" s="247"/>
    </row>
    <row r="200">
      <c r="A200" s="207">
        <v>33.0</v>
      </c>
      <c r="B200" s="196" t="s">
        <v>600</v>
      </c>
      <c r="C200" s="196" t="s">
        <v>422</v>
      </c>
      <c r="D200" s="208" t="s">
        <v>814</v>
      </c>
      <c r="E200" s="209">
        <v>44404.0</v>
      </c>
      <c r="F200" s="210" t="s">
        <v>642</v>
      </c>
      <c r="G200" s="173" t="s">
        <v>92</v>
      </c>
      <c r="H200" s="173">
        <v>1.0</v>
      </c>
      <c r="I200" s="173"/>
      <c r="J200" s="199">
        <v>0.0</v>
      </c>
      <c r="K200" s="206">
        <f>vlookup($D200,Python!$D$2:$F$1000,3,FALSE)</f>
        <v>2000</v>
      </c>
      <c r="L200" s="199">
        <v>1.0E7</v>
      </c>
      <c r="M200" s="173"/>
      <c r="N200" s="199" t="s">
        <v>585</v>
      </c>
      <c r="O200" s="173"/>
      <c r="P200" s="173" t="s">
        <v>585</v>
      </c>
      <c r="Q200" s="173"/>
      <c r="R200" s="173" t="s">
        <v>585</v>
      </c>
      <c r="S200" s="173"/>
      <c r="T200" s="173" t="s">
        <v>585</v>
      </c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</row>
    <row r="201">
      <c r="A201" s="207">
        <v>34.0</v>
      </c>
      <c r="B201" s="196" t="s">
        <v>600</v>
      </c>
      <c r="C201" s="196" t="s">
        <v>422</v>
      </c>
      <c r="D201" s="208" t="s">
        <v>815</v>
      </c>
      <c r="E201" s="209">
        <v>44406.0</v>
      </c>
      <c r="F201" s="210" t="s">
        <v>642</v>
      </c>
      <c r="G201" s="173" t="s">
        <v>92</v>
      </c>
      <c r="H201" s="173">
        <v>1.0</v>
      </c>
      <c r="I201" s="173"/>
      <c r="J201" s="199">
        <v>0.0</v>
      </c>
      <c r="K201" s="206">
        <f>vlookup($D201,Python!$D$2:$F$1000,3,FALSE)</f>
        <v>1800</v>
      </c>
      <c r="L201" s="199">
        <v>9000000.0</v>
      </c>
      <c r="M201" s="173"/>
      <c r="N201" s="199" t="s">
        <v>585</v>
      </c>
      <c r="O201" s="173"/>
      <c r="P201" s="173" t="s">
        <v>585</v>
      </c>
      <c r="Q201" s="173"/>
      <c r="R201" s="173" t="s">
        <v>585</v>
      </c>
      <c r="S201" s="173"/>
      <c r="T201" s="173" t="s">
        <v>585</v>
      </c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</row>
    <row r="202">
      <c r="A202" s="207">
        <v>35.0</v>
      </c>
      <c r="B202" s="196" t="s">
        <v>602</v>
      </c>
      <c r="C202" s="196" t="s">
        <v>422</v>
      </c>
      <c r="D202" s="208" t="s">
        <v>816</v>
      </c>
      <c r="E202" s="209">
        <v>44402.0</v>
      </c>
      <c r="F202" s="210" t="s">
        <v>642</v>
      </c>
      <c r="G202" s="173" t="s">
        <v>92</v>
      </c>
      <c r="H202" s="173">
        <v>1.0</v>
      </c>
      <c r="I202" s="173"/>
      <c r="J202" s="199">
        <v>0.0</v>
      </c>
      <c r="K202" s="206">
        <f>vlookup($D202,Python!$D$2:$F$1000,3,FALSE)</f>
        <v>64.1</v>
      </c>
      <c r="L202" s="199">
        <v>0.0</v>
      </c>
      <c r="M202" s="173"/>
      <c r="N202" s="199" t="s">
        <v>585</v>
      </c>
      <c r="O202" s="173"/>
      <c r="P202" s="173" t="s">
        <v>585</v>
      </c>
      <c r="Q202" s="173"/>
      <c r="R202" s="173" t="s">
        <v>585</v>
      </c>
      <c r="S202" s="173"/>
      <c r="T202" s="173" t="s">
        <v>585</v>
      </c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</row>
    <row r="203">
      <c r="A203" s="207">
        <v>36.0</v>
      </c>
      <c r="B203" s="196" t="s">
        <v>602</v>
      </c>
      <c r="C203" s="196" t="s">
        <v>422</v>
      </c>
      <c r="D203" s="208" t="s">
        <v>817</v>
      </c>
      <c r="E203" s="209">
        <v>44407.0</v>
      </c>
      <c r="F203" s="210" t="s">
        <v>642</v>
      </c>
      <c r="G203" s="173" t="s">
        <v>92</v>
      </c>
      <c r="H203" s="173">
        <v>1.0</v>
      </c>
      <c r="I203" s="173"/>
      <c r="J203" s="199">
        <v>0.0</v>
      </c>
      <c r="K203" s="206">
        <f>vlookup($D203,Python!$D$2:$F$1000,3,FALSE)</f>
        <v>64.6</v>
      </c>
      <c r="L203" s="199">
        <v>0.0</v>
      </c>
      <c r="M203" s="173"/>
      <c r="N203" s="199" t="s">
        <v>585</v>
      </c>
      <c r="O203" s="173"/>
      <c r="P203" s="173" t="s">
        <v>585</v>
      </c>
      <c r="Q203" s="173"/>
      <c r="R203" s="173" t="s">
        <v>585</v>
      </c>
      <c r="S203" s="173"/>
      <c r="T203" s="173" t="s">
        <v>585</v>
      </c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</row>
    <row r="204">
      <c r="A204" s="207">
        <v>37.0</v>
      </c>
      <c r="B204" s="214" t="s">
        <v>615</v>
      </c>
      <c r="C204" s="214" t="s">
        <v>418</v>
      </c>
      <c r="D204" s="215" t="s">
        <v>818</v>
      </c>
      <c r="E204" s="216">
        <v>44415.0</v>
      </c>
      <c r="F204" s="217" t="s">
        <v>641</v>
      </c>
      <c r="G204" s="218" t="s">
        <v>92</v>
      </c>
      <c r="H204" s="218">
        <v>1.0</v>
      </c>
      <c r="I204" s="222"/>
      <c r="J204" s="220">
        <v>0.0</v>
      </c>
      <c r="K204" s="206">
        <f>vlookup($D204,Python!$D$2:$F$1000,3,FALSE)</f>
        <v>5.8</v>
      </c>
      <c r="L204" s="220">
        <v>0.0</v>
      </c>
      <c r="M204" s="173"/>
      <c r="N204" s="220" t="s">
        <v>585</v>
      </c>
      <c r="O204" s="222"/>
      <c r="P204" s="218" t="s">
        <v>585</v>
      </c>
      <c r="Q204" s="222"/>
      <c r="R204" s="218" t="s">
        <v>585</v>
      </c>
      <c r="S204" s="222"/>
      <c r="T204" s="218" t="s">
        <v>585</v>
      </c>
      <c r="U204" s="222"/>
      <c r="V204" s="222"/>
      <c r="W204" s="222"/>
      <c r="X204" s="222"/>
      <c r="Y204" s="222"/>
      <c r="Z204" s="222"/>
      <c r="AA204" s="222"/>
      <c r="AB204" s="222"/>
      <c r="AC204" s="222"/>
      <c r="AD204" s="222"/>
      <c r="AE204" s="222"/>
      <c r="AF204" s="222"/>
    </row>
    <row r="205">
      <c r="A205" s="207">
        <v>38.0</v>
      </c>
      <c r="B205" s="196" t="s">
        <v>617</v>
      </c>
      <c r="C205" s="196" t="s">
        <v>422</v>
      </c>
      <c r="D205" s="208" t="s">
        <v>819</v>
      </c>
      <c r="E205" s="209">
        <v>44404.0</v>
      </c>
      <c r="F205" s="210" t="s">
        <v>647</v>
      </c>
      <c r="G205" s="173" t="s">
        <v>92</v>
      </c>
      <c r="H205" s="173">
        <v>1.0</v>
      </c>
      <c r="I205" s="173"/>
      <c r="J205" s="199">
        <v>0.0</v>
      </c>
      <c r="K205" s="206">
        <f>vlookup($D205,Python!$D$2:$F$1000,3,FALSE)</f>
        <v>342</v>
      </c>
      <c r="L205" s="199">
        <v>1500000.0</v>
      </c>
      <c r="M205" s="173"/>
      <c r="N205" s="199" t="s">
        <v>585</v>
      </c>
      <c r="O205" s="173"/>
      <c r="P205" s="173" t="s">
        <v>585</v>
      </c>
      <c r="Q205" s="173"/>
      <c r="R205" s="173" t="s">
        <v>585</v>
      </c>
      <c r="S205" s="173"/>
      <c r="T205" s="173" t="s">
        <v>585</v>
      </c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</row>
    <row r="206">
      <c r="A206" s="207">
        <v>39.0</v>
      </c>
      <c r="B206" s="196" t="s">
        <v>617</v>
      </c>
      <c r="C206" s="196" t="s">
        <v>422</v>
      </c>
      <c r="D206" s="208" t="s">
        <v>820</v>
      </c>
      <c r="E206" s="209">
        <v>44414.0</v>
      </c>
      <c r="F206" s="210" t="s">
        <v>642</v>
      </c>
      <c r="G206" s="173" t="s">
        <v>92</v>
      </c>
      <c r="H206" s="173">
        <v>1.0</v>
      </c>
      <c r="I206" s="173"/>
      <c r="J206" s="199">
        <v>0.0</v>
      </c>
      <c r="K206" s="206">
        <f>vlookup($D206,Python!$D$2:$F$1000,3,FALSE)</f>
        <v>190.9</v>
      </c>
      <c r="L206" s="199">
        <v>500000.0</v>
      </c>
      <c r="M206" s="173"/>
      <c r="N206" s="199" t="s">
        <v>585</v>
      </c>
      <c r="O206" s="173"/>
      <c r="P206" s="173" t="s">
        <v>585</v>
      </c>
      <c r="Q206" s="173"/>
      <c r="R206" s="173" t="s">
        <v>585</v>
      </c>
      <c r="S206" s="173"/>
      <c r="T206" s="173" t="s">
        <v>585</v>
      </c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</row>
    <row r="207">
      <c r="A207" s="207">
        <v>40.0</v>
      </c>
      <c r="B207" s="196" t="s">
        <v>619</v>
      </c>
      <c r="C207" s="196" t="s">
        <v>422</v>
      </c>
      <c r="D207" s="232" t="s">
        <v>620</v>
      </c>
      <c r="E207" s="233">
        <v>44407.0</v>
      </c>
      <c r="F207" s="234" t="s">
        <v>642</v>
      </c>
      <c r="G207" s="173" t="s">
        <v>92</v>
      </c>
      <c r="H207" s="173">
        <v>1.0</v>
      </c>
      <c r="I207" s="173"/>
      <c r="J207" s="199">
        <v>0.0</v>
      </c>
      <c r="K207" s="206">
        <f>vlookup($D207,Python!$D$2:$F$1000,3,FALSE)</f>
        <v>10100</v>
      </c>
      <c r="L207" s="199">
        <v>5.05E7</v>
      </c>
      <c r="M207" s="173"/>
      <c r="N207" s="199" t="s">
        <v>585</v>
      </c>
      <c r="O207" s="173"/>
      <c r="P207" s="173" t="s">
        <v>585</v>
      </c>
      <c r="Q207" s="173"/>
      <c r="R207" s="173" t="s">
        <v>585</v>
      </c>
      <c r="S207" s="173"/>
      <c r="T207" s="173" t="s">
        <v>585</v>
      </c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</row>
    <row r="208">
      <c r="A208" s="207">
        <v>41.0</v>
      </c>
      <c r="B208" s="196" t="s">
        <v>621</v>
      </c>
      <c r="C208" s="196" t="s">
        <v>422</v>
      </c>
      <c r="D208" s="208" t="s">
        <v>622</v>
      </c>
      <c r="E208" s="209">
        <v>44412.0</v>
      </c>
      <c r="F208" s="210" t="s">
        <v>641</v>
      </c>
      <c r="G208" s="173" t="s">
        <v>92</v>
      </c>
      <c r="H208" s="173">
        <v>1.0</v>
      </c>
      <c r="I208" s="173"/>
      <c r="J208" s="199">
        <v>0.0</v>
      </c>
      <c r="K208" s="206">
        <f>vlookup($D208,Python!$D$2:$F$1000,3,FALSE)</f>
        <v>6000</v>
      </c>
      <c r="L208" s="199">
        <v>3.0E7</v>
      </c>
      <c r="M208" s="173"/>
      <c r="N208" s="199" t="s">
        <v>585</v>
      </c>
      <c r="O208" s="173"/>
      <c r="P208" s="173" t="s">
        <v>585</v>
      </c>
      <c r="Q208" s="173"/>
      <c r="R208" s="173" t="s">
        <v>585</v>
      </c>
      <c r="S208" s="173"/>
      <c r="T208" s="173" t="s">
        <v>585</v>
      </c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</row>
    <row r="209">
      <c r="A209" s="207">
        <v>42.0</v>
      </c>
      <c r="B209" s="196" t="s">
        <v>623</v>
      </c>
      <c r="C209" s="196" t="s">
        <v>422</v>
      </c>
      <c r="D209" s="208" t="s">
        <v>821</v>
      </c>
      <c r="E209" s="209">
        <v>44406.0</v>
      </c>
      <c r="F209" s="210" t="s">
        <v>642</v>
      </c>
      <c r="G209" s="173" t="s">
        <v>92</v>
      </c>
      <c r="H209" s="173">
        <v>1.0</v>
      </c>
      <c r="I209" s="173"/>
      <c r="J209" s="199">
        <v>0.0</v>
      </c>
      <c r="K209" s="206">
        <f>vlookup($D209,Python!$D$2:$F$1000,3,FALSE)</f>
        <v>2300</v>
      </c>
      <c r="L209" s="199">
        <v>1.15E7</v>
      </c>
      <c r="M209" s="173"/>
      <c r="N209" s="199" t="s">
        <v>585</v>
      </c>
      <c r="O209" s="173"/>
      <c r="P209" s="173" t="s">
        <v>585</v>
      </c>
      <c r="Q209" s="173"/>
      <c r="R209" s="173" t="s">
        <v>585</v>
      </c>
      <c r="S209" s="173"/>
      <c r="T209" s="173" t="s">
        <v>585</v>
      </c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</row>
    <row r="210">
      <c r="A210" s="207">
        <v>43.0</v>
      </c>
      <c r="B210" s="196" t="s">
        <v>623</v>
      </c>
      <c r="C210" s="196" t="s">
        <v>422</v>
      </c>
      <c r="D210" s="208" t="s">
        <v>822</v>
      </c>
      <c r="E210" s="209">
        <v>44409.0</v>
      </c>
      <c r="F210" s="210" t="s">
        <v>647</v>
      </c>
      <c r="G210" s="173" t="s">
        <v>92</v>
      </c>
      <c r="H210" s="173">
        <v>1.0</v>
      </c>
      <c r="I210" s="173"/>
      <c r="J210" s="199">
        <v>0.0</v>
      </c>
      <c r="K210" s="206">
        <f>vlookup($D210,Python!$D$2:$F$1000,3,FALSE)</f>
        <v>1300</v>
      </c>
      <c r="L210" s="199">
        <v>6500000.0</v>
      </c>
      <c r="M210" s="173"/>
      <c r="N210" s="199" t="s">
        <v>585</v>
      </c>
      <c r="O210" s="173"/>
      <c r="P210" s="173" t="s">
        <v>585</v>
      </c>
      <c r="Q210" s="173"/>
      <c r="R210" s="173" t="s">
        <v>585</v>
      </c>
      <c r="S210" s="173"/>
      <c r="T210" s="173" t="s">
        <v>585</v>
      </c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</row>
    <row r="211">
      <c r="A211" s="207">
        <v>44.0</v>
      </c>
      <c r="B211" s="196" t="s">
        <v>623</v>
      </c>
      <c r="C211" s="196" t="s">
        <v>422</v>
      </c>
      <c r="D211" s="208" t="s">
        <v>823</v>
      </c>
      <c r="E211" s="209">
        <v>44411.0</v>
      </c>
      <c r="F211" s="210" t="s">
        <v>642</v>
      </c>
      <c r="G211" s="173" t="s">
        <v>92</v>
      </c>
      <c r="H211" s="173">
        <v>1.0</v>
      </c>
      <c r="I211" s="173"/>
      <c r="J211" s="199">
        <v>0.0</v>
      </c>
      <c r="K211" s="206">
        <f>vlookup($D211,Python!$D$2:$F$1000,3,FALSE)</f>
        <v>2100</v>
      </c>
      <c r="L211" s="199">
        <v>1.05E7</v>
      </c>
      <c r="M211" s="173"/>
      <c r="N211" s="199" t="s">
        <v>585</v>
      </c>
      <c r="O211" s="173"/>
      <c r="P211" s="173" t="s">
        <v>585</v>
      </c>
      <c r="Q211" s="173"/>
      <c r="R211" s="173" t="s">
        <v>585</v>
      </c>
      <c r="S211" s="173"/>
      <c r="T211" s="173" t="s">
        <v>585</v>
      </c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</row>
    <row r="212">
      <c r="A212" s="207">
        <v>45.0</v>
      </c>
      <c r="B212" s="196" t="s">
        <v>623</v>
      </c>
      <c r="C212" s="196" t="s">
        <v>422</v>
      </c>
      <c r="D212" s="208" t="s">
        <v>824</v>
      </c>
      <c r="E212" s="209">
        <v>44412.0</v>
      </c>
      <c r="F212" s="210" t="s">
        <v>642</v>
      </c>
      <c r="G212" s="173" t="s">
        <v>92</v>
      </c>
      <c r="H212" s="173">
        <v>1.0</v>
      </c>
      <c r="I212" s="173"/>
      <c r="J212" s="199">
        <v>0.0</v>
      </c>
      <c r="K212" s="206">
        <f>vlookup($D212,Python!$D$2:$F$1000,3,FALSE)</f>
        <v>479</v>
      </c>
      <c r="L212" s="199">
        <v>2000000.0</v>
      </c>
      <c r="M212" s="173"/>
      <c r="N212" s="199" t="s">
        <v>585</v>
      </c>
      <c r="O212" s="173"/>
      <c r="P212" s="173" t="s">
        <v>585</v>
      </c>
      <c r="Q212" s="173"/>
      <c r="R212" s="173" t="s">
        <v>585</v>
      </c>
      <c r="S212" s="173"/>
      <c r="T212" s="173" t="s">
        <v>585</v>
      </c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</row>
    <row r="213">
      <c r="A213" s="207">
        <v>46.0</v>
      </c>
      <c r="B213" s="196" t="s">
        <v>623</v>
      </c>
      <c r="C213" s="196" t="s">
        <v>422</v>
      </c>
      <c r="D213" s="208" t="s">
        <v>825</v>
      </c>
      <c r="E213" s="209">
        <v>44415.0</v>
      </c>
      <c r="F213" s="210" t="s">
        <v>642</v>
      </c>
      <c r="G213" s="173" t="s">
        <v>92</v>
      </c>
      <c r="H213" s="173">
        <v>1.0</v>
      </c>
      <c r="I213" s="173"/>
      <c r="J213" s="199">
        <v>0.0</v>
      </c>
      <c r="K213" s="206">
        <f>vlookup($D213,Python!$D$2:$F$1000,3,FALSE)</f>
        <v>564.1</v>
      </c>
      <c r="L213" s="199">
        <v>2500000.0</v>
      </c>
      <c r="M213" s="173"/>
      <c r="N213" s="199" t="s">
        <v>585</v>
      </c>
      <c r="O213" s="173"/>
      <c r="P213" s="173" t="s">
        <v>585</v>
      </c>
      <c r="Q213" s="173"/>
      <c r="R213" s="173" t="s">
        <v>585</v>
      </c>
      <c r="S213" s="173"/>
      <c r="T213" s="173" t="s">
        <v>585</v>
      </c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</row>
    <row r="214">
      <c r="A214" s="207">
        <v>47.0</v>
      </c>
      <c r="B214" s="196" t="s">
        <v>623</v>
      </c>
      <c r="C214" s="196" t="s">
        <v>422</v>
      </c>
      <c r="D214" s="208" t="s">
        <v>826</v>
      </c>
      <c r="E214" s="209">
        <v>44416.0</v>
      </c>
      <c r="F214" s="210" t="s">
        <v>642</v>
      </c>
      <c r="G214" s="173" t="s">
        <v>92</v>
      </c>
      <c r="H214" s="173">
        <v>1.0</v>
      </c>
      <c r="I214" s="173"/>
      <c r="J214" s="199">
        <v>0.0</v>
      </c>
      <c r="K214" s="206">
        <f>vlookup($D214,Python!$D$2:$F$1000,3,FALSE)</f>
        <v>2900</v>
      </c>
      <c r="L214" s="199">
        <v>1.45E7</v>
      </c>
      <c r="M214" s="173"/>
      <c r="N214" s="199" t="s">
        <v>585</v>
      </c>
      <c r="O214" s="173"/>
      <c r="P214" s="173" t="s">
        <v>585</v>
      </c>
      <c r="Q214" s="173"/>
      <c r="R214" s="173" t="s">
        <v>585</v>
      </c>
      <c r="S214" s="173"/>
      <c r="T214" s="173" t="s">
        <v>585</v>
      </c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</row>
    <row r="215">
      <c r="A215" s="207">
        <v>48.0</v>
      </c>
      <c r="B215" s="196" t="s">
        <v>625</v>
      </c>
      <c r="C215" s="196" t="s">
        <v>422</v>
      </c>
      <c r="D215" s="208" t="s">
        <v>827</v>
      </c>
      <c r="E215" s="209">
        <v>44408.0</v>
      </c>
      <c r="F215" s="210" t="s">
        <v>642</v>
      </c>
      <c r="G215" s="173" t="s">
        <v>466</v>
      </c>
      <c r="H215" s="173">
        <v>1.0</v>
      </c>
      <c r="I215" s="173"/>
      <c r="J215" s="199">
        <v>0.0</v>
      </c>
      <c r="K215" s="206">
        <f>vlookup($D215,Python!$D$2:$F$1000,3,FALSE)</f>
        <v>943.5</v>
      </c>
      <c r="L215" s="199">
        <v>4500000.0</v>
      </c>
      <c r="M215" s="173"/>
      <c r="N215" s="199" t="s">
        <v>585</v>
      </c>
      <c r="O215" s="173"/>
      <c r="P215" s="173" t="s">
        <v>585</v>
      </c>
      <c r="Q215" s="173"/>
      <c r="R215" s="173" t="s">
        <v>585</v>
      </c>
      <c r="S215" s="173"/>
      <c r="T215" s="173" t="s">
        <v>585</v>
      </c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</row>
    <row r="216">
      <c r="A216" s="207">
        <v>49.0</v>
      </c>
      <c r="B216" s="196" t="s">
        <v>625</v>
      </c>
      <c r="C216" s="196" t="s">
        <v>422</v>
      </c>
      <c r="D216" s="208" t="s">
        <v>828</v>
      </c>
      <c r="E216" s="209">
        <v>44411.0</v>
      </c>
      <c r="F216" s="210" t="s">
        <v>642</v>
      </c>
      <c r="G216" s="173" t="s">
        <v>466</v>
      </c>
      <c r="H216" s="173">
        <v>1.0</v>
      </c>
      <c r="I216" s="173"/>
      <c r="J216" s="199">
        <v>0.0</v>
      </c>
      <c r="K216" s="206">
        <f>vlookup($D216,Python!$D$2:$F$1000,3,FALSE)</f>
        <v>6500</v>
      </c>
      <c r="L216" s="199">
        <v>3.25E7</v>
      </c>
      <c r="M216" s="173"/>
      <c r="N216" s="199" t="s">
        <v>585</v>
      </c>
      <c r="O216" s="173"/>
      <c r="P216" s="173" t="s">
        <v>585</v>
      </c>
      <c r="Q216" s="173"/>
      <c r="R216" s="173" t="s">
        <v>585</v>
      </c>
      <c r="S216" s="173"/>
      <c r="T216" s="173" t="s">
        <v>585</v>
      </c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</row>
    <row r="217">
      <c r="A217" s="207">
        <v>50.0</v>
      </c>
      <c r="B217" s="196" t="s">
        <v>625</v>
      </c>
      <c r="C217" s="196" t="s">
        <v>422</v>
      </c>
      <c r="D217" s="208" t="s">
        <v>829</v>
      </c>
      <c r="E217" s="209">
        <v>44415.0</v>
      </c>
      <c r="F217" s="210" t="s">
        <v>642</v>
      </c>
      <c r="G217" s="173" t="s">
        <v>466</v>
      </c>
      <c r="H217" s="173">
        <v>1.0</v>
      </c>
      <c r="I217" s="173"/>
      <c r="J217" s="199">
        <v>0.0</v>
      </c>
      <c r="K217" s="206">
        <f>vlookup($D217,Python!$D$2:$F$1000,3,FALSE)</f>
        <v>13800</v>
      </c>
      <c r="L217" s="199">
        <v>6.9E7</v>
      </c>
      <c r="M217" s="173"/>
      <c r="N217" s="199" t="s">
        <v>585</v>
      </c>
      <c r="O217" s="173"/>
      <c r="P217" s="173" t="s">
        <v>585</v>
      </c>
      <c r="Q217" s="173"/>
      <c r="R217" s="173" t="s">
        <v>585</v>
      </c>
      <c r="S217" s="173"/>
      <c r="T217" s="173" t="s">
        <v>585</v>
      </c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</row>
    <row r="218">
      <c r="A218" s="207">
        <v>51.0</v>
      </c>
      <c r="B218" s="196" t="s">
        <v>830</v>
      </c>
      <c r="C218" s="196" t="s">
        <v>422</v>
      </c>
      <c r="D218" s="208" t="s">
        <v>831</v>
      </c>
      <c r="E218" s="209">
        <v>44416.0</v>
      </c>
      <c r="F218" s="210" t="s">
        <v>647</v>
      </c>
      <c r="G218" s="173" t="s">
        <v>466</v>
      </c>
      <c r="H218" s="173">
        <v>1.0</v>
      </c>
      <c r="I218" s="173"/>
      <c r="J218" s="199">
        <v>0.0</v>
      </c>
      <c r="K218" s="206">
        <f>vlookup($D218,Python!$D$2:$F$1000,3,FALSE)</f>
        <v>3900</v>
      </c>
      <c r="L218" s="199">
        <v>1.95E7</v>
      </c>
      <c r="M218" s="173"/>
      <c r="N218" s="199" t="s">
        <v>585</v>
      </c>
      <c r="O218" s="173"/>
      <c r="P218" s="173" t="s">
        <v>585</v>
      </c>
      <c r="Q218" s="173"/>
      <c r="R218" s="173" t="s">
        <v>585</v>
      </c>
      <c r="S218" s="173"/>
      <c r="T218" s="173" t="s">
        <v>585</v>
      </c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</row>
    <row r="219">
      <c r="A219" s="207">
        <v>52.0</v>
      </c>
      <c r="B219" s="196" t="s">
        <v>613</v>
      </c>
      <c r="C219" s="196" t="s">
        <v>418</v>
      </c>
      <c r="D219" s="208" t="s">
        <v>614</v>
      </c>
      <c r="E219" s="209">
        <v>44415.0</v>
      </c>
      <c r="F219" s="210" t="s">
        <v>641</v>
      </c>
      <c r="G219" s="173" t="s">
        <v>92</v>
      </c>
      <c r="H219" s="173">
        <v>1.0</v>
      </c>
      <c r="I219" s="173"/>
      <c r="J219" s="199">
        <v>0.0</v>
      </c>
      <c r="K219" s="206">
        <f>vlookup($D219,Python!$D$2:$F$1000,3,FALSE)</f>
        <v>98</v>
      </c>
      <c r="L219" s="199">
        <v>1000000.0</v>
      </c>
      <c r="M219" s="173"/>
      <c r="N219" s="199" t="s">
        <v>585</v>
      </c>
      <c r="O219" s="173"/>
      <c r="P219" s="173" t="s">
        <v>585</v>
      </c>
      <c r="Q219" s="173"/>
      <c r="R219" s="173" t="s">
        <v>585</v>
      </c>
      <c r="S219" s="173"/>
      <c r="T219" s="173" t="s">
        <v>585</v>
      </c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</row>
    <row r="220">
      <c r="A220" s="207">
        <v>53.0</v>
      </c>
      <c r="B220" s="196" t="s">
        <v>611</v>
      </c>
      <c r="C220" s="196" t="s">
        <v>422</v>
      </c>
      <c r="D220" s="208" t="s">
        <v>832</v>
      </c>
      <c r="E220" s="209">
        <v>44436.0</v>
      </c>
      <c r="F220" s="210" t="s">
        <v>642</v>
      </c>
      <c r="G220" s="173" t="s">
        <v>92</v>
      </c>
      <c r="H220" s="173">
        <v>1.0</v>
      </c>
      <c r="I220" s="173"/>
      <c r="J220" s="199">
        <v>0.0</v>
      </c>
      <c r="K220" s="206">
        <f>vlookup($D220,Python!$D$2:$F$1000,3,FALSE)</f>
        <v>118.5</v>
      </c>
      <c r="L220" s="199">
        <v>500000.0</v>
      </c>
      <c r="M220" s="173"/>
      <c r="N220" s="199" t="s">
        <v>585</v>
      </c>
      <c r="O220" s="173"/>
      <c r="P220" s="173" t="s">
        <v>585</v>
      </c>
      <c r="Q220" s="173"/>
      <c r="R220" s="173" t="s">
        <v>585</v>
      </c>
      <c r="S220" s="173"/>
      <c r="T220" s="173" t="s">
        <v>585</v>
      </c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</row>
    <row r="221">
      <c r="A221" s="207">
        <v>54.0</v>
      </c>
      <c r="B221" s="196" t="s">
        <v>611</v>
      </c>
      <c r="C221" s="196" t="s">
        <v>422</v>
      </c>
      <c r="D221" s="232" t="s">
        <v>833</v>
      </c>
      <c r="E221" s="233">
        <v>44414.0</v>
      </c>
      <c r="F221" s="234" t="s">
        <v>642</v>
      </c>
      <c r="G221" s="173" t="s">
        <v>92</v>
      </c>
      <c r="H221" s="173">
        <v>1.0</v>
      </c>
      <c r="I221" s="173"/>
      <c r="J221" s="199">
        <v>0.0</v>
      </c>
      <c r="K221" s="206">
        <f>vlookup($D221,Python!$D$2:$F$1000,3,FALSE)</f>
        <v>1800</v>
      </c>
      <c r="L221" s="199">
        <v>9000000.0</v>
      </c>
      <c r="M221" s="173"/>
      <c r="N221" s="199" t="s">
        <v>585</v>
      </c>
      <c r="O221" s="173"/>
      <c r="P221" s="173" t="s">
        <v>585</v>
      </c>
      <c r="Q221" s="173"/>
      <c r="R221" s="173" t="s">
        <v>585</v>
      </c>
      <c r="S221" s="173"/>
      <c r="T221" s="173" t="s">
        <v>585</v>
      </c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</row>
    <row r="222">
      <c r="A222" s="207">
        <v>55.0</v>
      </c>
      <c r="B222" s="250" t="s">
        <v>606</v>
      </c>
      <c r="C222" s="250" t="s">
        <v>418</v>
      </c>
      <c r="D222" s="251" t="s">
        <v>834</v>
      </c>
      <c r="E222" s="252">
        <v>44408.0</v>
      </c>
      <c r="F222" s="253" t="s">
        <v>642</v>
      </c>
      <c r="G222" s="254" t="s">
        <v>92</v>
      </c>
      <c r="H222" s="254">
        <v>1.0</v>
      </c>
      <c r="I222" s="255"/>
      <c r="J222" s="256">
        <v>0.0</v>
      </c>
      <c r="K222" s="257">
        <f>vlookup($D222,Python!$D$2:$F$1000,3,FALSE)</f>
        <v>663</v>
      </c>
      <c r="L222" s="256">
        <v>1.3E7</v>
      </c>
      <c r="M222" s="255"/>
      <c r="N222" s="256" t="s">
        <v>585</v>
      </c>
      <c r="O222" s="255"/>
      <c r="P222" s="254" t="s">
        <v>585</v>
      </c>
      <c r="Q222" s="255"/>
      <c r="R222" s="254" t="s">
        <v>585</v>
      </c>
      <c r="S222" s="255"/>
      <c r="T222" s="254" t="s">
        <v>585</v>
      </c>
      <c r="U222" s="255"/>
      <c r="V222" s="255"/>
      <c r="W222" s="255"/>
      <c r="X222" s="255"/>
      <c r="Y222" s="255"/>
      <c r="Z222" s="255"/>
      <c r="AA222" s="255"/>
      <c r="AB222" s="255"/>
      <c r="AC222" s="255"/>
      <c r="AD222" s="255"/>
      <c r="AE222" s="255"/>
      <c r="AF222" s="255"/>
    </row>
    <row r="223">
      <c r="A223" s="207">
        <v>56.0</v>
      </c>
      <c r="B223" s="196" t="s">
        <v>604</v>
      </c>
      <c r="C223" s="196" t="s">
        <v>422</v>
      </c>
      <c r="D223" s="208" t="s">
        <v>835</v>
      </c>
      <c r="E223" s="209">
        <v>44413.0</v>
      </c>
      <c r="F223" s="210" t="s">
        <v>647</v>
      </c>
      <c r="G223" s="173" t="s">
        <v>92</v>
      </c>
      <c r="H223" s="173">
        <v>1.0</v>
      </c>
      <c r="I223" s="173"/>
      <c r="J223" s="199">
        <v>0.0</v>
      </c>
      <c r="K223" s="206">
        <f>vlookup($D223,Python!$D$2:$F$1000,3,FALSE)</f>
        <v>776.7</v>
      </c>
      <c r="L223" s="199">
        <v>3500000.0</v>
      </c>
      <c r="M223" s="173"/>
      <c r="N223" s="199" t="s">
        <v>585</v>
      </c>
      <c r="O223" s="173"/>
      <c r="P223" s="173" t="s">
        <v>585</v>
      </c>
      <c r="Q223" s="173"/>
      <c r="R223" s="173" t="s">
        <v>585</v>
      </c>
      <c r="S223" s="173"/>
      <c r="T223" s="173" t="s">
        <v>585</v>
      </c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</row>
    <row r="224">
      <c r="A224" s="207">
        <v>57.0</v>
      </c>
      <c r="B224" s="196" t="s">
        <v>604</v>
      </c>
      <c r="C224" s="196" t="s">
        <v>422</v>
      </c>
      <c r="D224" s="208" t="s">
        <v>836</v>
      </c>
      <c r="E224" s="209">
        <v>44416.0</v>
      </c>
      <c r="F224" s="210" t="s">
        <v>642</v>
      </c>
      <c r="G224" s="173" t="s">
        <v>92</v>
      </c>
      <c r="H224" s="173">
        <v>1.0</v>
      </c>
      <c r="I224" s="173"/>
      <c r="J224" s="199">
        <v>0.0</v>
      </c>
      <c r="K224" s="206">
        <f>vlookup($D224,Python!$D$2:$F$1000,3,FALSE)</f>
        <v>495.1</v>
      </c>
      <c r="L224" s="199">
        <v>2000000.0</v>
      </c>
      <c r="M224" s="173"/>
      <c r="N224" s="199" t="s">
        <v>585</v>
      </c>
      <c r="O224" s="173"/>
      <c r="P224" s="173" t="s">
        <v>585</v>
      </c>
      <c r="Q224" s="173"/>
      <c r="R224" s="173" t="s">
        <v>585</v>
      </c>
      <c r="S224" s="173"/>
      <c r="T224" s="173" t="s">
        <v>585</v>
      </c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</row>
    <row r="225">
      <c r="A225" s="207">
        <v>58.0</v>
      </c>
      <c r="B225" s="196" t="s">
        <v>604</v>
      </c>
      <c r="C225" s="196" t="s">
        <v>422</v>
      </c>
      <c r="D225" s="208" t="s">
        <v>837</v>
      </c>
      <c r="E225" s="209">
        <v>44408.0</v>
      </c>
      <c r="F225" s="210" t="s">
        <v>642</v>
      </c>
      <c r="G225" s="173" t="s">
        <v>92</v>
      </c>
      <c r="H225" s="173">
        <v>1.0</v>
      </c>
      <c r="I225" s="173"/>
      <c r="J225" s="199">
        <v>0.0</v>
      </c>
      <c r="K225" s="206">
        <f>vlookup($D225,Python!$D$2:$F$1000,3,FALSE)</f>
        <v>9700</v>
      </c>
      <c r="L225" s="199">
        <v>4.85E7</v>
      </c>
      <c r="M225" s="173"/>
      <c r="N225" s="199" t="s">
        <v>585</v>
      </c>
      <c r="O225" s="173"/>
      <c r="P225" s="173" t="s">
        <v>585</v>
      </c>
      <c r="Q225" s="173"/>
      <c r="R225" s="173" t="s">
        <v>585</v>
      </c>
      <c r="S225" s="173"/>
      <c r="T225" s="173" t="s">
        <v>585</v>
      </c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</row>
    <row r="226">
      <c r="A226" s="207">
        <v>59.0</v>
      </c>
      <c r="B226" s="196" t="s">
        <v>606</v>
      </c>
      <c r="C226" s="196" t="s">
        <v>422</v>
      </c>
      <c r="D226" s="208" t="s">
        <v>838</v>
      </c>
      <c r="E226" s="209">
        <v>44408.0</v>
      </c>
      <c r="F226" s="210" t="s">
        <v>642</v>
      </c>
      <c r="G226" s="173" t="s">
        <v>92</v>
      </c>
      <c r="H226" s="173">
        <v>1.0</v>
      </c>
      <c r="I226" s="173"/>
      <c r="J226" s="199">
        <v>0.0</v>
      </c>
      <c r="K226" s="206">
        <f>vlookup($D226,Python!$D$2:$F$1000,3,FALSE)</f>
        <v>8400</v>
      </c>
      <c r="L226" s="199">
        <v>4.2E7</v>
      </c>
      <c r="M226" s="173"/>
      <c r="N226" s="199" t="s">
        <v>585</v>
      </c>
      <c r="O226" s="173"/>
      <c r="P226" s="173" t="s">
        <v>585</v>
      </c>
      <c r="Q226" s="173"/>
      <c r="R226" s="173" t="s">
        <v>585</v>
      </c>
      <c r="S226" s="173"/>
      <c r="T226" s="173" t="s">
        <v>585</v>
      </c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</row>
    <row r="227">
      <c r="A227" s="207">
        <v>60.0</v>
      </c>
      <c r="B227" s="196" t="s">
        <v>606</v>
      </c>
      <c r="C227" s="196" t="s">
        <v>422</v>
      </c>
      <c r="D227" s="208" t="s">
        <v>839</v>
      </c>
      <c r="E227" s="209">
        <v>44413.0</v>
      </c>
      <c r="F227" s="210" t="s">
        <v>647</v>
      </c>
      <c r="G227" s="173" t="s">
        <v>92</v>
      </c>
      <c r="H227" s="173">
        <v>1.0</v>
      </c>
      <c r="I227" s="173"/>
      <c r="J227" s="199">
        <v>0.0</v>
      </c>
      <c r="K227" s="206">
        <f>vlookup($D227,Python!$D$2:$F$1000,3,FALSE)</f>
        <v>648.8</v>
      </c>
      <c r="L227" s="199">
        <v>3000000.0</v>
      </c>
      <c r="M227" s="173"/>
      <c r="N227" s="199" t="s">
        <v>585</v>
      </c>
      <c r="O227" s="173"/>
      <c r="P227" s="173" t="s">
        <v>585</v>
      </c>
      <c r="Q227" s="173"/>
      <c r="R227" s="173" t="s">
        <v>585</v>
      </c>
      <c r="S227" s="173"/>
      <c r="T227" s="173" t="s">
        <v>585</v>
      </c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</row>
    <row r="228">
      <c r="A228" s="207">
        <v>61.0</v>
      </c>
      <c r="B228" s="196" t="s">
        <v>606</v>
      </c>
      <c r="C228" s="196" t="s">
        <v>422</v>
      </c>
      <c r="D228" s="208" t="s">
        <v>840</v>
      </c>
      <c r="E228" s="209">
        <v>44416.0</v>
      </c>
      <c r="F228" s="210" t="s">
        <v>642</v>
      </c>
      <c r="G228" s="173" t="s">
        <v>92</v>
      </c>
      <c r="H228" s="173">
        <v>1.0</v>
      </c>
      <c r="I228" s="173"/>
      <c r="J228" s="199">
        <v>0.0</v>
      </c>
      <c r="K228" s="206">
        <f>vlookup($D228,Python!$D$2:$F$1000,3,FALSE)</f>
        <v>1000</v>
      </c>
      <c r="L228" s="199">
        <v>5000000.0</v>
      </c>
      <c r="M228" s="173"/>
      <c r="N228" s="199" t="s">
        <v>585</v>
      </c>
      <c r="O228" s="173"/>
      <c r="P228" s="173" t="s">
        <v>585</v>
      </c>
      <c r="Q228" s="173"/>
      <c r="R228" s="173" t="s">
        <v>585</v>
      </c>
      <c r="S228" s="173"/>
      <c r="T228" s="173" t="s">
        <v>585</v>
      </c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</row>
    <row r="229">
      <c r="A229" s="207">
        <v>62.0</v>
      </c>
      <c r="B229" s="250" t="s">
        <v>606</v>
      </c>
      <c r="C229" s="250" t="s">
        <v>609</v>
      </c>
      <c r="D229" s="251" t="s">
        <v>610</v>
      </c>
      <c r="E229" s="252">
        <v>44410.0</v>
      </c>
      <c r="F229" s="253" t="s">
        <v>642</v>
      </c>
      <c r="G229" s="254" t="s">
        <v>92</v>
      </c>
      <c r="H229" s="254">
        <v>1.0</v>
      </c>
      <c r="I229" s="255"/>
      <c r="J229" s="256">
        <v>0.0</v>
      </c>
      <c r="K229" s="257" t="str">
        <f>vlookup($D229,Python!$D$2:$F$1000,3,FALSE)</f>
        <v/>
      </c>
      <c r="L229" s="256" t="s">
        <v>585</v>
      </c>
      <c r="M229" s="255"/>
      <c r="N229" s="256" t="s">
        <v>585</v>
      </c>
      <c r="O229" s="255"/>
      <c r="P229" s="254" t="s">
        <v>585</v>
      </c>
      <c r="Q229" s="255"/>
      <c r="R229" s="254" t="s">
        <v>585</v>
      </c>
      <c r="S229" s="255"/>
      <c r="T229" s="254" t="s">
        <v>585</v>
      </c>
      <c r="U229" s="255"/>
      <c r="V229" s="255"/>
      <c r="W229" s="255"/>
      <c r="X229" s="255"/>
      <c r="Y229" s="255"/>
      <c r="Z229" s="255"/>
      <c r="AA229" s="255"/>
      <c r="AB229" s="255"/>
      <c r="AC229" s="255"/>
      <c r="AD229" s="255"/>
      <c r="AE229" s="255"/>
      <c r="AF229" s="255"/>
    </row>
    <row r="230">
      <c r="A230" s="207">
        <v>63.0</v>
      </c>
      <c r="B230" s="196" t="s">
        <v>458</v>
      </c>
      <c r="C230" s="196" t="s">
        <v>422</v>
      </c>
      <c r="D230" s="208" t="s">
        <v>841</v>
      </c>
      <c r="E230" s="209">
        <v>44416.0</v>
      </c>
      <c r="F230" s="210" t="s">
        <v>641</v>
      </c>
      <c r="G230" s="173" t="s">
        <v>92</v>
      </c>
      <c r="H230" s="173">
        <v>1.0</v>
      </c>
      <c r="I230" s="173"/>
      <c r="J230" s="199">
        <v>0.0</v>
      </c>
      <c r="K230" s="206">
        <f>vlookup($D230,Python!$D$2:$F$1000,3,FALSE)</f>
        <v>42.3</v>
      </c>
      <c r="L230" s="199">
        <v>0.0</v>
      </c>
      <c r="M230" s="173"/>
      <c r="N230" s="199" t="s">
        <v>585</v>
      </c>
      <c r="O230" s="173"/>
      <c r="P230" s="173" t="s">
        <v>585</v>
      </c>
      <c r="Q230" s="173"/>
      <c r="R230" s="173" t="s">
        <v>585</v>
      </c>
      <c r="S230" s="173"/>
      <c r="T230" s="173" t="s">
        <v>585</v>
      </c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</row>
    <row r="231">
      <c r="A231" s="207">
        <v>64.0</v>
      </c>
      <c r="B231" s="196" t="s">
        <v>623</v>
      </c>
      <c r="C231" s="196" t="s">
        <v>422</v>
      </c>
      <c r="D231" s="232" t="s">
        <v>842</v>
      </c>
      <c r="E231" s="233">
        <v>44419.0</v>
      </c>
      <c r="F231" s="234" t="s">
        <v>642</v>
      </c>
      <c r="G231" s="173" t="s">
        <v>92</v>
      </c>
      <c r="H231" s="173">
        <v>1.0</v>
      </c>
      <c r="I231" s="173"/>
      <c r="J231" s="199">
        <v>0.0</v>
      </c>
      <c r="K231" s="206">
        <f>vlookup($D231,Python!$D$2:$F$1000,3,FALSE)</f>
        <v>3900</v>
      </c>
      <c r="L231" s="199">
        <v>1.95E7</v>
      </c>
      <c r="M231" s="173"/>
      <c r="N231" s="199" t="s">
        <v>585</v>
      </c>
      <c r="O231" s="173"/>
      <c r="P231" s="173" t="s">
        <v>585</v>
      </c>
      <c r="Q231" s="173"/>
      <c r="R231" s="173" t="s">
        <v>585</v>
      </c>
      <c r="S231" s="173"/>
      <c r="T231" s="173" t="s">
        <v>585</v>
      </c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</row>
    <row r="232">
      <c r="A232" s="207">
        <v>65.0</v>
      </c>
      <c r="B232" s="196" t="s">
        <v>492</v>
      </c>
      <c r="C232" s="196" t="s">
        <v>422</v>
      </c>
      <c r="D232" s="208" t="s">
        <v>843</v>
      </c>
      <c r="E232" s="209">
        <v>44417.0</v>
      </c>
      <c r="F232" s="210" t="s">
        <v>647</v>
      </c>
      <c r="G232" s="173" t="s">
        <v>92</v>
      </c>
      <c r="H232" s="173">
        <v>1.0</v>
      </c>
      <c r="I232" s="173"/>
      <c r="J232" s="199">
        <v>0.0</v>
      </c>
      <c r="K232" s="206">
        <f>vlookup($D232,Python!$D$2:$F$1000,3,FALSE)</f>
        <v>1800</v>
      </c>
      <c r="L232" s="199">
        <v>9000000.0</v>
      </c>
      <c r="M232" s="173"/>
      <c r="N232" s="199" t="s">
        <v>585</v>
      </c>
      <c r="O232" s="173"/>
      <c r="P232" s="173" t="s">
        <v>585</v>
      </c>
      <c r="Q232" s="173"/>
      <c r="R232" s="173" t="s">
        <v>585</v>
      </c>
      <c r="S232" s="173"/>
      <c r="T232" s="173" t="s">
        <v>585</v>
      </c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</row>
    <row r="233">
      <c r="A233" s="207">
        <v>66.0</v>
      </c>
      <c r="B233" s="196" t="s">
        <v>492</v>
      </c>
      <c r="C233" s="196" t="s">
        <v>422</v>
      </c>
      <c r="D233" s="208" t="s">
        <v>844</v>
      </c>
      <c r="E233" s="209">
        <v>44419.0</v>
      </c>
      <c r="F233" s="210" t="s">
        <v>647</v>
      </c>
      <c r="G233" s="173" t="s">
        <v>92</v>
      </c>
      <c r="H233" s="173">
        <v>1.0</v>
      </c>
      <c r="I233" s="173"/>
      <c r="J233" s="199">
        <v>0.0</v>
      </c>
      <c r="K233" s="206">
        <f>vlookup($D233,Python!$D$2:$F$1000,3,FALSE)</f>
        <v>822.5</v>
      </c>
      <c r="L233" s="199">
        <v>4000000.0</v>
      </c>
      <c r="M233" s="173"/>
      <c r="N233" s="199" t="s">
        <v>585</v>
      </c>
      <c r="O233" s="173"/>
      <c r="P233" s="173" t="s">
        <v>585</v>
      </c>
      <c r="Q233" s="173"/>
      <c r="R233" s="173" t="s">
        <v>585</v>
      </c>
      <c r="S233" s="173"/>
      <c r="T233" s="173" t="s">
        <v>585</v>
      </c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</row>
    <row r="234">
      <c r="A234" s="207">
        <v>67.0</v>
      </c>
      <c r="B234" s="196" t="s">
        <v>845</v>
      </c>
      <c r="C234" s="196" t="s">
        <v>422</v>
      </c>
      <c r="D234" s="208" t="s">
        <v>846</v>
      </c>
      <c r="E234" s="209">
        <v>44413.0</v>
      </c>
      <c r="F234" s="210" t="s">
        <v>642</v>
      </c>
      <c r="G234" s="173" t="s">
        <v>92</v>
      </c>
      <c r="H234" s="173">
        <v>1.0</v>
      </c>
      <c r="I234" s="173"/>
      <c r="J234" s="199">
        <v>0.0</v>
      </c>
      <c r="K234" s="206">
        <f>vlookup($D234,Python!$D$2:$F$1000,3,FALSE)</f>
        <v>76.3</v>
      </c>
      <c r="L234" s="199">
        <v>0.0</v>
      </c>
      <c r="M234" s="173"/>
      <c r="N234" s="199" t="s">
        <v>585</v>
      </c>
      <c r="O234" s="173"/>
      <c r="P234" s="173" t="s">
        <v>585</v>
      </c>
      <c r="Q234" s="173"/>
      <c r="R234" s="173" t="s">
        <v>585</v>
      </c>
      <c r="S234" s="173"/>
      <c r="T234" s="173" t="s">
        <v>585</v>
      </c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</row>
    <row r="235">
      <c r="A235" s="207">
        <v>68.0</v>
      </c>
      <c r="B235" s="196" t="s">
        <v>845</v>
      </c>
      <c r="C235" s="196" t="s">
        <v>422</v>
      </c>
      <c r="D235" s="208" t="s">
        <v>847</v>
      </c>
      <c r="E235" s="209">
        <v>44419.0</v>
      </c>
      <c r="F235" s="210" t="s">
        <v>647</v>
      </c>
      <c r="G235" s="173" t="s">
        <v>92</v>
      </c>
      <c r="H235" s="173">
        <v>1.0</v>
      </c>
      <c r="I235" s="173"/>
      <c r="J235" s="199">
        <v>0.0</v>
      </c>
      <c r="K235" s="206">
        <f>vlookup($D235,Python!$D$2:$F$1000,3,FALSE)</f>
        <v>241.5</v>
      </c>
      <c r="L235" s="199">
        <v>1000000.0</v>
      </c>
      <c r="M235" s="173"/>
      <c r="N235" s="199" t="s">
        <v>585</v>
      </c>
      <c r="O235" s="173"/>
      <c r="P235" s="173" t="s">
        <v>585</v>
      </c>
      <c r="Q235" s="173"/>
      <c r="R235" s="173" t="s">
        <v>585</v>
      </c>
      <c r="S235" s="173"/>
      <c r="T235" s="173" t="s">
        <v>585</v>
      </c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</row>
    <row r="236">
      <c r="A236" s="207">
        <v>69.0</v>
      </c>
      <c r="B236" s="196" t="s">
        <v>437</v>
      </c>
      <c r="C236" s="196" t="s">
        <v>422</v>
      </c>
      <c r="D236" s="208" t="s">
        <v>848</v>
      </c>
      <c r="E236" s="209">
        <v>44416.0</v>
      </c>
      <c r="F236" s="210" t="s">
        <v>641</v>
      </c>
      <c r="G236" s="173" t="s">
        <v>92</v>
      </c>
      <c r="H236" s="173">
        <v>1.0</v>
      </c>
      <c r="I236" s="173"/>
      <c r="J236" s="199">
        <v>0.0</v>
      </c>
      <c r="K236" s="206">
        <f>vlookup($D236,Python!$D$2:$F$1000,3,FALSE)</f>
        <v>85.4</v>
      </c>
      <c r="L236" s="199">
        <v>0.0</v>
      </c>
      <c r="M236" s="173"/>
      <c r="N236" s="199" t="s">
        <v>585</v>
      </c>
      <c r="O236" s="173"/>
      <c r="P236" s="173" t="s">
        <v>585</v>
      </c>
      <c r="Q236" s="173"/>
      <c r="R236" s="173" t="s">
        <v>585</v>
      </c>
      <c r="S236" s="173"/>
      <c r="T236" s="173" t="s">
        <v>585</v>
      </c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</row>
    <row r="237">
      <c r="A237" s="207">
        <v>70.0</v>
      </c>
      <c r="B237" s="196" t="s">
        <v>490</v>
      </c>
      <c r="C237" s="196" t="s">
        <v>422</v>
      </c>
      <c r="D237" s="208" t="s">
        <v>849</v>
      </c>
      <c r="E237" s="209">
        <v>44417.0</v>
      </c>
      <c r="F237" s="210" t="s">
        <v>642</v>
      </c>
      <c r="G237" s="173" t="s">
        <v>92</v>
      </c>
      <c r="H237" s="173">
        <v>1.0</v>
      </c>
      <c r="I237" s="173"/>
      <c r="J237" s="199">
        <v>0.0</v>
      </c>
      <c r="K237" s="206">
        <f>vlookup($D237,Python!$D$2:$F$1000,3,FALSE)</f>
        <v>1200</v>
      </c>
      <c r="L237" s="199">
        <v>6000000.0</v>
      </c>
      <c r="M237" s="173"/>
      <c r="N237" s="199" t="s">
        <v>585</v>
      </c>
      <c r="O237" s="173"/>
      <c r="P237" s="173" t="s">
        <v>585</v>
      </c>
      <c r="Q237" s="173"/>
      <c r="R237" s="173" t="s">
        <v>585</v>
      </c>
      <c r="S237" s="173"/>
      <c r="T237" s="173" t="s">
        <v>585</v>
      </c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</row>
    <row r="238">
      <c r="A238" s="207">
        <v>71.0</v>
      </c>
      <c r="B238" s="224" t="s">
        <v>490</v>
      </c>
      <c r="C238" s="224" t="s">
        <v>422</v>
      </c>
      <c r="D238" s="225" t="s">
        <v>850</v>
      </c>
      <c r="E238" s="226">
        <v>44417.0</v>
      </c>
      <c r="F238" s="227" t="s">
        <v>642</v>
      </c>
      <c r="G238" s="228" t="s">
        <v>92</v>
      </c>
      <c r="H238" s="228">
        <v>1.0</v>
      </c>
      <c r="I238" s="231"/>
      <c r="J238" s="230">
        <v>0.0</v>
      </c>
      <c r="K238" s="258">
        <f>vlookup($D238,Python!$D$2:$F$1000,3,FALSE)</f>
        <v>1349.001</v>
      </c>
      <c r="L238" s="230">
        <v>6500000.0</v>
      </c>
      <c r="M238" s="231"/>
      <c r="N238" s="230" t="s">
        <v>585</v>
      </c>
      <c r="O238" s="231"/>
      <c r="P238" s="228" t="s">
        <v>585</v>
      </c>
      <c r="Q238" s="231"/>
      <c r="R238" s="228" t="s">
        <v>585</v>
      </c>
      <c r="S238" s="231"/>
      <c r="T238" s="228" t="s">
        <v>585</v>
      </c>
      <c r="U238" s="231"/>
      <c r="V238" s="231"/>
      <c r="W238" s="231"/>
      <c r="X238" s="231"/>
      <c r="Y238" s="231"/>
      <c r="Z238" s="231"/>
      <c r="AA238" s="231"/>
      <c r="AB238" s="231"/>
      <c r="AC238" s="231"/>
      <c r="AD238" s="231"/>
      <c r="AE238" s="231"/>
      <c r="AF238" s="231"/>
    </row>
    <row r="239">
      <c r="A239" s="207">
        <v>72.0</v>
      </c>
      <c r="B239" s="196" t="s">
        <v>851</v>
      </c>
      <c r="C239" s="196" t="s">
        <v>422</v>
      </c>
      <c r="D239" s="232" t="s">
        <v>852</v>
      </c>
      <c r="E239" s="233">
        <v>44419.0</v>
      </c>
      <c r="F239" s="234" t="s">
        <v>647</v>
      </c>
      <c r="G239" s="173" t="s">
        <v>92</v>
      </c>
      <c r="H239" s="173">
        <v>1.0</v>
      </c>
      <c r="I239" s="173"/>
      <c r="J239" s="199">
        <v>0.0</v>
      </c>
      <c r="K239" s="206">
        <f>vlookup($D239,Python!$D$2:$F$1000,3,FALSE)</f>
        <v>163</v>
      </c>
      <c r="L239" s="199">
        <v>500000.0</v>
      </c>
      <c r="M239" s="173"/>
      <c r="N239" s="199" t="s">
        <v>585</v>
      </c>
      <c r="O239" s="173"/>
      <c r="P239" s="173" t="s">
        <v>585</v>
      </c>
      <c r="Q239" s="173"/>
      <c r="R239" s="173" t="s">
        <v>585</v>
      </c>
      <c r="S239" s="173"/>
      <c r="T239" s="173" t="s">
        <v>585</v>
      </c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</row>
    <row r="240">
      <c r="A240" s="207">
        <v>73.0</v>
      </c>
      <c r="B240" s="196" t="s">
        <v>851</v>
      </c>
      <c r="C240" s="196" t="s">
        <v>422</v>
      </c>
      <c r="D240" s="208" t="s">
        <v>853</v>
      </c>
      <c r="E240" s="209">
        <v>44420.0</v>
      </c>
      <c r="F240" s="210" t="s">
        <v>647</v>
      </c>
      <c r="G240" s="173" t="s">
        <v>92</v>
      </c>
      <c r="H240" s="173">
        <v>1.0</v>
      </c>
      <c r="I240" s="173"/>
      <c r="J240" s="199">
        <v>0.0</v>
      </c>
      <c r="K240" s="206">
        <f>vlookup($D240,Python!$D$2:$F$1000,3,FALSE)</f>
        <v>52.3</v>
      </c>
      <c r="L240" s="199">
        <v>0.0</v>
      </c>
      <c r="M240" s="173"/>
      <c r="N240" s="199" t="s">
        <v>585</v>
      </c>
      <c r="O240" s="173"/>
      <c r="P240" s="173" t="s">
        <v>585</v>
      </c>
      <c r="Q240" s="173"/>
      <c r="R240" s="173" t="s">
        <v>585</v>
      </c>
      <c r="S240" s="173"/>
      <c r="T240" s="173" t="s">
        <v>585</v>
      </c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</row>
    <row r="241">
      <c r="A241" s="207">
        <v>74.0</v>
      </c>
      <c r="B241" s="196" t="s">
        <v>611</v>
      </c>
      <c r="C241" s="196" t="s">
        <v>422</v>
      </c>
      <c r="D241" s="208" t="s">
        <v>854</v>
      </c>
      <c r="E241" s="233">
        <v>44421.0</v>
      </c>
      <c r="F241" s="234" t="s">
        <v>647</v>
      </c>
      <c r="G241" s="173" t="s">
        <v>92</v>
      </c>
      <c r="H241" s="173">
        <v>1.0</v>
      </c>
      <c r="I241" s="173"/>
      <c r="J241" s="199">
        <v>0.0</v>
      </c>
      <c r="K241" s="206">
        <f>vlookup($D241,Python!$D$2:$F$1000,3,FALSE)</f>
        <v>168.5</v>
      </c>
      <c r="L241" s="199">
        <v>500000.0</v>
      </c>
      <c r="M241" s="173"/>
      <c r="N241" s="199" t="s">
        <v>585</v>
      </c>
      <c r="O241" s="173"/>
      <c r="P241" s="173" t="s">
        <v>585</v>
      </c>
      <c r="Q241" s="173"/>
      <c r="R241" s="173" t="s">
        <v>585</v>
      </c>
      <c r="S241" s="173"/>
      <c r="T241" s="173" t="s">
        <v>585</v>
      </c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</row>
    <row r="242">
      <c r="A242" s="207">
        <v>75.0</v>
      </c>
      <c r="B242" s="196" t="s">
        <v>443</v>
      </c>
      <c r="C242" s="196" t="s">
        <v>422</v>
      </c>
      <c r="D242" s="208" t="s">
        <v>855</v>
      </c>
      <c r="E242" s="233">
        <v>44420.0</v>
      </c>
      <c r="F242" s="234" t="s">
        <v>642</v>
      </c>
      <c r="G242" s="173" t="s">
        <v>445</v>
      </c>
      <c r="H242" s="173">
        <v>1.0</v>
      </c>
      <c r="I242" s="173"/>
      <c r="J242" s="199">
        <v>0.0</v>
      </c>
      <c r="K242" s="206">
        <f>vlookup($D242,Python!$D$2:$F$1000,3,FALSE)</f>
        <v>576.9</v>
      </c>
      <c r="L242" s="199">
        <v>2500000.0</v>
      </c>
      <c r="M242" s="173"/>
      <c r="N242" s="199" t="s">
        <v>585</v>
      </c>
      <c r="O242" s="173"/>
      <c r="P242" s="173" t="s">
        <v>585</v>
      </c>
      <c r="Q242" s="173"/>
      <c r="R242" s="173" t="s">
        <v>585</v>
      </c>
      <c r="S242" s="173"/>
      <c r="T242" s="173" t="s">
        <v>585</v>
      </c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</row>
    <row r="243">
      <c r="A243" s="207">
        <v>76.0</v>
      </c>
      <c r="B243" s="196" t="s">
        <v>443</v>
      </c>
      <c r="C243" s="196" t="s">
        <v>422</v>
      </c>
      <c r="D243" s="208" t="s">
        <v>856</v>
      </c>
      <c r="E243" s="233">
        <v>44421.0</v>
      </c>
      <c r="F243" s="234" t="s">
        <v>642</v>
      </c>
      <c r="G243" s="173" t="s">
        <v>445</v>
      </c>
      <c r="H243" s="173">
        <v>1.0</v>
      </c>
      <c r="I243" s="173"/>
      <c r="J243" s="199">
        <v>0.0</v>
      </c>
      <c r="K243" s="206">
        <f>vlookup($D243,Python!$D$2:$F$1000,3,FALSE)</f>
        <v>103.1</v>
      </c>
      <c r="L243" s="199">
        <v>500000.0</v>
      </c>
      <c r="M243" s="173"/>
      <c r="N243" s="199" t="s">
        <v>585</v>
      </c>
      <c r="O243" s="173"/>
      <c r="P243" s="173" t="s">
        <v>585</v>
      </c>
      <c r="Q243" s="173"/>
      <c r="R243" s="173" t="s">
        <v>585</v>
      </c>
      <c r="S243" s="173"/>
      <c r="T243" s="173" t="s">
        <v>585</v>
      </c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</row>
    <row r="244">
      <c r="A244" s="207">
        <v>77.0</v>
      </c>
      <c r="B244" s="196" t="s">
        <v>437</v>
      </c>
      <c r="C244" s="196" t="s">
        <v>422</v>
      </c>
      <c r="D244" s="208" t="s">
        <v>857</v>
      </c>
      <c r="E244" s="233">
        <v>44423.0</v>
      </c>
      <c r="F244" s="234" t="s">
        <v>642</v>
      </c>
      <c r="G244" s="173" t="s">
        <v>92</v>
      </c>
      <c r="H244" s="173">
        <v>1.0</v>
      </c>
      <c r="I244" s="173"/>
      <c r="J244" s="199">
        <v>0.0</v>
      </c>
      <c r="K244" s="206">
        <f>vlookup($D244,Python!$D$2:$F$1000,3,FALSE)</f>
        <v>54.6</v>
      </c>
      <c r="L244" s="199">
        <v>0.0</v>
      </c>
      <c r="M244" s="173"/>
      <c r="N244" s="199" t="s">
        <v>585</v>
      </c>
      <c r="O244" s="173"/>
      <c r="P244" s="173" t="s">
        <v>585</v>
      </c>
      <c r="Q244" s="173"/>
      <c r="R244" s="173" t="s">
        <v>585</v>
      </c>
      <c r="S244" s="173"/>
      <c r="T244" s="173" t="s">
        <v>585</v>
      </c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</row>
    <row r="245">
      <c r="A245" s="207">
        <v>78.0</v>
      </c>
      <c r="B245" s="196" t="s">
        <v>623</v>
      </c>
      <c r="C245" s="196" t="s">
        <v>422</v>
      </c>
      <c r="D245" s="208" t="s">
        <v>858</v>
      </c>
      <c r="E245" s="233">
        <v>44419.0</v>
      </c>
      <c r="F245" s="234" t="s">
        <v>642</v>
      </c>
      <c r="G245" s="173" t="s">
        <v>92</v>
      </c>
      <c r="H245" s="173">
        <v>1.0</v>
      </c>
      <c r="I245" s="173"/>
      <c r="J245" s="199">
        <v>0.0</v>
      </c>
      <c r="K245" s="206">
        <f>vlookup($D245,Python!$D$2:$F$1000,3,FALSE)</f>
        <v>702.4</v>
      </c>
      <c r="L245" s="199">
        <v>3500000.0</v>
      </c>
      <c r="M245" s="173"/>
      <c r="N245" s="199" t="s">
        <v>585</v>
      </c>
      <c r="O245" s="173"/>
      <c r="P245" s="173" t="s">
        <v>585</v>
      </c>
      <c r="Q245" s="173"/>
      <c r="R245" s="173" t="s">
        <v>585</v>
      </c>
      <c r="S245" s="173"/>
      <c r="T245" s="173" t="s">
        <v>585</v>
      </c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</row>
    <row r="246">
      <c r="A246" s="207">
        <v>79.0</v>
      </c>
      <c r="B246" s="196" t="s">
        <v>623</v>
      </c>
      <c r="C246" s="196" t="s">
        <v>422</v>
      </c>
      <c r="D246" s="232" t="s">
        <v>859</v>
      </c>
      <c r="E246" s="233">
        <v>44421.0</v>
      </c>
      <c r="F246" s="234" t="s">
        <v>642</v>
      </c>
      <c r="G246" s="173" t="s">
        <v>92</v>
      </c>
      <c r="H246" s="173">
        <v>1.0</v>
      </c>
      <c r="I246" s="173"/>
      <c r="J246" s="199">
        <v>0.0</v>
      </c>
      <c r="K246" s="206">
        <f>vlookup($D246,Python!$D$2:$F$1000,3,FALSE)</f>
        <v>1800</v>
      </c>
      <c r="L246" s="199">
        <v>9000000.0</v>
      </c>
      <c r="M246" s="173"/>
      <c r="N246" s="199" t="s">
        <v>585</v>
      </c>
      <c r="O246" s="173"/>
      <c r="P246" s="173" t="s">
        <v>585</v>
      </c>
      <c r="Q246" s="173"/>
      <c r="R246" s="173" t="s">
        <v>585</v>
      </c>
      <c r="S246" s="173"/>
      <c r="T246" s="173" t="s">
        <v>585</v>
      </c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</row>
    <row r="247">
      <c r="A247" s="207">
        <v>80.0</v>
      </c>
      <c r="B247" s="196" t="s">
        <v>623</v>
      </c>
      <c r="C247" s="196" t="s">
        <v>422</v>
      </c>
      <c r="D247" s="208" t="s">
        <v>860</v>
      </c>
      <c r="E247" s="233">
        <v>44423.0</v>
      </c>
      <c r="F247" s="234" t="s">
        <v>642</v>
      </c>
      <c r="G247" s="173" t="s">
        <v>92</v>
      </c>
      <c r="H247" s="173">
        <v>1.0</v>
      </c>
      <c r="I247" s="173"/>
      <c r="J247" s="199">
        <v>0.0</v>
      </c>
      <c r="K247" s="206">
        <f>vlookup($D247,Python!$D$2:$F$1000,3,FALSE)</f>
        <v>4100</v>
      </c>
      <c r="L247" s="199">
        <v>2.05E7</v>
      </c>
      <c r="M247" s="173"/>
      <c r="N247" s="199" t="s">
        <v>585</v>
      </c>
      <c r="O247" s="173"/>
      <c r="P247" s="173" t="s">
        <v>585</v>
      </c>
      <c r="Q247" s="173"/>
      <c r="R247" s="173" t="s">
        <v>585</v>
      </c>
      <c r="S247" s="173"/>
      <c r="T247" s="173" t="s">
        <v>585</v>
      </c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</row>
    <row r="248">
      <c r="A248" s="207">
        <v>81.0</v>
      </c>
      <c r="B248" s="196" t="s">
        <v>851</v>
      </c>
      <c r="C248" s="196" t="s">
        <v>422</v>
      </c>
      <c r="D248" s="208" t="s">
        <v>861</v>
      </c>
      <c r="E248" s="233">
        <v>44425.0</v>
      </c>
      <c r="F248" s="234" t="s">
        <v>642</v>
      </c>
      <c r="G248" s="173" t="s">
        <v>92</v>
      </c>
      <c r="H248" s="173">
        <v>1.0</v>
      </c>
      <c r="I248" s="173"/>
      <c r="J248" s="199">
        <v>0.0</v>
      </c>
      <c r="K248" s="206">
        <f>vlookup($D248,Python!$D$2:$F$1000,3,FALSE)</f>
        <v>255.9</v>
      </c>
      <c r="L248" s="199">
        <v>1000000.0</v>
      </c>
      <c r="M248" s="173"/>
      <c r="N248" s="199" t="s">
        <v>585</v>
      </c>
      <c r="O248" s="173"/>
      <c r="P248" s="173" t="s">
        <v>585</v>
      </c>
      <c r="Q248" s="173"/>
      <c r="R248" s="173" t="s">
        <v>585</v>
      </c>
      <c r="S248" s="173"/>
      <c r="T248" s="173" t="s">
        <v>585</v>
      </c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</row>
    <row r="249">
      <c r="A249" s="207">
        <v>82.0</v>
      </c>
      <c r="B249" s="196" t="s">
        <v>862</v>
      </c>
      <c r="C249" s="196" t="s">
        <v>422</v>
      </c>
      <c r="D249" s="208" t="s">
        <v>863</v>
      </c>
      <c r="E249" s="233">
        <v>44424.0</v>
      </c>
      <c r="F249" s="234" t="s">
        <v>642</v>
      </c>
      <c r="G249" s="173" t="s">
        <v>466</v>
      </c>
      <c r="H249" s="173">
        <v>1.0</v>
      </c>
      <c r="I249" s="173"/>
      <c r="J249" s="199">
        <v>0.0</v>
      </c>
      <c r="K249" s="206">
        <f>vlookup($D249,Python!$D$2:$F$1000,3,FALSE)</f>
        <v>338.2</v>
      </c>
      <c r="L249" s="199">
        <v>1500000.0</v>
      </c>
      <c r="M249" s="173"/>
      <c r="N249" s="199" t="s">
        <v>585</v>
      </c>
      <c r="O249" s="173"/>
      <c r="P249" s="173" t="s">
        <v>585</v>
      </c>
      <c r="Q249" s="173"/>
      <c r="R249" s="173" t="s">
        <v>585</v>
      </c>
      <c r="S249" s="173"/>
      <c r="T249" s="173" t="s">
        <v>585</v>
      </c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</row>
    <row r="250">
      <c r="A250" s="207">
        <v>83.0</v>
      </c>
      <c r="B250" s="196" t="s">
        <v>864</v>
      </c>
      <c r="C250" s="196" t="s">
        <v>422</v>
      </c>
      <c r="D250" s="232" t="s">
        <v>865</v>
      </c>
      <c r="E250" s="233">
        <v>44421.0</v>
      </c>
      <c r="F250" s="234" t="s">
        <v>647</v>
      </c>
      <c r="G250" s="173" t="s">
        <v>466</v>
      </c>
      <c r="H250" s="173">
        <v>1.0</v>
      </c>
      <c r="I250" s="173"/>
      <c r="J250" s="199">
        <v>0.0</v>
      </c>
      <c r="K250" s="206">
        <f>vlookup($D250,Python!$D$2:$F$1000,3,FALSE)</f>
        <v>164</v>
      </c>
      <c r="L250" s="199">
        <v>500000.0</v>
      </c>
      <c r="M250" s="173"/>
      <c r="N250" s="199" t="s">
        <v>585</v>
      </c>
      <c r="O250" s="173"/>
      <c r="P250" s="173" t="s">
        <v>585</v>
      </c>
      <c r="Q250" s="173"/>
      <c r="R250" s="173" t="s">
        <v>585</v>
      </c>
      <c r="S250" s="173"/>
      <c r="T250" s="173" t="s">
        <v>585</v>
      </c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</row>
    <row r="251">
      <c r="A251" s="207">
        <v>84.0</v>
      </c>
      <c r="B251" s="196" t="s">
        <v>454</v>
      </c>
      <c r="C251" s="196" t="s">
        <v>422</v>
      </c>
      <c r="D251" s="208" t="s">
        <v>866</v>
      </c>
      <c r="E251" s="233">
        <v>44419.0</v>
      </c>
      <c r="F251" s="234" t="s">
        <v>647</v>
      </c>
      <c r="G251" s="173" t="s">
        <v>92</v>
      </c>
      <c r="H251" s="173">
        <v>1.0</v>
      </c>
      <c r="I251" s="173"/>
      <c r="J251" s="199">
        <v>0.0</v>
      </c>
      <c r="K251" s="206">
        <f>vlookup($D251,Python!$D$2:$F$1000,3,FALSE)</f>
        <v>119</v>
      </c>
      <c r="L251" s="199">
        <v>500000.0</v>
      </c>
      <c r="M251" s="173"/>
      <c r="N251" s="199" t="s">
        <v>585</v>
      </c>
      <c r="O251" s="173"/>
      <c r="P251" s="173" t="s">
        <v>585</v>
      </c>
      <c r="Q251" s="173"/>
      <c r="R251" s="173" t="s">
        <v>585</v>
      </c>
      <c r="S251" s="173"/>
      <c r="T251" s="173" t="s">
        <v>585</v>
      </c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</row>
    <row r="252">
      <c r="A252" s="207">
        <v>85.0</v>
      </c>
      <c r="B252" s="196" t="s">
        <v>464</v>
      </c>
      <c r="C252" s="196" t="s">
        <v>422</v>
      </c>
      <c r="D252" s="208" t="s">
        <v>867</v>
      </c>
      <c r="E252" s="233">
        <v>44419.0</v>
      </c>
      <c r="F252" s="234" t="s">
        <v>642</v>
      </c>
      <c r="G252" s="173" t="s">
        <v>466</v>
      </c>
      <c r="H252" s="173">
        <v>1.0</v>
      </c>
      <c r="I252" s="173"/>
      <c r="J252" s="199">
        <v>0.0</v>
      </c>
      <c r="K252" s="206">
        <f>vlookup($D252,Python!$D$2:$F$1000,3,FALSE)</f>
        <v>8.976</v>
      </c>
      <c r="L252" s="199">
        <v>0.0</v>
      </c>
      <c r="M252" s="173"/>
      <c r="N252" s="199" t="s">
        <v>585</v>
      </c>
      <c r="O252" s="173"/>
      <c r="P252" s="173" t="s">
        <v>585</v>
      </c>
      <c r="Q252" s="173"/>
      <c r="R252" s="173" t="s">
        <v>585</v>
      </c>
      <c r="S252" s="173"/>
      <c r="T252" s="173" t="s">
        <v>585</v>
      </c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</row>
    <row r="253">
      <c r="A253" s="207">
        <v>86.0</v>
      </c>
      <c r="B253" s="214" t="s">
        <v>868</v>
      </c>
      <c r="C253" s="214" t="s">
        <v>422</v>
      </c>
      <c r="D253" s="215" t="s">
        <v>869</v>
      </c>
      <c r="E253" s="259">
        <v>44406.0</v>
      </c>
      <c r="F253" s="260" t="s">
        <v>647</v>
      </c>
      <c r="G253" s="218" t="s">
        <v>92</v>
      </c>
      <c r="H253" s="218">
        <v>1.0</v>
      </c>
      <c r="I253" s="222"/>
      <c r="J253" s="220">
        <v>0.0</v>
      </c>
      <c r="K253" s="206">
        <f>vlookup($D253,Python!$D$2:$F$1000,3,FALSE)</f>
        <v>44.5</v>
      </c>
      <c r="L253" s="220">
        <v>0.0</v>
      </c>
      <c r="M253" s="173"/>
      <c r="N253" s="220" t="s">
        <v>585</v>
      </c>
      <c r="O253" s="222"/>
      <c r="P253" s="218" t="s">
        <v>585</v>
      </c>
      <c r="Q253" s="222"/>
      <c r="R253" s="218" t="s">
        <v>585</v>
      </c>
      <c r="S253" s="222"/>
      <c r="T253" s="218" t="s">
        <v>585</v>
      </c>
      <c r="U253" s="222"/>
      <c r="V253" s="222"/>
      <c r="W253" s="222"/>
      <c r="X253" s="222"/>
      <c r="Y253" s="222"/>
      <c r="Z253" s="222"/>
      <c r="AA253" s="222"/>
      <c r="AB253" s="222"/>
      <c r="AC253" s="222"/>
      <c r="AD253" s="222"/>
      <c r="AE253" s="222"/>
      <c r="AF253" s="222"/>
    </row>
    <row r="254">
      <c r="A254" s="207">
        <v>87.0</v>
      </c>
      <c r="B254" s="196" t="s">
        <v>870</v>
      </c>
      <c r="C254" s="196" t="s">
        <v>422</v>
      </c>
      <c r="D254" s="208" t="s">
        <v>871</v>
      </c>
      <c r="E254" s="233">
        <v>44407.0</v>
      </c>
      <c r="F254" s="234" t="s">
        <v>647</v>
      </c>
      <c r="G254" s="173" t="s">
        <v>92</v>
      </c>
      <c r="H254" s="173">
        <v>1.0</v>
      </c>
      <c r="I254" s="173"/>
      <c r="J254" s="199">
        <v>0.0</v>
      </c>
      <c r="K254" s="206">
        <f>vlookup($D254,Python!$D$2:$F$1000,3,FALSE)</f>
        <v>32.9</v>
      </c>
      <c r="L254" s="199">
        <v>0.0</v>
      </c>
      <c r="M254" s="173"/>
      <c r="N254" s="199" t="s">
        <v>585</v>
      </c>
      <c r="O254" s="173"/>
      <c r="P254" s="173" t="s">
        <v>585</v>
      </c>
      <c r="Q254" s="173"/>
      <c r="R254" s="173" t="s">
        <v>585</v>
      </c>
      <c r="S254" s="173"/>
      <c r="T254" s="173" t="s">
        <v>585</v>
      </c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</row>
    <row r="255">
      <c r="A255" s="207">
        <v>88.0</v>
      </c>
      <c r="B255" s="196" t="s">
        <v>872</v>
      </c>
      <c r="C255" s="196" t="s">
        <v>422</v>
      </c>
      <c r="D255" s="208" t="s">
        <v>873</v>
      </c>
      <c r="E255" s="233">
        <v>44419.0</v>
      </c>
      <c r="F255" s="234" t="s">
        <v>647</v>
      </c>
      <c r="G255" s="173" t="s">
        <v>92</v>
      </c>
      <c r="H255" s="173">
        <v>1.0</v>
      </c>
      <c r="I255" s="173"/>
      <c r="J255" s="199">
        <v>0.0</v>
      </c>
      <c r="K255" s="206">
        <f>vlookup($D255,Python!$D$2:$F$1000,3,FALSE)</f>
        <v>196.3</v>
      </c>
      <c r="L255" s="199">
        <v>500000.0</v>
      </c>
      <c r="M255" s="173"/>
      <c r="N255" s="199" t="s">
        <v>585</v>
      </c>
      <c r="O255" s="173"/>
      <c r="P255" s="173" t="s">
        <v>585</v>
      </c>
      <c r="Q255" s="173"/>
      <c r="R255" s="173" t="s">
        <v>585</v>
      </c>
      <c r="S255" s="173"/>
      <c r="T255" s="173" t="s">
        <v>585</v>
      </c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</row>
    <row r="256">
      <c r="A256" s="207">
        <v>89.0</v>
      </c>
      <c r="B256" s="196" t="s">
        <v>872</v>
      </c>
      <c r="C256" s="196" t="s">
        <v>422</v>
      </c>
      <c r="D256" s="208" t="s">
        <v>874</v>
      </c>
      <c r="E256" s="233">
        <v>44420.0</v>
      </c>
      <c r="F256" s="234" t="s">
        <v>647</v>
      </c>
      <c r="G256" s="173" t="s">
        <v>92</v>
      </c>
      <c r="H256" s="173">
        <v>1.0</v>
      </c>
      <c r="I256" s="173"/>
      <c r="J256" s="199">
        <v>0.0</v>
      </c>
      <c r="K256" s="206">
        <f>vlookup($D256,Python!$D$2:$F$1000,3,FALSE)</f>
        <v>135.1</v>
      </c>
      <c r="L256" s="199">
        <v>500000.0</v>
      </c>
      <c r="M256" s="173"/>
      <c r="N256" s="199" t="s">
        <v>585</v>
      </c>
      <c r="O256" s="173"/>
      <c r="P256" s="173" t="s">
        <v>585</v>
      </c>
      <c r="Q256" s="173"/>
      <c r="R256" s="173" t="s">
        <v>585</v>
      </c>
      <c r="S256" s="173"/>
      <c r="T256" s="173" t="s">
        <v>585</v>
      </c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</row>
    <row r="257">
      <c r="A257" s="207">
        <v>90.0</v>
      </c>
      <c r="B257" s="196" t="s">
        <v>875</v>
      </c>
      <c r="C257" s="196" t="s">
        <v>422</v>
      </c>
      <c r="D257" s="232" t="s">
        <v>876</v>
      </c>
      <c r="E257" s="233">
        <v>44419.0</v>
      </c>
      <c r="F257" s="234" t="s">
        <v>647</v>
      </c>
      <c r="G257" s="173" t="s">
        <v>92</v>
      </c>
      <c r="H257" s="173">
        <v>1.0</v>
      </c>
      <c r="I257" s="173"/>
      <c r="J257" s="199">
        <v>0.0</v>
      </c>
      <c r="K257" s="206">
        <f>vlookup($D257,Python!$D$2:$F$1000,3,FALSE)</f>
        <v>33.6</v>
      </c>
      <c r="L257" s="199">
        <v>0.0</v>
      </c>
      <c r="M257" s="173"/>
      <c r="N257" s="199" t="s">
        <v>585</v>
      </c>
      <c r="O257" s="173"/>
      <c r="P257" s="173" t="s">
        <v>585</v>
      </c>
      <c r="Q257" s="173"/>
      <c r="R257" s="173" t="s">
        <v>585</v>
      </c>
      <c r="S257" s="173"/>
      <c r="T257" s="173" t="s">
        <v>585</v>
      </c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</row>
    <row r="258">
      <c r="A258" s="207">
        <v>91.0</v>
      </c>
      <c r="B258" s="196" t="s">
        <v>877</v>
      </c>
      <c r="C258" s="196" t="s">
        <v>422</v>
      </c>
      <c r="D258" s="232" t="s">
        <v>878</v>
      </c>
      <c r="E258" s="233">
        <v>44411.0</v>
      </c>
      <c r="F258" s="234" t="s">
        <v>642</v>
      </c>
      <c r="G258" s="173" t="s">
        <v>92</v>
      </c>
      <c r="H258" s="173">
        <v>1.0</v>
      </c>
      <c r="I258" s="173"/>
      <c r="J258" s="199">
        <v>0.0</v>
      </c>
      <c r="K258" s="206">
        <f>vlookup($D258,Python!$D$2:$F$1000,3,FALSE)</f>
        <v>8.864</v>
      </c>
      <c r="L258" s="199">
        <v>0.0</v>
      </c>
      <c r="M258" s="173"/>
      <c r="N258" s="199" t="s">
        <v>585</v>
      </c>
      <c r="O258" s="173"/>
      <c r="P258" s="173" t="s">
        <v>585</v>
      </c>
      <c r="Q258" s="173"/>
      <c r="R258" s="173" t="s">
        <v>585</v>
      </c>
      <c r="S258" s="173"/>
      <c r="T258" s="173" t="s">
        <v>585</v>
      </c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</row>
    <row r="259">
      <c r="A259" s="207">
        <v>92.0</v>
      </c>
      <c r="B259" s="196" t="s">
        <v>879</v>
      </c>
      <c r="C259" s="196" t="s">
        <v>422</v>
      </c>
      <c r="D259" s="208" t="s">
        <v>880</v>
      </c>
      <c r="E259" s="233">
        <v>44397.0</v>
      </c>
      <c r="F259" s="234" t="s">
        <v>641</v>
      </c>
      <c r="G259" s="173" t="s">
        <v>92</v>
      </c>
      <c r="H259" s="173">
        <v>1.0</v>
      </c>
      <c r="I259" s="173"/>
      <c r="J259" s="199">
        <v>0.0</v>
      </c>
      <c r="K259" s="206">
        <f>vlookup($D259,Python!$D$2:$F$1000,3,FALSE)</f>
        <v>8.724</v>
      </c>
      <c r="L259" s="199">
        <v>0.0</v>
      </c>
      <c r="M259" s="173"/>
      <c r="N259" s="199" t="s">
        <v>585</v>
      </c>
      <c r="O259" s="173"/>
      <c r="P259" s="173" t="s">
        <v>585</v>
      </c>
      <c r="Q259" s="173"/>
      <c r="R259" s="173" t="s">
        <v>585</v>
      </c>
      <c r="S259" s="173"/>
      <c r="T259" s="173" t="s">
        <v>585</v>
      </c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</row>
    <row r="260">
      <c r="A260" s="207">
        <v>93.0</v>
      </c>
      <c r="B260" s="196" t="s">
        <v>881</v>
      </c>
      <c r="C260" s="196" t="s">
        <v>422</v>
      </c>
      <c r="D260" s="208" t="s">
        <v>882</v>
      </c>
      <c r="E260" s="233">
        <v>44403.0</v>
      </c>
      <c r="F260" s="234" t="s">
        <v>647</v>
      </c>
      <c r="G260" s="173" t="s">
        <v>92</v>
      </c>
      <c r="H260" s="173">
        <v>1.0</v>
      </c>
      <c r="I260" s="173"/>
      <c r="J260" s="199">
        <v>0.0</v>
      </c>
      <c r="K260" s="206">
        <f>vlookup($D260,Python!$D$2:$F$1000,3,FALSE)</f>
        <v>21.3</v>
      </c>
      <c r="L260" s="199">
        <v>0.0</v>
      </c>
      <c r="M260" s="173"/>
      <c r="N260" s="199" t="s">
        <v>585</v>
      </c>
      <c r="O260" s="173"/>
      <c r="P260" s="173" t="s">
        <v>585</v>
      </c>
      <c r="Q260" s="173"/>
      <c r="R260" s="173" t="s">
        <v>585</v>
      </c>
      <c r="S260" s="173"/>
      <c r="T260" s="173" t="s">
        <v>585</v>
      </c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</row>
    <row r="261">
      <c r="A261" s="207">
        <v>94.0</v>
      </c>
      <c r="B261" s="196" t="s">
        <v>883</v>
      </c>
      <c r="C261" s="196" t="s">
        <v>422</v>
      </c>
      <c r="D261" s="208" t="s">
        <v>884</v>
      </c>
      <c r="E261" s="233">
        <v>44409.0</v>
      </c>
      <c r="F261" s="234" t="s">
        <v>642</v>
      </c>
      <c r="G261" s="173" t="s">
        <v>92</v>
      </c>
      <c r="H261" s="173">
        <v>1.0</v>
      </c>
      <c r="I261" s="173"/>
      <c r="J261" s="199">
        <v>0.0</v>
      </c>
      <c r="K261" s="206">
        <f>vlookup($D261,Python!$D$2:$F$1000,3,FALSE)</f>
        <v>3200</v>
      </c>
      <c r="L261" s="199">
        <v>1.6E7</v>
      </c>
      <c r="M261" s="173"/>
      <c r="N261" s="199" t="s">
        <v>585</v>
      </c>
      <c r="O261" s="173"/>
      <c r="P261" s="173" t="s">
        <v>585</v>
      </c>
      <c r="Q261" s="173"/>
      <c r="R261" s="173" t="s">
        <v>585</v>
      </c>
      <c r="S261" s="173"/>
      <c r="T261" s="173" t="s">
        <v>585</v>
      </c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</row>
    <row r="262">
      <c r="A262" s="207">
        <v>95.0</v>
      </c>
      <c r="B262" s="196" t="s">
        <v>883</v>
      </c>
      <c r="C262" s="196" t="s">
        <v>422</v>
      </c>
      <c r="D262" s="208" t="s">
        <v>885</v>
      </c>
      <c r="E262" s="233">
        <v>44412.0</v>
      </c>
      <c r="F262" s="234" t="s">
        <v>642</v>
      </c>
      <c r="G262" s="173" t="s">
        <v>92</v>
      </c>
      <c r="H262" s="173">
        <v>1.0</v>
      </c>
      <c r="I262" s="173"/>
      <c r="J262" s="199">
        <v>0.0</v>
      </c>
      <c r="K262" s="206">
        <f>vlookup($D262,Python!$D$2:$F$1000,3,FALSE)</f>
        <v>677.4</v>
      </c>
      <c r="L262" s="199">
        <v>3000000.0</v>
      </c>
      <c r="M262" s="173"/>
      <c r="N262" s="199" t="s">
        <v>585</v>
      </c>
      <c r="O262" s="173"/>
      <c r="P262" s="173" t="s">
        <v>585</v>
      </c>
      <c r="Q262" s="173"/>
      <c r="R262" s="173" t="s">
        <v>585</v>
      </c>
      <c r="S262" s="173"/>
      <c r="T262" s="173" t="s">
        <v>585</v>
      </c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</row>
    <row r="263">
      <c r="A263" s="207">
        <v>96.0</v>
      </c>
      <c r="B263" s="196" t="s">
        <v>886</v>
      </c>
      <c r="C263" s="196" t="s">
        <v>422</v>
      </c>
      <c r="D263" s="208" t="s">
        <v>887</v>
      </c>
      <c r="E263" s="233">
        <v>44405.0</v>
      </c>
      <c r="F263" s="234" t="s">
        <v>642</v>
      </c>
      <c r="G263" s="173" t="s">
        <v>92</v>
      </c>
      <c r="H263" s="173">
        <v>1.0</v>
      </c>
      <c r="I263" s="173"/>
      <c r="J263" s="199">
        <v>0.0</v>
      </c>
      <c r="K263" s="206">
        <f>vlookup($D263,Python!$D$2:$F$1000,3,FALSE)</f>
        <v>1400</v>
      </c>
      <c r="L263" s="199">
        <v>7000000.0</v>
      </c>
      <c r="M263" s="173"/>
      <c r="N263" s="199" t="s">
        <v>585</v>
      </c>
      <c r="O263" s="173"/>
      <c r="P263" s="173" t="s">
        <v>585</v>
      </c>
      <c r="Q263" s="173"/>
      <c r="R263" s="173" t="s">
        <v>585</v>
      </c>
      <c r="S263" s="173"/>
      <c r="T263" s="173" t="s">
        <v>585</v>
      </c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</row>
    <row r="264">
      <c r="A264" s="207">
        <v>97.0</v>
      </c>
      <c r="B264" s="196" t="s">
        <v>886</v>
      </c>
      <c r="C264" s="196" t="s">
        <v>422</v>
      </c>
      <c r="D264" s="208" t="s">
        <v>888</v>
      </c>
      <c r="E264" s="233">
        <v>44415.0</v>
      </c>
      <c r="F264" s="234" t="s">
        <v>642</v>
      </c>
      <c r="G264" s="173" t="s">
        <v>92</v>
      </c>
      <c r="H264" s="173">
        <v>1.0</v>
      </c>
      <c r="I264" s="173"/>
      <c r="J264" s="199">
        <v>0.0</v>
      </c>
      <c r="K264" s="206">
        <f>vlookup($D264,Python!$D$2:$F$1000,3,FALSE)</f>
        <v>1900</v>
      </c>
      <c r="L264" s="199">
        <v>9500000.0</v>
      </c>
      <c r="M264" s="173"/>
      <c r="N264" s="199" t="s">
        <v>585</v>
      </c>
      <c r="O264" s="173"/>
      <c r="P264" s="173" t="s">
        <v>585</v>
      </c>
      <c r="Q264" s="173"/>
      <c r="R264" s="173" t="s">
        <v>585</v>
      </c>
      <c r="S264" s="173"/>
      <c r="T264" s="173" t="s">
        <v>585</v>
      </c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</row>
    <row r="265">
      <c r="A265" s="207">
        <v>98.0</v>
      </c>
      <c r="B265" s="196" t="s">
        <v>889</v>
      </c>
      <c r="C265" s="196" t="s">
        <v>422</v>
      </c>
      <c r="D265" s="208" t="s">
        <v>890</v>
      </c>
      <c r="E265" s="233">
        <v>44417.0</v>
      </c>
      <c r="F265" s="234" t="s">
        <v>642</v>
      </c>
      <c r="G265" s="173" t="s">
        <v>92</v>
      </c>
      <c r="H265" s="173">
        <v>1.0</v>
      </c>
      <c r="I265" s="173"/>
      <c r="J265" s="199">
        <v>0.0</v>
      </c>
      <c r="K265" s="206">
        <f>vlookup($D265,Python!$D$2:$F$1000,3,FALSE)</f>
        <v>526.2</v>
      </c>
      <c r="L265" s="199">
        <v>2500000.0</v>
      </c>
      <c r="M265" s="173"/>
      <c r="N265" s="199" t="s">
        <v>585</v>
      </c>
      <c r="O265" s="173"/>
      <c r="P265" s="173" t="s">
        <v>585</v>
      </c>
      <c r="Q265" s="173"/>
      <c r="R265" s="173" t="s">
        <v>585</v>
      </c>
      <c r="S265" s="173"/>
      <c r="T265" s="173" t="s">
        <v>585</v>
      </c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</row>
    <row r="266">
      <c r="A266" s="207">
        <v>99.0</v>
      </c>
      <c r="B266" s="196" t="s">
        <v>889</v>
      </c>
      <c r="C266" s="196" t="s">
        <v>422</v>
      </c>
      <c r="D266" s="232" t="s">
        <v>891</v>
      </c>
      <c r="E266" s="233">
        <v>44422.0</v>
      </c>
      <c r="F266" s="234" t="s">
        <v>642</v>
      </c>
      <c r="G266" s="173" t="s">
        <v>92</v>
      </c>
      <c r="H266" s="173">
        <v>1.0</v>
      </c>
      <c r="I266" s="173"/>
      <c r="J266" s="199">
        <v>0.0</v>
      </c>
      <c r="K266" s="206">
        <f>vlookup($D266,Python!$D$2:$F$1000,3,FALSE)</f>
        <v>106.5</v>
      </c>
      <c r="L266" s="199">
        <v>500000.0</v>
      </c>
      <c r="M266" s="173"/>
      <c r="N266" s="199" t="s">
        <v>585</v>
      </c>
      <c r="O266" s="173"/>
      <c r="P266" s="173" t="s">
        <v>585</v>
      </c>
      <c r="Q266" s="173"/>
      <c r="R266" s="173" t="s">
        <v>585</v>
      </c>
      <c r="S266" s="173"/>
      <c r="T266" s="173" t="s">
        <v>585</v>
      </c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</row>
    <row r="267">
      <c r="A267" s="207">
        <v>100.0</v>
      </c>
      <c r="B267" s="196" t="s">
        <v>892</v>
      </c>
      <c r="C267" s="196" t="s">
        <v>422</v>
      </c>
      <c r="D267" s="208" t="s">
        <v>893</v>
      </c>
      <c r="E267" s="233">
        <v>44405.0</v>
      </c>
      <c r="F267" s="234" t="s">
        <v>647</v>
      </c>
      <c r="G267" s="173" t="s">
        <v>92</v>
      </c>
      <c r="H267" s="173">
        <v>1.0</v>
      </c>
      <c r="I267" s="173"/>
      <c r="J267" s="199">
        <v>0.0</v>
      </c>
      <c r="K267" s="206">
        <f>vlookup($D267,Python!$D$2:$F$1000,3,FALSE)</f>
        <v>97.1</v>
      </c>
      <c r="L267" s="199">
        <v>0.0</v>
      </c>
      <c r="M267" s="173"/>
      <c r="N267" s="199" t="s">
        <v>585</v>
      </c>
      <c r="O267" s="173"/>
      <c r="P267" s="173" t="s">
        <v>585</v>
      </c>
      <c r="Q267" s="173"/>
      <c r="R267" s="173" t="s">
        <v>585</v>
      </c>
      <c r="S267" s="173"/>
      <c r="T267" s="173" t="s">
        <v>585</v>
      </c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</row>
    <row r="268">
      <c r="A268" s="207">
        <v>101.0</v>
      </c>
      <c r="B268" s="196" t="s">
        <v>604</v>
      </c>
      <c r="C268" s="196" t="s">
        <v>422</v>
      </c>
      <c r="D268" s="208" t="s">
        <v>894</v>
      </c>
      <c r="E268" s="233">
        <v>44417.0</v>
      </c>
      <c r="F268" s="234" t="s">
        <v>642</v>
      </c>
      <c r="G268" s="173" t="s">
        <v>92</v>
      </c>
      <c r="H268" s="173">
        <v>1.0</v>
      </c>
      <c r="I268" s="173"/>
      <c r="J268" s="199">
        <v>0.0</v>
      </c>
      <c r="K268" s="206">
        <f>vlookup($D268,Python!$D$2:$F$1000,3,FALSE)</f>
        <v>3800</v>
      </c>
      <c r="L268" s="199">
        <v>1.9E7</v>
      </c>
      <c r="M268" s="173"/>
      <c r="N268" s="199" t="s">
        <v>585</v>
      </c>
      <c r="O268" s="173"/>
      <c r="P268" s="173" t="s">
        <v>585</v>
      </c>
      <c r="Q268" s="173"/>
      <c r="R268" s="173" t="s">
        <v>585</v>
      </c>
      <c r="S268" s="173"/>
      <c r="T268" s="173" t="s">
        <v>585</v>
      </c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</row>
    <row r="269">
      <c r="A269" s="207">
        <v>102.0</v>
      </c>
      <c r="B269" s="196" t="s">
        <v>611</v>
      </c>
      <c r="C269" s="196" t="s">
        <v>422</v>
      </c>
      <c r="D269" s="208" t="s">
        <v>895</v>
      </c>
      <c r="E269" s="233">
        <v>44417.0</v>
      </c>
      <c r="F269" s="234" t="s">
        <v>647</v>
      </c>
      <c r="G269" s="173" t="s">
        <v>92</v>
      </c>
      <c r="H269" s="173">
        <v>1.0</v>
      </c>
      <c r="I269" s="173"/>
      <c r="J269" s="199">
        <v>0.0</v>
      </c>
      <c r="K269" s="206">
        <f>vlookup($D269,Python!$D$2:$F$1000,3,FALSE)</f>
        <v>432.4</v>
      </c>
      <c r="L269" s="199">
        <v>2000000.0</v>
      </c>
      <c r="M269" s="173"/>
      <c r="N269" s="199" t="s">
        <v>585</v>
      </c>
      <c r="O269" s="173"/>
      <c r="P269" s="173" t="s">
        <v>585</v>
      </c>
      <c r="Q269" s="173"/>
      <c r="R269" s="173" t="s">
        <v>585</v>
      </c>
      <c r="S269" s="173"/>
      <c r="T269" s="173" t="s">
        <v>585</v>
      </c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</row>
    <row r="270">
      <c r="A270" s="207">
        <v>103.0</v>
      </c>
      <c r="B270" s="214" t="s">
        <v>896</v>
      </c>
      <c r="C270" s="214" t="s">
        <v>418</v>
      </c>
      <c r="D270" s="261" t="s">
        <v>897</v>
      </c>
      <c r="E270" s="259">
        <v>44420.0</v>
      </c>
      <c r="F270" s="260" t="s">
        <v>647</v>
      </c>
      <c r="G270" s="218" t="s">
        <v>92</v>
      </c>
      <c r="H270" s="218">
        <v>1.0</v>
      </c>
      <c r="I270" s="222"/>
      <c r="J270" s="220">
        <v>0.0</v>
      </c>
      <c r="K270" s="206">
        <f>vlookup($D270,Python!$D$2:$F$1000,3,FALSE)</f>
        <v>3.6</v>
      </c>
      <c r="L270" s="220">
        <v>0.0</v>
      </c>
      <c r="M270" s="173"/>
      <c r="N270" s="220" t="s">
        <v>585</v>
      </c>
      <c r="O270" s="222"/>
      <c r="P270" s="218" t="s">
        <v>585</v>
      </c>
      <c r="Q270" s="222"/>
      <c r="R270" s="218" t="s">
        <v>585</v>
      </c>
      <c r="S270" s="222"/>
      <c r="T270" s="218" t="s">
        <v>585</v>
      </c>
      <c r="U270" s="222"/>
      <c r="V270" s="222"/>
      <c r="W270" s="222"/>
      <c r="X270" s="222"/>
      <c r="Y270" s="222"/>
      <c r="Z270" s="222"/>
      <c r="AA270" s="222"/>
      <c r="AB270" s="222"/>
      <c r="AC270" s="222"/>
      <c r="AD270" s="222"/>
      <c r="AE270" s="222"/>
      <c r="AF270" s="222"/>
    </row>
    <row r="271">
      <c r="A271" s="207">
        <v>104.0</v>
      </c>
      <c r="B271" s="196" t="s">
        <v>898</v>
      </c>
      <c r="C271" s="196" t="s">
        <v>422</v>
      </c>
      <c r="D271" s="208" t="s">
        <v>899</v>
      </c>
      <c r="E271" s="233">
        <v>44426.0</v>
      </c>
      <c r="F271" s="234" t="s">
        <v>641</v>
      </c>
      <c r="G271" s="173" t="s">
        <v>466</v>
      </c>
      <c r="H271" s="173">
        <v>1.0</v>
      </c>
      <c r="I271" s="173"/>
      <c r="J271" s="199">
        <v>0.0</v>
      </c>
      <c r="K271" s="206">
        <f>vlookup($D271,Python!$D$2:$F$1000,3,FALSE)</f>
        <v>5.285</v>
      </c>
      <c r="L271" s="199">
        <v>0.0</v>
      </c>
      <c r="M271" s="173"/>
      <c r="N271" s="199" t="s">
        <v>585</v>
      </c>
      <c r="O271" s="173"/>
      <c r="P271" s="173" t="s">
        <v>585</v>
      </c>
      <c r="Q271" s="173"/>
      <c r="R271" s="173" t="s">
        <v>585</v>
      </c>
      <c r="S271" s="173"/>
      <c r="T271" s="173" t="s">
        <v>585</v>
      </c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</row>
    <row r="272">
      <c r="A272" s="207">
        <v>105.0</v>
      </c>
      <c r="B272" s="214" t="s">
        <v>900</v>
      </c>
      <c r="C272" s="214" t="s">
        <v>422</v>
      </c>
      <c r="D272" s="215" t="s">
        <v>901</v>
      </c>
      <c r="E272" s="259">
        <v>44404.0</v>
      </c>
      <c r="F272" s="260" t="s">
        <v>642</v>
      </c>
      <c r="G272" s="218" t="s">
        <v>21</v>
      </c>
      <c r="H272" s="218">
        <v>1.0</v>
      </c>
      <c r="I272" s="222"/>
      <c r="J272" s="220">
        <v>0.0</v>
      </c>
      <c r="K272" s="221">
        <f>vlookup($D272,Python!$D$2:$F$1000,3,FALSE)</f>
        <v>4700</v>
      </c>
      <c r="L272" s="220">
        <v>2.35E7</v>
      </c>
      <c r="M272" s="222"/>
      <c r="N272" s="220" t="s">
        <v>585</v>
      </c>
      <c r="O272" s="222"/>
      <c r="P272" s="218" t="s">
        <v>585</v>
      </c>
      <c r="Q272" s="222"/>
      <c r="R272" s="218" t="s">
        <v>585</v>
      </c>
      <c r="S272" s="222"/>
      <c r="T272" s="218" t="s">
        <v>585</v>
      </c>
      <c r="U272" s="222"/>
      <c r="V272" s="222"/>
      <c r="W272" s="222"/>
      <c r="X272" s="222"/>
      <c r="Y272" s="222"/>
      <c r="Z272" s="222"/>
      <c r="AA272" s="222"/>
      <c r="AB272" s="222"/>
      <c r="AC272" s="222"/>
      <c r="AD272" s="222"/>
      <c r="AE272" s="222"/>
      <c r="AF272" s="222"/>
    </row>
    <row r="273">
      <c r="A273" s="207">
        <v>106.0</v>
      </c>
      <c r="B273" s="196" t="s">
        <v>900</v>
      </c>
      <c r="C273" s="196" t="s">
        <v>422</v>
      </c>
      <c r="D273" s="208" t="s">
        <v>902</v>
      </c>
      <c r="E273" s="233">
        <v>44405.0</v>
      </c>
      <c r="F273" s="234" t="s">
        <v>642</v>
      </c>
      <c r="G273" s="173" t="s">
        <v>21</v>
      </c>
      <c r="H273" s="173">
        <v>1.0</v>
      </c>
      <c r="I273" s="173"/>
      <c r="J273" s="199">
        <v>0.0</v>
      </c>
      <c r="K273" s="206">
        <f>vlookup($D273,Python!$D$2:$F$1000,3,FALSE)</f>
        <v>645.6</v>
      </c>
      <c r="L273" s="199">
        <v>3000000.0</v>
      </c>
      <c r="M273" s="173"/>
      <c r="N273" s="199" t="s">
        <v>585</v>
      </c>
      <c r="O273" s="173"/>
      <c r="P273" s="173" t="s">
        <v>585</v>
      </c>
      <c r="Q273" s="173"/>
      <c r="R273" s="173" t="s">
        <v>585</v>
      </c>
      <c r="S273" s="173"/>
      <c r="T273" s="173" t="s">
        <v>585</v>
      </c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</row>
    <row r="274">
      <c r="A274" s="207">
        <v>107.0</v>
      </c>
      <c r="B274" s="196" t="s">
        <v>900</v>
      </c>
      <c r="C274" s="196" t="s">
        <v>422</v>
      </c>
      <c r="D274" s="232" t="s">
        <v>903</v>
      </c>
      <c r="E274" s="233">
        <v>44406.0</v>
      </c>
      <c r="F274" s="234" t="s">
        <v>642</v>
      </c>
      <c r="G274" s="173" t="s">
        <v>21</v>
      </c>
      <c r="H274" s="173">
        <v>1.0</v>
      </c>
      <c r="I274" s="173"/>
      <c r="J274" s="199">
        <v>0.0</v>
      </c>
      <c r="K274" s="206">
        <f>vlookup($D274,Python!$D$2:$F$1000,3,FALSE)</f>
        <v>1900</v>
      </c>
      <c r="L274" s="199">
        <v>9500000.0</v>
      </c>
      <c r="M274" s="173"/>
      <c r="N274" s="199" t="s">
        <v>585</v>
      </c>
      <c r="O274" s="173"/>
      <c r="P274" s="173" t="s">
        <v>585</v>
      </c>
      <c r="Q274" s="173"/>
      <c r="R274" s="173" t="s">
        <v>585</v>
      </c>
      <c r="S274" s="173"/>
      <c r="T274" s="173" t="s">
        <v>585</v>
      </c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</row>
    <row r="275">
      <c r="A275" s="207">
        <v>108.0</v>
      </c>
      <c r="B275" s="196" t="s">
        <v>900</v>
      </c>
      <c r="C275" s="196" t="s">
        <v>422</v>
      </c>
      <c r="D275" s="208" t="s">
        <v>904</v>
      </c>
      <c r="E275" s="233">
        <v>44407.0</v>
      </c>
      <c r="F275" s="234" t="s">
        <v>642</v>
      </c>
      <c r="G275" s="173" t="s">
        <v>21</v>
      </c>
      <c r="H275" s="173">
        <v>1.0</v>
      </c>
      <c r="I275" s="173"/>
      <c r="J275" s="199">
        <v>0.0</v>
      </c>
      <c r="K275" s="206">
        <f>vlookup($D275,Python!$D$2:$F$1000,3,FALSE)</f>
        <v>4000</v>
      </c>
      <c r="L275" s="199">
        <v>2.0E7</v>
      </c>
      <c r="M275" s="173"/>
      <c r="N275" s="199" t="s">
        <v>585</v>
      </c>
      <c r="O275" s="173"/>
      <c r="P275" s="173" t="s">
        <v>585</v>
      </c>
      <c r="Q275" s="173"/>
      <c r="R275" s="173" t="s">
        <v>585</v>
      </c>
      <c r="S275" s="173"/>
      <c r="T275" s="173" t="s">
        <v>585</v>
      </c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</row>
    <row r="276">
      <c r="A276" s="207">
        <v>109.0</v>
      </c>
      <c r="B276" s="196" t="s">
        <v>900</v>
      </c>
      <c r="C276" s="196" t="s">
        <v>422</v>
      </c>
      <c r="D276" s="208" t="s">
        <v>905</v>
      </c>
      <c r="E276" s="262">
        <v>44408.0</v>
      </c>
      <c r="F276" s="234" t="s">
        <v>642</v>
      </c>
      <c r="G276" s="173" t="s">
        <v>21</v>
      </c>
      <c r="H276" s="173">
        <v>1.0</v>
      </c>
      <c r="I276" s="173"/>
      <c r="J276" s="199">
        <v>0.0</v>
      </c>
      <c r="K276" s="206">
        <f>vlookup($D276,Python!$D$2:$F$1000,3,FALSE)</f>
        <v>3200</v>
      </c>
      <c r="L276" s="199">
        <v>1.6E7</v>
      </c>
      <c r="M276" s="173"/>
      <c r="N276" s="199" t="s">
        <v>585</v>
      </c>
      <c r="O276" s="173"/>
      <c r="P276" s="173" t="s">
        <v>585</v>
      </c>
      <c r="Q276" s="173"/>
      <c r="R276" s="173" t="s">
        <v>585</v>
      </c>
      <c r="S276" s="173"/>
      <c r="T276" s="173" t="s">
        <v>585</v>
      </c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</row>
    <row r="277">
      <c r="A277" s="207">
        <v>110.0</v>
      </c>
      <c r="B277" s="196" t="s">
        <v>900</v>
      </c>
      <c r="C277" s="196" t="s">
        <v>422</v>
      </c>
      <c r="D277" s="208" t="s">
        <v>906</v>
      </c>
      <c r="E277" s="233">
        <v>44409.0</v>
      </c>
      <c r="F277" s="234" t="s">
        <v>642</v>
      </c>
      <c r="G277" s="173" t="s">
        <v>21</v>
      </c>
      <c r="H277" s="173">
        <v>1.0</v>
      </c>
      <c r="I277" s="173"/>
      <c r="J277" s="199">
        <v>0.0</v>
      </c>
      <c r="K277" s="206">
        <f>vlookup($D277,Python!$D$2:$F$1000,3,FALSE)</f>
        <v>2100</v>
      </c>
      <c r="L277" s="199">
        <v>1.05E7</v>
      </c>
      <c r="M277" s="173"/>
      <c r="N277" s="199" t="s">
        <v>585</v>
      </c>
      <c r="O277" s="173"/>
      <c r="P277" s="173" t="s">
        <v>585</v>
      </c>
      <c r="Q277" s="173"/>
      <c r="R277" s="173" t="s">
        <v>585</v>
      </c>
      <c r="S277" s="173"/>
      <c r="T277" s="173" t="s">
        <v>585</v>
      </c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</row>
    <row r="278">
      <c r="A278" s="207">
        <v>111.0</v>
      </c>
      <c r="B278" s="196" t="s">
        <v>900</v>
      </c>
      <c r="C278" s="196" t="s">
        <v>422</v>
      </c>
      <c r="D278" s="208" t="s">
        <v>907</v>
      </c>
      <c r="E278" s="233">
        <v>44379.0</v>
      </c>
      <c r="F278" s="234" t="s">
        <v>642</v>
      </c>
      <c r="G278" s="173" t="s">
        <v>21</v>
      </c>
      <c r="H278" s="173">
        <v>1.0</v>
      </c>
      <c r="I278" s="173"/>
      <c r="J278" s="199">
        <v>0.0</v>
      </c>
      <c r="K278" s="206">
        <f>vlookup($D278,Python!$D$2:$F$1000,3,FALSE)</f>
        <v>2900</v>
      </c>
      <c r="L278" s="199">
        <v>1.45E7</v>
      </c>
      <c r="M278" s="173"/>
      <c r="N278" s="199" t="s">
        <v>585</v>
      </c>
      <c r="O278" s="173"/>
      <c r="P278" s="173" t="s">
        <v>585</v>
      </c>
      <c r="Q278" s="173"/>
      <c r="R278" s="173" t="s">
        <v>585</v>
      </c>
      <c r="S278" s="173"/>
      <c r="T278" s="173" t="s">
        <v>585</v>
      </c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</row>
    <row r="279">
      <c r="A279" s="207">
        <v>112.0</v>
      </c>
      <c r="B279" s="196" t="s">
        <v>900</v>
      </c>
      <c r="C279" s="196" t="s">
        <v>422</v>
      </c>
      <c r="D279" s="208" t="s">
        <v>908</v>
      </c>
      <c r="E279" s="233">
        <v>44385.0</v>
      </c>
      <c r="F279" s="234" t="s">
        <v>642</v>
      </c>
      <c r="G279" s="173" t="s">
        <v>21</v>
      </c>
      <c r="H279" s="173">
        <v>1.0</v>
      </c>
      <c r="I279" s="173"/>
      <c r="J279" s="199">
        <v>0.0</v>
      </c>
      <c r="K279" s="206">
        <f>vlookup($D279,Python!$D$2:$F$1000,3,FALSE)</f>
        <v>3500</v>
      </c>
      <c r="L279" s="199">
        <v>1.75E7</v>
      </c>
      <c r="M279" s="173"/>
      <c r="N279" s="199" t="s">
        <v>585</v>
      </c>
      <c r="O279" s="173"/>
      <c r="P279" s="173" t="s">
        <v>585</v>
      </c>
      <c r="Q279" s="173"/>
      <c r="R279" s="173" t="s">
        <v>585</v>
      </c>
      <c r="S279" s="173"/>
      <c r="T279" s="173" t="s">
        <v>585</v>
      </c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</row>
    <row r="280">
      <c r="A280" s="207">
        <v>113.0</v>
      </c>
      <c r="B280" s="196" t="s">
        <v>900</v>
      </c>
      <c r="C280" s="196" t="s">
        <v>422</v>
      </c>
      <c r="D280" s="232" t="s">
        <v>909</v>
      </c>
      <c r="E280" s="233">
        <v>44391.0</v>
      </c>
      <c r="F280" s="234" t="s">
        <v>642</v>
      </c>
      <c r="G280" s="173" t="s">
        <v>21</v>
      </c>
      <c r="H280" s="173">
        <v>1.0</v>
      </c>
      <c r="I280" s="173"/>
      <c r="J280" s="199">
        <v>0.0</v>
      </c>
      <c r="K280" s="206">
        <f>vlookup($D280,Python!$D$2:$F$1000,3,FALSE)</f>
        <v>6100</v>
      </c>
      <c r="L280" s="199">
        <v>3.05E7</v>
      </c>
      <c r="M280" s="173"/>
      <c r="N280" s="199" t="s">
        <v>585</v>
      </c>
      <c r="O280" s="173"/>
      <c r="P280" s="173" t="s">
        <v>585</v>
      </c>
      <c r="Q280" s="173"/>
      <c r="R280" s="173" t="s">
        <v>585</v>
      </c>
      <c r="S280" s="173"/>
      <c r="T280" s="173" t="s">
        <v>585</v>
      </c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</row>
    <row r="281">
      <c r="A281" s="207">
        <v>114.0</v>
      </c>
      <c r="B281" s="196" t="s">
        <v>910</v>
      </c>
      <c r="C281" s="196" t="s">
        <v>422</v>
      </c>
      <c r="D281" s="208" t="s">
        <v>911</v>
      </c>
      <c r="E281" s="233">
        <v>44425.0</v>
      </c>
      <c r="F281" s="234" t="s">
        <v>642</v>
      </c>
      <c r="G281" s="173" t="s">
        <v>21</v>
      </c>
      <c r="H281" s="173">
        <v>1.0</v>
      </c>
      <c r="I281" s="173"/>
      <c r="J281" s="199">
        <v>0.0</v>
      </c>
      <c r="K281" s="206">
        <f>vlookup($D281,Python!$D$2:$F$1000,3,FALSE)</f>
        <v>1400</v>
      </c>
      <c r="L281" s="199">
        <v>7000000.0</v>
      </c>
      <c r="M281" s="173"/>
      <c r="N281" s="199" t="s">
        <v>585</v>
      </c>
      <c r="O281" s="173"/>
      <c r="P281" s="173" t="s">
        <v>585</v>
      </c>
      <c r="Q281" s="173"/>
      <c r="R281" s="173" t="s">
        <v>585</v>
      </c>
      <c r="S281" s="173"/>
      <c r="T281" s="173" t="s">
        <v>585</v>
      </c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</row>
    <row r="282">
      <c r="A282" s="207">
        <v>115.0</v>
      </c>
      <c r="B282" s="196" t="s">
        <v>910</v>
      </c>
      <c r="C282" s="196" t="s">
        <v>422</v>
      </c>
      <c r="D282" s="208" t="s">
        <v>912</v>
      </c>
      <c r="E282" s="233">
        <v>44425.0</v>
      </c>
      <c r="F282" s="234" t="s">
        <v>642</v>
      </c>
      <c r="G282" s="173" t="s">
        <v>21</v>
      </c>
      <c r="H282" s="173">
        <v>1.0</v>
      </c>
      <c r="I282" s="173"/>
      <c r="J282" s="199">
        <v>0.0</v>
      </c>
      <c r="K282" s="206">
        <f>vlookup($D282,Python!$D$2:$F$1000,3,FALSE)</f>
        <v>2500</v>
      </c>
      <c r="L282" s="199">
        <v>1.25E7</v>
      </c>
      <c r="M282" s="173"/>
      <c r="N282" s="199" t="s">
        <v>585</v>
      </c>
      <c r="O282" s="173"/>
      <c r="P282" s="173" t="s">
        <v>585</v>
      </c>
      <c r="Q282" s="173"/>
      <c r="R282" s="173" t="s">
        <v>585</v>
      </c>
      <c r="S282" s="173"/>
      <c r="T282" s="173" t="s">
        <v>585</v>
      </c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</row>
    <row r="283">
      <c r="A283" s="207">
        <v>116.0</v>
      </c>
      <c r="B283" s="196" t="s">
        <v>913</v>
      </c>
      <c r="C283" s="196" t="s">
        <v>609</v>
      </c>
      <c r="D283" s="208" t="s">
        <v>914</v>
      </c>
      <c r="E283" s="233">
        <v>44412.0</v>
      </c>
      <c r="F283" s="234" t="s">
        <v>647</v>
      </c>
      <c r="G283" s="173" t="s">
        <v>21</v>
      </c>
      <c r="H283" s="173">
        <v>1.0</v>
      </c>
      <c r="I283" s="173"/>
      <c r="J283" s="199">
        <v>0.0</v>
      </c>
      <c r="K283" s="206" t="str">
        <f>vlookup($D283,Python!$D$2:$F$1000,3,FALSE)</f>
        <v/>
      </c>
      <c r="L283" s="199" t="s">
        <v>585</v>
      </c>
      <c r="M283" s="173"/>
      <c r="N283" s="199" t="s">
        <v>585</v>
      </c>
      <c r="O283" s="173"/>
      <c r="P283" s="173" t="s">
        <v>585</v>
      </c>
      <c r="Q283" s="173"/>
      <c r="R283" s="173" t="s">
        <v>585</v>
      </c>
      <c r="S283" s="173"/>
      <c r="T283" s="173" t="s">
        <v>585</v>
      </c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</row>
    <row r="284">
      <c r="A284" s="207">
        <v>117.0</v>
      </c>
      <c r="B284" s="196" t="s">
        <v>913</v>
      </c>
      <c r="C284" s="196" t="s">
        <v>609</v>
      </c>
      <c r="D284" s="208" t="s">
        <v>915</v>
      </c>
      <c r="E284" s="233">
        <v>44416.0</v>
      </c>
      <c r="F284" s="234" t="s">
        <v>647</v>
      </c>
      <c r="G284" s="173" t="s">
        <v>21</v>
      </c>
      <c r="H284" s="173">
        <v>1.0</v>
      </c>
      <c r="I284" s="173"/>
      <c r="J284" s="199">
        <v>0.0</v>
      </c>
      <c r="K284" s="206" t="str">
        <f>vlookup($D284,Python!$D$2:$F$1000,3,FALSE)</f>
        <v/>
      </c>
      <c r="L284" s="199" t="s">
        <v>585</v>
      </c>
      <c r="M284" s="173"/>
      <c r="N284" s="199" t="s">
        <v>585</v>
      </c>
      <c r="O284" s="173"/>
      <c r="P284" s="173" t="s">
        <v>585</v>
      </c>
      <c r="Q284" s="173"/>
      <c r="R284" s="173" t="s">
        <v>585</v>
      </c>
      <c r="S284" s="173"/>
      <c r="T284" s="173" t="s">
        <v>585</v>
      </c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</row>
    <row r="285">
      <c r="A285" s="207">
        <v>118.0</v>
      </c>
      <c r="B285" s="196" t="s">
        <v>913</v>
      </c>
      <c r="C285" s="196" t="s">
        <v>609</v>
      </c>
      <c r="D285" s="208" t="s">
        <v>916</v>
      </c>
      <c r="E285" s="233">
        <v>44422.0</v>
      </c>
      <c r="F285" s="234" t="s">
        <v>647</v>
      </c>
      <c r="G285" s="173" t="s">
        <v>21</v>
      </c>
      <c r="H285" s="173">
        <v>1.0</v>
      </c>
      <c r="I285" s="173"/>
      <c r="J285" s="199">
        <v>0.0</v>
      </c>
      <c r="K285" s="206" t="str">
        <f>vlookup($D285,Python!$D$2:$F$1000,3,FALSE)</f>
        <v/>
      </c>
      <c r="L285" s="199" t="s">
        <v>585</v>
      </c>
      <c r="M285" s="173"/>
      <c r="N285" s="199" t="s">
        <v>585</v>
      </c>
      <c r="O285" s="173"/>
      <c r="P285" s="173" t="s">
        <v>585</v>
      </c>
      <c r="Q285" s="173"/>
      <c r="R285" s="173" t="s">
        <v>585</v>
      </c>
      <c r="S285" s="173"/>
      <c r="T285" s="173" t="s">
        <v>585</v>
      </c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</row>
    <row r="286">
      <c r="A286" s="207">
        <v>119.0</v>
      </c>
      <c r="B286" s="196" t="s">
        <v>539</v>
      </c>
      <c r="C286" s="196" t="s">
        <v>418</v>
      </c>
      <c r="D286" s="208" t="s">
        <v>917</v>
      </c>
      <c r="E286" s="233">
        <v>44423.0</v>
      </c>
      <c r="F286" s="234" t="s">
        <v>647</v>
      </c>
      <c r="G286" s="173" t="s">
        <v>21</v>
      </c>
      <c r="H286" s="173">
        <v>1.0</v>
      </c>
      <c r="I286" s="173"/>
      <c r="J286" s="199">
        <v>0.0</v>
      </c>
      <c r="K286" s="206">
        <f>vlookup($D286,Python!$D$2:$F$1000,3,FALSE)</f>
        <v>90</v>
      </c>
      <c r="L286" s="199">
        <v>1000000.0</v>
      </c>
      <c r="M286" s="173"/>
      <c r="N286" s="199" t="s">
        <v>585</v>
      </c>
      <c r="O286" s="173"/>
      <c r="P286" s="173" t="s">
        <v>585</v>
      </c>
      <c r="Q286" s="173"/>
      <c r="R286" s="173" t="s">
        <v>585</v>
      </c>
      <c r="S286" s="173"/>
      <c r="T286" s="173" t="s">
        <v>585</v>
      </c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</row>
    <row r="287">
      <c r="A287" s="207">
        <v>120.0</v>
      </c>
      <c r="B287" s="196" t="s">
        <v>534</v>
      </c>
      <c r="C287" s="196" t="s">
        <v>418</v>
      </c>
      <c r="D287" s="232" t="s">
        <v>918</v>
      </c>
      <c r="E287" s="233">
        <v>44416.0</v>
      </c>
      <c r="F287" s="234" t="s">
        <v>641</v>
      </c>
      <c r="G287" s="173" t="s">
        <v>21</v>
      </c>
      <c r="H287" s="173">
        <v>1.0</v>
      </c>
      <c r="I287" s="173"/>
      <c r="J287" s="199">
        <v>0.0</v>
      </c>
      <c r="K287" s="206">
        <f>vlookup($D287,Python!$D$2:$F$1000,3,FALSE)</f>
        <v>102</v>
      </c>
      <c r="L287" s="199">
        <v>2000000.0</v>
      </c>
      <c r="M287" s="173"/>
      <c r="N287" s="199" t="s">
        <v>585</v>
      </c>
      <c r="O287" s="173"/>
      <c r="P287" s="173" t="s">
        <v>585</v>
      </c>
      <c r="Q287" s="173"/>
      <c r="R287" s="173" t="s">
        <v>585</v>
      </c>
      <c r="S287" s="173"/>
      <c r="T287" s="173" t="s">
        <v>585</v>
      </c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</row>
    <row r="288">
      <c r="A288" s="207">
        <v>121.0</v>
      </c>
      <c r="B288" s="196" t="s">
        <v>534</v>
      </c>
      <c r="C288" s="196" t="s">
        <v>418</v>
      </c>
      <c r="D288" s="208" t="s">
        <v>919</v>
      </c>
      <c r="E288" s="233">
        <v>44422.0</v>
      </c>
      <c r="F288" s="234" t="s">
        <v>641</v>
      </c>
      <c r="G288" s="173" t="s">
        <v>21</v>
      </c>
      <c r="H288" s="173">
        <v>1.0</v>
      </c>
      <c r="I288" s="173"/>
      <c r="J288" s="199">
        <v>0.0</v>
      </c>
      <c r="K288" s="206">
        <f>vlookup($D288,Python!$D$2:$F$1000,3,FALSE)</f>
        <v>50</v>
      </c>
      <c r="L288" s="199">
        <v>1000000.0</v>
      </c>
      <c r="M288" s="173"/>
      <c r="N288" s="199" t="s">
        <v>585</v>
      </c>
      <c r="O288" s="173"/>
      <c r="P288" s="173" t="s">
        <v>585</v>
      </c>
      <c r="Q288" s="173"/>
      <c r="R288" s="173" t="s">
        <v>585</v>
      </c>
      <c r="S288" s="173"/>
      <c r="T288" s="173" t="s">
        <v>585</v>
      </c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</row>
    <row r="289">
      <c r="A289" s="207">
        <v>122.0</v>
      </c>
      <c r="B289" s="196" t="s">
        <v>920</v>
      </c>
      <c r="C289" s="196" t="s">
        <v>422</v>
      </c>
      <c r="D289" s="263" t="s">
        <v>921</v>
      </c>
      <c r="E289" s="233">
        <v>44403.0</v>
      </c>
      <c r="F289" s="234" t="s">
        <v>642</v>
      </c>
      <c r="G289" s="173" t="s">
        <v>922</v>
      </c>
      <c r="H289" s="173">
        <v>1.0</v>
      </c>
      <c r="I289" s="173"/>
      <c r="J289" s="199">
        <v>0.0</v>
      </c>
      <c r="K289" s="206">
        <f>vlookup($D289,Python!$D$2:$F$1000,3,FALSE)</f>
        <v>1100</v>
      </c>
      <c r="L289" s="199">
        <v>5500000.0</v>
      </c>
      <c r="M289" s="173"/>
      <c r="N289" s="199" t="s">
        <v>585</v>
      </c>
      <c r="O289" s="173"/>
      <c r="P289" s="173" t="s">
        <v>585</v>
      </c>
      <c r="Q289" s="173"/>
      <c r="R289" s="173" t="s">
        <v>585</v>
      </c>
      <c r="S289" s="173"/>
      <c r="T289" s="173" t="s">
        <v>585</v>
      </c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</row>
    <row r="290">
      <c r="A290" s="207">
        <v>123.0</v>
      </c>
      <c r="B290" s="196" t="s">
        <v>920</v>
      </c>
      <c r="C290" s="196" t="s">
        <v>422</v>
      </c>
      <c r="D290" s="264" t="s">
        <v>923</v>
      </c>
      <c r="E290" s="233">
        <v>44422.0</v>
      </c>
      <c r="F290" s="234" t="s">
        <v>642</v>
      </c>
      <c r="G290" s="173" t="s">
        <v>922</v>
      </c>
      <c r="H290" s="173">
        <v>1.0</v>
      </c>
      <c r="I290" s="173"/>
      <c r="J290" s="199">
        <v>0.0</v>
      </c>
      <c r="K290" s="206">
        <f>vlookup($D290,Python!$D$2:$F$1000,3,FALSE)</f>
        <v>116.7</v>
      </c>
      <c r="L290" s="199">
        <v>500000.0</v>
      </c>
      <c r="M290" s="173"/>
      <c r="N290" s="199" t="s">
        <v>585</v>
      </c>
      <c r="O290" s="173"/>
      <c r="P290" s="173" t="s">
        <v>585</v>
      </c>
      <c r="Q290" s="173"/>
      <c r="R290" s="173" t="s">
        <v>585</v>
      </c>
      <c r="S290" s="173"/>
      <c r="T290" s="173" t="s">
        <v>585</v>
      </c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</row>
    <row r="291">
      <c r="A291" s="207">
        <v>124.0</v>
      </c>
      <c r="B291" s="196" t="s">
        <v>924</v>
      </c>
      <c r="C291" s="196" t="s">
        <v>422</v>
      </c>
      <c r="D291" s="263" t="s">
        <v>925</v>
      </c>
      <c r="E291" s="265">
        <v>44406.0</v>
      </c>
      <c r="F291" s="234" t="s">
        <v>642</v>
      </c>
      <c r="G291" s="173" t="s">
        <v>926</v>
      </c>
      <c r="H291" s="173">
        <v>1.0</v>
      </c>
      <c r="I291" s="173"/>
      <c r="J291" s="199">
        <v>0.0</v>
      </c>
      <c r="K291" s="206">
        <f>vlookup($D291,Python!$D$2:$F$1000,3,FALSE)</f>
        <v>1100</v>
      </c>
      <c r="L291" s="199">
        <v>5500000.0</v>
      </c>
      <c r="M291" s="173"/>
      <c r="N291" s="199" t="s">
        <v>585</v>
      </c>
      <c r="O291" s="173"/>
      <c r="P291" s="173" t="s">
        <v>585</v>
      </c>
      <c r="Q291" s="173"/>
      <c r="R291" s="173" t="s">
        <v>585</v>
      </c>
      <c r="S291" s="173"/>
      <c r="T291" s="173" t="s">
        <v>585</v>
      </c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</row>
    <row r="292">
      <c r="A292" s="207">
        <v>125.0</v>
      </c>
      <c r="B292" s="196" t="s">
        <v>924</v>
      </c>
      <c r="C292" s="196" t="s">
        <v>422</v>
      </c>
      <c r="D292" s="263" t="s">
        <v>927</v>
      </c>
      <c r="E292" s="265">
        <v>44407.0</v>
      </c>
      <c r="F292" s="234" t="s">
        <v>642</v>
      </c>
      <c r="G292" s="173" t="s">
        <v>926</v>
      </c>
      <c r="H292" s="173">
        <v>1.0</v>
      </c>
      <c r="I292" s="173"/>
      <c r="J292" s="199">
        <v>0.0</v>
      </c>
      <c r="K292" s="206">
        <f>vlookup($D292,Python!$D$2:$F$1000,3,FALSE)</f>
        <v>55.6</v>
      </c>
      <c r="L292" s="199">
        <v>0.0</v>
      </c>
      <c r="M292" s="173"/>
      <c r="N292" s="199" t="s">
        <v>585</v>
      </c>
      <c r="O292" s="173"/>
      <c r="P292" s="173" t="s">
        <v>585</v>
      </c>
      <c r="Q292" s="173"/>
      <c r="R292" s="173" t="s">
        <v>585</v>
      </c>
      <c r="S292" s="173"/>
      <c r="T292" s="173" t="s">
        <v>585</v>
      </c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</row>
    <row r="293">
      <c r="A293" s="207">
        <v>126.0</v>
      </c>
      <c r="B293" s="196" t="s">
        <v>924</v>
      </c>
      <c r="C293" s="196" t="s">
        <v>422</v>
      </c>
      <c r="D293" s="263" t="s">
        <v>928</v>
      </c>
      <c r="E293" s="265">
        <v>44408.0</v>
      </c>
      <c r="F293" s="234" t="s">
        <v>642</v>
      </c>
      <c r="G293" s="173" t="s">
        <v>926</v>
      </c>
      <c r="H293" s="173">
        <v>1.0</v>
      </c>
      <c r="I293" s="173"/>
      <c r="J293" s="199">
        <v>0.0</v>
      </c>
      <c r="K293" s="206">
        <f>vlookup($D293,Python!$D$2:$F$1000,3,FALSE)</f>
        <v>125.8</v>
      </c>
      <c r="L293" s="199">
        <v>500000.0</v>
      </c>
      <c r="M293" s="173"/>
      <c r="N293" s="199" t="s">
        <v>585</v>
      </c>
      <c r="O293" s="173"/>
      <c r="P293" s="173" t="s">
        <v>585</v>
      </c>
      <c r="Q293" s="173"/>
      <c r="R293" s="173" t="s">
        <v>585</v>
      </c>
      <c r="S293" s="173"/>
      <c r="T293" s="173" t="s">
        <v>585</v>
      </c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</row>
    <row r="294">
      <c r="A294" s="207">
        <v>127.0</v>
      </c>
      <c r="B294" s="196" t="s">
        <v>924</v>
      </c>
      <c r="C294" s="196" t="s">
        <v>422</v>
      </c>
      <c r="D294" s="263" t="s">
        <v>929</v>
      </c>
      <c r="E294" s="265">
        <v>44413.0</v>
      </c>
      <c r="F294" s="234" t="s">
        <v>642</v>
      </c>
      <c r="G294" s="173" t="s">
        <v>926</v>
      </c>
      <c r="H294" s="173">
        <v>1.0</v>
      </c>
      <c r="I294" s="173"/>
      <c r="J294" s="199">
        <v>0.0</v>
      </c>
      <c r="K294" s="206">
        <f>vlookup($D294,Python!$D$2:$F$1000,3,FALSE)</f>
        <v>764.2</v>
      </c>
      <c r="L294" s="199">
        <v>3500000.0</v>
      </c>
      <c r="M294" s="173"/>
      <c r="N294" s="199" t="s">
        <v>585</v>
      </c>
      <c r="O294" s="173"/>
      <c r="P294" s="173" t="s">
        <v>585</v>
      </c>
      <c r="Q294" s="173"/>
      <c r="R294" s="173" t="s">
        <v>585</v>
      </c>
      <c r="S294" s="173"/>
      <c r="T294" s="173" t="s">
        <v>585</v>
      </c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</row>
    <row r="295">
      <c r="A295" s="207">
        <v>128.0</v>
      </c>
      <c r="B295" s="196" t="s">
        <v>924</v>
      </c>
      <c r="C295" s="196" t="s">
        <v>422</v>
      </c>
      <c r="D295" s="263" t="s">
        <v>930</v>
      </c>
      <c r="E295" s="265">
        <v>44416.0</v>
      </c>
      <c r="F295" s="234" t="s">
        <v>642</v>
      </c>
      <c r="G295" s="173" t="s">
        <v>926</v>
      </c>
      <c r="H295" s="173">
        <v>1.0</v>
      </c>
      <c r="I295" s="173"/>
      <c r="J295" s="199">
        <v>0.0</v>
      </c>
      <c r="K295" s="206">
        <f>vlookup($D295,Python!$D$2:$F$1000,3,FALSE)</f>
        <v>53.8</v>
      </c>
      <c r="L295" s="199">
        <v>0.0</v>
      </c>
      <c r="M295" s="173"/>
      <c r="N295" s="199" t="s">
        <v>585</v>
      </c>
      <c r="O295" s="173"/>
      <c r="P295" s="173" t="s">
        <v>585</v>
      </c>
      <c r="Q295" s="173"/>
      <c r="R295" s="173" t="s">
        <v>585</v>
      </c>
      <c r="S295" s="173"/>
      <c r="T295" s="173" t="s">
        <v>585</v>
      </c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</row>
    <row r="296">
      <c r="A296" s="207">
        <v>129.0</v>
      </c>
      <c r="B296" s="196" t="s">
        <v>924</v>
      </c>
      <c r="C296" s="196" t="s">
        <v>422</v>
      </c>
      <c r="D296" s="263" t="s">
        <v>931</v>
      </c>
      <c r="E296" s="265">
        <v>44420.0</v>
      </c>
      <c r="F296" s="234" t="s">
        <v>642</v>
      </c>
      <c r="G296" s="173" t="s">
        <v>926</v>
      </c>
      <c r="H296" s="173">
        <v>1.0</v>
      </c>
      <c r="I296" s="173"/>
      <c r="J296" s="199">
        <v>0.0</v>
      </c>
      <c r="K296" s="206">
        <f>vlookup($D296,Python!$D$2:$F$1000,3,FALSE)</f>
        <v>1200</v>
      </c>
      <c r="L296" s="199">
        <v>6000000.0</v>
      </c>
      <c r="M296" s="173"/>
      <c r="N296" s="199" t="s">
        <v>585</v>
      </c>
      <c r="O296" s="173"/>
      <c r="P296" s="173" t="s">
        <v>585</v>
      </c>
      <c r="Q296" s="173"/>
      <c r="R296" s="173" t="s">
        <v>585</v>
      </c>
      <c r="S296" s="173"/>
      <c r="T296" s="173" t="s">
        <v>585</v>
      </c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</row>
    <row r="297">
      <c r="A297" s="207">
        <v>130.0</v>
      </c>
      <c r="B297" s="196" t="s">
        <v>924</v>
      </c>
      <c r="C297" s="196" t="s">
        <v>422</v>
      </c>
      <c r="D297" s="263" t="s">
        <v>932</v>
      </c>
      <c r="E297" s="265">
        <v>44423.0</v>
      </c>
      <c r="F297" s="234" t="s">
        <v>642</v>
      </c>
      <c r="G297" s="173" t="s">
        <v>926</v>
      </c>
      <c r="H297" s="173">
        <v>1.0</v>
      </c>
      <c r="I297" s="173"/>
      <c r="J297" s="199">
        <v>0.0</v>
      </c>
      <c r="K297" s="206">
        <f>vlookup($D297,Python!$D$2:$F$1000,3,FALSE)</f>
        <v>34.6</v>
      </c>
      <c r="L297" s="199">
        <v>0.0</v>
      </c>
      <c r="M297" s="173"/>
      <c r="N297" s="199" t="s">
        <v>585</v>
      </c>
      <c r="O297" s="173"/>
      <c r="P297" s="173" t="s">
        <v>585</v>
      </c>
      <c r="Q297" s="173"/>
      <c r="R297" s="173" t="s">
        <v>585</v>
      </c>
      <c r="S297" s="173"/>
      <c r="T297" s="173" t="s">
        <v>585</v>
      </c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</row>
    <row r="298">
      <c r="A298" s="207">
        <v>131.0</v>
      </c>
      <c r="B298" s="196" t="s">
        <v>933</v>
      </c>
      <c r="C298" s="196" t="s">
        <v>422</v>
      </c>
      <c r="D298" s="266" t="s">
        <v>934</v>
      </c>
      <c r="E298" s="267">
        <v>44404.0</v>
      </c>
      <c r="F298" s="234" t="s">
        <v>641</v>
      </c>
      <c r="G298" s="173" t="s">
        <v>21</v>
      </c>
      <c r="H298" s="173">
        <v>1.0</v>
      </c>
      <c r="I298" s="173"/>
      <c r="J298" s="199">
        <v>0.0</v>
      </c>
      <c r="K298" s="206">
        <f>vlookup($D298,Python!$D$2:$F$1000,3,FALSE)</f>
        <v>230.2</v>
      </c>
      <c r="L298" s="199">
        <v>1000000.0</v>
      </c>
      <c r="M298" s="173"/>
      <c r="N298" s="199" t="s">
        <v>585</v>
      </c>
      <c r="O298" s="173"/>
      <c r="P298" s="173" t="s">
        <v>585</v>
      </c>
      <c r="Q298" s="173"/>
      <c r="R298" s="173" t="s">
        <v>585</v>
      </c>
      <c r="S298" s="173"/>
      <c r="T298" s="173" t="s">
        <v>585</v>
      </c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</row>
    <row r="299">
      <c r="A299" s="207">
        <v>132.0</v>
      </c>
      <c r="B299" s="196" t="s">
        <v>933</v>
      </c>
      <c r="C299" s="196" t="s">
        <v>422</v>
      </c>
      <c r="D299" s="266" t="s">
        <v>935</v>
      </c>
      <c r="E299" s="267">
        <v>44403.0</v>
      </c>
      <c r="F299" s="234" t="s">
        <v>642</v>
      </c>
      <c r="G299" s="173" t="s">
        <v>21</v>
      </c>
      <c r="H299" s="173">
        <v>1.0</v>
      </c>
      <c r="I299" s="173"/>
      <c r="J299" s="199">
        <v>0.0</v>
      </c>
      <c r="K299" s="206">
        <f>vlookup($D299,Python!$D$2:$F$1000,3,FALSE)</f>
        <v>2700</v>
      </c>
      <c r="L299" s="199">
        <v>1.35E7</v>
      </c>
      <c r="M299" s="173"/>
      <c r="N299" s="199" t="s">
        <v>585</v>
      </c>
      <c r="O299" s="173"/>
      <c r="P299" s="173" t="s">
        <v>585</v>
      </c>
      <c r="Q299" s="173"/>
      <c r="R299" s="173" t="s">
        <v>585</v>
      </c>
      <c r="S299" s="173"/>
      <c r="T299" s="173" t="s">
        <v>585</v>
      </c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</row>
    <row r="300">
      <c r="A300" s="207">
        <v>133.0</v>
      </c>
      <c r="B300" s="196" t="s">
        <v>933</v>
      </c>
      <c r="C300" s="196" t="s">
        <v>422</v>
      </c>
      <c r="D300" s="266" t="s">
        <v>936</v>
      </c>
      <c r="E300" s="267">
        <v>44412.0</v>
      </c>
      <c r="F300" s="234" t="s">
        <v>642</v>
      </c>
      <c r="G300" s="173" t="s">
        <v>21</v>
      </c>
      <c r="H300" s="173">
        <v>1.0</v>
      </c>
      <c r="I300" s="173"/>
      <c r="J300" s="199">
        <v>0.0</v>
      </c>
      <c r="K300" s="206">
        <f>vlookup($D300,Python!$D$2:$F$1000,3,FALSE)</f>
        <v>75.4</v>
      </c>
      <c r="L300" s="199">
        <v>0.0</v>
      </c>
      <c r="M300" s="173"/>
      <c r="N300" s="199" t="s">
        <v>585</v>
      </c>
      <c r="O300" s="173"/>
      <c r="P300" s="173" t="s">
        <v>585</v>
      </c>
      <c r="Q300" s="173"/>
      <c r="R300" s="173" t="s">
        <v>585</v>
      </c>
      <c r="S300" s="173"/>
      <c r="T300" s="173" t="s">
        <v>585</v>
      </c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</row>
    <row r="301">
      <c r="A301" s="207">
        <v>134.0</v>
      </c>
      <c r="B301" s="196" t="s">
        <v>933</v>
      </c>
      <c r="C301" s="196" t="s">
        <v>422</v>
      </c>
      <c r="D301" s="266" t="s">
        <v>937</v>
      </c>
      <c r="E301" s="267">
        <v>44413.0</v>
      </c>
      <c r="F301" s="234" t="s">
        <v>642</v>
      </c>
      <c r="G301" s="173" t="s">
        <v>21</v>
      </c>
      <c r="H301" s="173">
        <v>1.0</v>
      </c>
      <c r="I301" s="173"/>
      <c r="J301" s="199">
        <v>0.0</v>
      </c>
      <c r="K301" s="206">
        <f>vlookup($D301,Python!$D$2:$F$1000,3,FALSE)</f>
        <v>229.8</v>
      </c>
      <c r="L301" s="199">
        <v>1000000.0</v>
      </c>
      <c r="M301" s="173"/>
      <c r="N301" s="199" t="s">
        <v>585</v>
      </c>
      <c r="O301" s="173"/>
      <c r="P301" s="173" t="s">
        <v>585</v>
      </c>
      <c r="Q301" s="173"/>
      <c r="R301" s="173" t="s">
        <v>585</v>
      </c>
      <c r="S301" s="173"/>
      <c r="T301" s="173" t="s">
        <v>585</v>
      </c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</row>
    <row r="302">
      <c r="A302" s="207">
        <v>135.0</v>
      </c>
      <c r="B302" s="196" t="s">
        <v>933</v>
      </c>
      <c r="C302" s="196" t="s">
        <v>422</v>
      </c>
      <c r="D302" s="266" t="s">
        <v>938</v>
      </c>
      <c r="E302" s="267">
        <v>44417.0</v>
      </c>
      <c r="F302" s="234" t="s">
        <v>647</v>
      </c>
      <c r="G302" s="173" t="s">
        <v>21</v>
      </c>
      <c r="H302" s="173">
        <v>1.0</v>
      </c>
      <c r="I302" s="173"/>
      <c r="J302" s="199">
        <v>0.0</v>
      </c>
      <c r="K302" s="206">
        <f>vlookup($D302,Python!$D$2:$F$1000,3,FALSE)</f>
        <v>216.2</v>
      </c>
      <c r="L302" s="199">
        <v>1000000.0</v>
      </c>
      <c r="M302" s="173"/>
      <c r="N302" s="199" t="s">
        <v>585</v>
      </c>
      <c r="O302" s="173"/>
      <c r="P302" s="173" t="s">
        <v>585</v>
      </c>
      <c r="Q302" s="173"/>
      <c r="R302" s="173" t="s">
        <v>585</v>
      </c>
      <c r="S302" s="173"/>
      <c r="T302" s="173" t="s">
        <v>585</v>
      </c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</row>
    <row r="303">
      <c r="A303" s="207">
        <v>136.0</v>
      </c>
      <c r="B303" s="196" t="s">
        <v>933</v>
      </c>
      <c r="C303" s="196" t="s">
        <v>422</v>
      </c>
      <c r="D303" s="266" t="s">
        <v>939</v>
      </c>
      <c r="E303" s="267">
        <v>44421.0</v>
      </c>
      <c r="F303" s="234" t="s">
        <v>647</v>
      </c>
      <c r="G303" s="173" t="s">
        <v>21</v>
      </c>
      <c r="H303" s="173">
        <v>1.0</v>
      </c>
      <c r="I303" s="173"/>
      <c r="J303" s="199">
        <v>0.0</v>
      </c>
      <c r="K303" s="206">
        <f>vlookup($D303,Python!$D$2:$F$1000,3,FALSE)</f>
        <v>164.5</v>
      </c>
      <c r="L303" s="199">
        <v>500000.0</v>
      </c>
      <c r="M303" s="173"/>
      <c r="N303" s="199" t="s">
        <v>585</v>
      </c>
      <c r="O303" s="173"/>
      <c r="P303" s="173" t="s">
        <v>585</v>
      </c>
      <c r="Q303" s="173"/>
      <c r="R303" s="173" t="s">
        <v>585</v>
      </c>
      <c r="S303" s="173"/>
      <c r="T303" s="173" t="s">
        <v>585</v>
      </c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</row>
    <row r="304">
      <c r="A304" s="207">
        <v>137.0</v>
      </c>
      <c r="B304" s="196" t="s">
        <v>553</v>
      </c>
      <c r="C304" s="196" t="s">
        <v>422</v>
      </c>
      <c r="D304" s="266" t="s">
        <v>940</v>
      </c>
      <c r="E304" s="267">
        <v>44408.0</v>
      </c>
      <c r="F304" s="234" t="s">
        <v>642</v>
      </c>
      <c r="G304" s="173" t="s">
        <v>21</v>
      </c>
      <c r="H304" s="173">
        <v>1.0</v>
      </c>
      <c r="I304" s="173"/>
      <c r="J304" s="199">
        <v>0.0</v>
      </c>
      <c r="K304" s="206">
        <f>vlookup($D304,Python!$D$2:$F$1000,3,FALSE)</f>
        <v>187.1</v>
      </c>
      <c r="L304" s="199">
        <v>500000.0</v>
      </c>
      <c r="M304" s="173"/>
      <c r="N304" s="199" t="s">
        <v>585</v>
      </c>
      <c r="O304" s="173"/>
      <c r="P304" s="173" t="s">
        <v>585</v>
      </c>
      <c r="Q304" s="173"/>
      <c r="R304" s="173" t="s">
        <v>585</v>
      </c>
      <c r="S304" s="173"/>
      <c r="T304" s="173" t="s">
        <v>585</v>
      </c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</row>
    <row r="305">
      <c r="A305" s="207">
        <v>138.0</v>
      </c>
      <c r="B305" s="196" t="s">
        <v>553</v>
      </c>
      <c r="C305" s="196" t="s">
        <v>422</v>
      </c>
      <c r="D305" s="266" t="s">
        <v>941</v>
      </c>
      <c r="E305" s="267">
        <v>44412.0</v>
      </c>
      <c r="F305" s="234" t="s">
        <v>642</v>
      </c>
      <c r="G305" s="173" t="s">
        <v>21</v>
      </c>
      <c r="H305" s="173">
        <v>1.0</v>
      </c>
      <c r="I305" s="173"/>
      <c r="J305" s="199">
        <v>0.0</v>
      </c>
      <c r="K305" s="206">
        <f>vlookup($D305,Python!$D$2:$F$1000,3,FALSE)</f>
        <v>1800</v>
      </c>
      <c r="L305" s="199">
        <v>9000000.0</v>
      </c>
      <c r="M305" s="173"/>
      <c r="N305" s="199" t="s">
        <v>585</v>
      </c>
      <c r="O305" s="173"/>
      <c r="P305" s="173" t="s">
        <v>585</v>
      </c>
      <c r="Q305" s="173"/>
      <c r="R305" s="173" t="s">
        <v>585</v>
      </c>
      <c r="S305" s="173"/>
      <c r="T305" s="173" t="s">
        <v>585</v>
      </c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</row>
    <row r="306">
      <c r="A306" s="207">
        <v>139.0</v>
      </c>
      <c r="B306" s="196" t="s">
        <v>553</v>
      </c>
      <c r="C306" s="196" t="s">
        <v>422</v>
      </c>
      <c r="D306" s="266" t="s">
        <v>942</v>
      </c>
      <c r="E306" s="267">
        <v>44415.0</v>
      </c>
      <c r="F306" s="234" t="s">
        <v>647</v>
      </c>
      <c r="G306" s="173" t="s">
        <v>21</v>
      </c>
      <c r="H306" s="173">
        <v>1.0</v>
      </c>
      <c r="I306" s="173"/>
      <c r="J306" s="199">
        <v>0.0</v>
      </c>
      <c r="K306" s="206">
        <f>vlookup($D306,Python!$D$2:$F$1000,3,FALSE)</f>
        <v>146.5</v>
      </c>
      <c r="L306" s="199">
        <v>500000.0</v>
      </c>
      <c r="M306" s="173"/>
      <c r="N306" s="199" t="s">
        <v>585</v>
      </c>
      <c r="O306" s="173"/>
      <c r="P306" s="173" t="s">
        <v>585</v>
      </c>
      <c r="Q306" s="173"/>
      <c r="R306" s="173" t="s">
        <v>585</v>
      </c>
      <c r="S306" s="173"/>
      <c r="T306" s="173" t="s">
        <v>585</v>
      </c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</row>
    <row r="307">
      <c r="A307" s="207">
        <v>140.0</v>
      </c>
      <c r="B307" s="196" t="s">
        <v>553</v>
      </c>
      <c r="C307" s="196" t="s">
        <v>422</v>
      </c>
      <c r="D307" s="266" t="s">
        <v>943</v>
      </c>
      <c r="E307" s="267">
        <v>44426.0</v>
      </c>
      <c r="F307" s="234" t="s">
        <v>647</v>
      </c>
      <c r="G307" s="173" t="s">
        <v>21</v>
      </c>
      <c r="H307" s="173">
        <v>1.0</v>
      </c>
      <c r="I307" s="173"/>
      <c r="J307" s="199">
        <v>0.0</v>
      </c>
      <c r="K307" s="206">
        <f>vlookup($D307,Python!$D$2:$F$1000,3,FALSE)</f>
        <v>105.4</v>
      </c>
      <c r="L307" s="199">
        <v>500000.0</v>
      </c>
      <c r="M307" s="173"/>
      <c r="N307" s="199" t="s">
        <v>585</v>
      </c>
      <c r="O307" s="173"/>
      <c r="P307" s="173" t="s">
        <v>585</v>
      </c>
      <c r="Q307" s="173"/>
      <c r="R307" s="173" t="s">
        <v>585</v>
      </c>
      <c r="S307" s="173"/>
      <c r="T307" s="173" t="s">
        <v>585</v>
      </c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</row>
    <row r="308">
      <c r="A308" s="207">
        <v>141.0</v>
      </c>
      <c r="B308" s="196" t="s">
        <v>944</v>
      </c>
      <c r="C308" s="196" t="s">
        <v>422</v>
      </c>
      <c r="D308" s="266" t="s">
        <v>945</v>
      </c>
      <c r="E308" s="267">
        <v>44405.0</v>
      </c>
      <c r="F308" s="234" t="s">
        <v>642</v>
      </c>
      <c r="G308" s="173" t="s">
        <v>21</v>
      </c>
      <c r="H308" s="173">
        <v>1.0</v>
      </c>
      <c r="I308" s="173"/>
      <c r="J308" s="199">
        <v>0.0</v>
      </c>
      <c r="K308" s="206">
        <f>vlookup($D308,Python!$D$2:$F$1000,3,FALSE)</f>
        <v>1200</v>
      </c>
      <c r="L308" s="199">
        <v>6000000.0</v>
      </c>
      <c r="M308" s="173"/>
      <c r="N308" s="199" t="s">
        <v>585</v>
      </c>
      <c r="O308" s="173"/>
      <c r="P308" s="173" t="s">
        <v>585</v>
      </c>
      <c r="Q308" s="173"/>
      <c r="R308" s="173" t="s">
        <v>585</v>
      </c>
      <c r="S308" s="173"/>
      <c r="T308" s="173" t="s">
        <v>585</v>
      </c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</row>
    <row r="309">
      <c r="A309" s="207">
        <v>142.0</v>
      </c>
      <c r="B309" s="196" t="s">
        <v>944</v>
      </c>
      <c r="C309" s="196" t="s">
        <v>422</v>
      </c>
      <c r="D309" s="266" t="s">
        <v>946</v>
      </c>
      <c r="E309" s="267">
        <v>44408.0</v>
      </c>
      <c r="F309" s="234" t="s">
        <v>642</v>
      </c>
      <c r="G309" s="173" t="s">
        <v>21</v>
      </c>
      <c r="H309" s="173">
        <v>1.0</v>
      </c>
      <c r="I309" s="173"/>
      <c r="J309" s="199">
        <v>0.0</v>
      </c>
      <c r="K309" s="206">
        <f>vlookup($D309,Python!$D$2:$F$1000,3,FALSE)</f>
        <v>455</v>
      </c>
      <c r="L309" s="199">
        <v>2000000.0</v>
      </c>
      <c r="M309" s="173"/>
      <c r="N309" s="199" t="s">
        <v>585</v>
      </c>
      <c r="O309" s="173"/>
      <c r="P309" s="173" t="s">
        <v>585</v>
      </c>
      <c r="Q309" s="173"/>
      <c r="R309" s="173" t="s">
        <v>585</v>
      </c>
      <c r="S309" s="173"/>
      <c r="T309" s="173" t="s">
        <v>585</v>
      </c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</row>
    <row r="310">
      <c r="A310" s="207">
        <v>143.0</v>
      </c>
      <c r="B310" s="196" t="s">
        <v>944</v>
      </c>
      <c r="C310" s="196" t="s">
        <v>422</v>
      </c>
      <c r="D310" s="266" t="s">
        <v>947</v>
      </c>
      <c r="E310" s="267">
        <v>44412.0</v>
      </c>
      <c r="F310" s="234" t="s">
        <v>642</v>
      </c>
      <c r="G310" s="173" t="s">
        <v>21</v>
      </c>
      <c r="H310" s="173">
        <v>1.0</v>
      </c>
      <c r="I310" s="173"/>
      <c r="J310" s="199">
        <v>0.0</v>
      </c>
      <c r="K310" s="206">
        <f>vlookup($D310,Python!$D$2:$F$1000,3,FALSE)</f>
        <v>217</v>
      </c>
      <c r="L310" s="199">
        <v>1000000.0</v>
      </c>
      <c r="M310" s="173"/>
      <c r="N310" s="199" t="s">
        <v>585</v>
      </c>
      <c r="O310" s="173"/>
      <c r="P310" s="173" t="s">
        <v>585</v>
      </c>
      <c r="Q310" s="173"/>
      <c r="R310" s="173" t="s">
        <v>585</v>
      </c>
      <c r="S310" s="173"/>
      <c r="T310" s="173" t="s">
        <v>585</v>
      </c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</row>
    <row r="311">
      <c r="A311" s="207">
        <v>144.0</v>
      </c>
      <c r="B311" s="196" t="s">
        <v>944</v>
      </c>
      <c r="C311" s="196" t="s">
        <v>422</v>
      </c>
      <c r="D311" s="266" t="s">
        <v>948</v>
      </c>
      <c r="E311" s="267">
        <v>44415.0</v>
      </c>
      <c r="F311" s="234" t="s">
        <v>642</v>
      </c>
      <c r="G311" s="173" t="s">
        <v>21</v>
      </c>
      <c r="H311" s="173">
        <v>1.0</v>
      </c>
      <c r="I311" s="173"/>
      <c r="J311" s="199">
        <v>0.0</v>
      </c>
      <c r="K311" s="206">
        <f>vlookup($D311,Python!$D$2:$F$1000,3,FALSE)</f>
        <v>4000</v>
      </c>
      <c r="L311" s="199">
        <v>2.0E7</v>
      </c>
      <c r="M311" s="173"/>
      <c r="N311" s="199" t="s">
        <v>585</v>
      </c>
      <c r="O311" s="173"/>
      <c r="P311" s="173" t="s">
        <v>585</v>
      </c>
      <c r="Q311" s="173"/>
      <c r="R311" s="173" t="s">
        <v>585</v>
      </c>
      <c r="S311" s="173"/>
      <c r="T311" s="173" t="s">
        <v>585</v>
      </c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</row>
    <row r="312">
      <c r="A312" s="207">
        <v>145.0</v>
      </c>
      <c r="B312" s="196" t="s">
        <v>944</v>
      </c>
      <c r="C312" s="196" t="s">
        <v>422</v>
      </c>
      <c r="D312" s="266" t="s">
        <v>949</v>
      </c>
      <c r="E312" s="267">
        <v>44417.0</v>
      </c>
      <c r="F312" s="234" t="s">
        <v>647</v>
      </c>
      <c r="G312" s="173" t="s">
        <v>21</v>
      </c>
      <c r="H312" s="173">
        <v>1.0</v>
      </c>
      <c r="I312" s="173"/>
      <c r="J312" s="199">
        <v>0.0</v>
      </c>
      <c r="K312" s="206">
        <f>vlookup($D312,Python!$D$2:$F$1000,3,FALSE)</f>
        <v>972.9</v>
      </c>
      <c r="L312" s="199">
        <v>4500000.0</v>
      </c>
      <c r="M312" s="173"/>
      <c r="N312" s="199" t="s">
        <v>585</v>
      </c>
      <c r="O312" s="173"/>
      <c r="P312" s="173" t="s">
        <v>585</v>
      </c>
      <c r="Q312" s="173"/>
      <c r="R312" s="173" t="s">
        <v>585</v>
      </c>
      <c r="S312" s="173"/>
      <c r="T312" s="173" t="s">
        <v>585</v>
      </c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</row>
    <row r="313">
      <c r="A313" s="207">
        <v>146.0</v>
      </c>
      <c r="B313" s="196" t="s">
        <v>950</v>
      </c>
      <c r="C313" s="196" t="s">
        <v>422</v>
      </c>
      <c r="D313" s="268" t="s">
        <v>951</v>
      </c>
      <c r="E313" s="269">
        <v>44422.0</v>
      </c>
      <c r="F313" s="234" t="s">
        <v>642</v>
      </c>
      <c r="G313" s="173" t="s">
        <v>21</v>
      </c>
      <c r="H313" s="173">
        <v>1.0</v>
      </c>
      <c r="I313" s="173"/>
      <c r="J313" s="199">
        <v>0.0</v>
      </c>
      <c r="K313" s="206">
        <f>vlookup($D313,Python!$D$2:$F$1000,3,FALSE)</f>
        <v>869.8</v>
      </c>
      <c r="L313" s="199">
        <v>4000000.0</v>
      </c>
      <c r="M313" s="173"/>
      <c r="N313" s="199" t="s">
        <v>585</v>
      </c>
      <c r="O313" s="173"/>
      <c r="P313" s="173" t="s">
        <v>585</v>
      </c>
      <c r="Q313" s="173"/>
      <c r="R313" s="173" t="s">
        <v>585</v>
      </c>
      <c r="S313" s="173"/>
      <c r="T313" s="173" t="s">
        <v>585</v>
      </c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</row>
    <row r="314">
      <c r="A314" s="207">
        <v>147.0</v>
      </c>
      <c r="B314" s="196" t="s">
        <v>950</v>
      </c>
      <c r="C314" s="196" t="s">
        <v>422</v>
      </c>
      <c r="D314" s="268" t="s">
        <v>952</v>
      </c>
      <c r="E314" s="269">
        <v>44421.0</v>
      </c>
      <c r="F314" s="234" t="s">
        <v>642</v>
      </c>
      <c r="G314" s="173" t="s">
        <v>21</v>
      </c>
      <c r="H314" s="173">
        <v>1.0</v>
      </c>
      <c r="I314" s="173"/>
      <c r="J314" s="199">
        <v>0.0</v>
      </c>
      <c r="K314" s="206">
        <f>vlookup($D314,Python!$D$2:$F$1000,3,FALSE)</f>
        <v>2600</v>
      </c>
      <c r="L314" s="199">
        <v>1.3E7</v>
      </c>
      <c r="M314" s="173"/>
      <c r="N314" s="199" t="s">
        <v>585</v>
      </c>
      <c r="O314" s="173"/>
      <c r="P314" s="173" t="s">
        <v>585</v>
      </c>
      <c r="Q314" s="173"/>
      <c r="R314" s="173" t="s">
        <v>585</v>
      </c>
      <c r="S314" s="173"/>
      <c r="T314" s="173" t="s">
        <v>585</v>
      </c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</row>
    <row r="315">
      <c r="A315" s="207">
        <v>148.0</v>
      </c>
      <c r="B315" s="196" t="s">
        <v>953</v>
      </c>
      <c r="C315" s="196" t="s">
        <v>422</v>
      </c>
      <c r="D315" s="268" t="s">
        <v>954</v>
      </c>
      <c r="E315" s="269">
        <v>44422.0</v>
      </c>
      <c r="F315" s="234" t="s">
        <v>642</v>
      </c>
      <c r="G315" s="173" t="s">
        <v>926</v>
      </c>
      <c r="H315" s="173">
        <v>1.0</v>
      </c>
      <c r="I315" s="173"/>
      <c r="J315" s="199">
        <v>0.0</v>
      </c>
      <c r="K315" s="206">
        <f>vlookup($D315,Python!$D$2:$F$1000,3,FALSE)</f>
        <v>166.8</v>
      </c>
      <c r="L315" s="199">
        <v>500000.0</v>
      </c>
      <c r="M315" s="173"/>
      <c r="N315" s="199" t="s">
        <v>585</v>
      </c>
      <c r="O315" s="173"/>
      <c r="P315" s="173" t="s">
        <v>585</v>
      </c>
      <c r="Q315" s="173"/>
      <c r="R315" s="173" t="s">
        <v>585</v>
      </c>
      <c r="S315" s="173"/>
      <c r="T315" s="173" t="s">
        <v>585</v>
      </c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</row>
    <row r="316">
      <c r="A316" s="207">
        <v>149.0</v>
      </c>
      <c r="B316" s="196" t="s">
        <v>953</v>
      </c>
      <c r="C316" s="196" t="s">
        <v>422</v>
      </c>
      <c r="D316" s="268" t="s">
        <v>955</v>
      </c>
      <c r="E316" s="269">
        <v>44424.0</v>
      </c>
      <c r="F316" s="234" t="s">
        <v>642</v>
      </c>
      <c r="G316" s="173" t="s">
        <v>926</v>
      </c>
      <c r="H316" s="173">
        <v>1.0</v>
      </c>
      <c r="I316" s="173"/>
      <c r="J316" s="199">
        <v>0.0</v>
      </c>
      <c r="K316" s="206">
        <f>vlookup($D316,Python!$D$2:$F$1000,3,FALSE)</f>
        <v>100.9</v>
      </c>
      <c r="L316" s="199">
        <v>500000.0</v>
      </c>
      <c r="M316" s="173"/>
      <c r="N316" s="199" t="s">
        <v>585</v>
      </c>
      <c r="O316" s="173"/>
      <c r="P316" s="173" t="s">
        <v>585</v>
      </c>
      <c r="Q316" s="173"/>
      <c r="R316" s="173" t="s">
        <v>585</v>
      </c>
      <c r="S316" s="173"/>
      <c r="T316" s="173" t="s">
        <v>585</v>
      </c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</row>
    <row r="317">
      <c r="A317" s="207">
        <v>150.0</v>
      </c>
      <c r="B317" s="196" t="s">
        <v>913</v>
      </c>
      <c r="C317" s="196" t="s">
        <v>422</v>
      </c>
      <c r="D317" s="208" t="s">
        <v>956</v>
      </c>
      <c r="E317" s="270">
        <v>44407.0</v>
      </c>
      <c r="F317" s="234" t="s">
        <v>642</v>
      </c>
      <c r="G317" s="173" t="s">
        <v>21</v>
      </c>
      <c r="H317" s="173">
        <v>1.0</v>
      </c>
      <c r="I317" s="173"/>
      <c r="J317" s="199">
        <v>0.0</v>
      </c>
      <c r="K317" s="206">
        <f>vlookup($D317,Python!$D$2:$F$1000,3,FALSE)</f>
        <v>338.1</v>
      </c>
      <c r="L317" s="199">
        <v>1500000.0</v>
      </c>
      <c r="M317" s="173"/>
      <c r="N317" s="199" t="s">
        <v>585</v>
      </c>
      <c r="O317" s="173"/>
      <c r="P317" s="173" t="s">
        <v>585</v>
      </c>
      <c r="Q317" s="173"/>
      <c r="R317" s="173" t="s">
        <v>585</v>
      </c>
      <c r="S317" s="173"/>
      <c r="T317" s="173" t="s">
        <v>585</v>
      </c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</row>
    <row r="318">
      <c r="A318" s="207">
        <v>151.0</v>
      </c>
      <c r="B318" s="196" t="s">
        <v>913</v>
      </c>
      <c r="C318" s="196" t="s">
        <v>422</v>
      </c>
      <c r="D318" s="208" t="s">
        <v>957</v>
      </c>
      <c r="E318" s="270">
        <v>44408.0</v>
      </c>
      <c r="F318" s="234" t="s">
        <v>642</v>
      </c>
      <c r="G318" s="173" t="s">
        <v>21</v>
      </c>
      <c r="H318" s="173">
        <v>1.0</v>
      </c>
      <c r="I318" s="173"/>
      <c r="J318" s="199">
        <v>0.0</v>
      </c>
      <c r="K318" s="206">
        <f>vlookup($D318,Python!$D$2:$F$1000,3,FALSE)</f>
        <v>1700</v>
      </c>
      <c r="L318" s="199">
        <v>8500000.0</v>
      </c>
      <c r="M318" s="173"/>
      <c r="N318" s="199" t="s">
        <v>585</v>
      </c>
      <c r="O318" s="173"/>
      <c r="P318" s="173" t="s">
        <v>585</v>
      </c>
      <c r="Q318" s="173"/>
      <c r="R318" s="173" t="s">
        <v>585</v>
      </c>
      <c r="S318" s="173"/>
      <c r="T318" s="173" t="s">
        <v>585</v>
      </c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</row>
    <row r="319">
      <c r="A319" s="207">
        <v>152.0</v>
      </c>
      <c r="B319" s="196" t="s">
        <v>913</v>
      </c>
      <c r="C319" s="196" t="s">
        <v>422</v>
      </c>
      <c r="D319" s="208" t="s">
        <v>958</v>
      </c>
      <c r="E319" s="270">
        <v>44410.0</v>
      </c>
      <c r="F319" s="234" t="s">
        <v>642</v>
      </c>
      <c r="G319" s="173" t="s">
        <v>21</v>
      </c>
      <c r="H319" s="173">
        <v>1.0</v>
      </c>
      <c r="I319" s="173"/>
      <c r="J319" s="199">
        <v>0.0</v>
      </c>
      <c r="K319" s="206">
        <f>vlookup($D319,Python!$D$2:$F$1000,3,FALSE)</f>
        <v>338.8</v>
      </c>
      <c r="L319" s="199">
        <v>1500000.0</v>
      </c>
      <c r="M319" s="173"/>
      <c r="N319" s="199" t="s">
        <v>585</v>
      </c>
      <c r="O319" s="173"/>
      <c r="P319" s="173" t="s">
        <v>585</v>
      </c>
      <c r="Q319" s="173"/>
      <c r="R319" s="173" t="s">
        <v>585</v>
      </c>
      <c r="S319" s="173"/>
      <c r="T319" s="173" t="s">
        <v>585</v>
      </c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</row>
    <row r="320">
      <c r="A320" s="207">
        <v>153.0</v>
      </c>
      <c r="B320" s="196" t="s">
        <v>913</v>
      </c>
      <c r="C320" s="196" t="s">
        <v>422</v>
      </c>
      <c r="D320" s="271" t="s">
        <v>959</v>
      </c>
      <c r="E320" s="270">
        <v>44415.0</v>
      </c>
      <c r="F320" s="234" t="s">
        <v>642</v>
      </c>
      <c r="G320" s="173" t="s">
        <v>21</v>
      </c>
      <c r="H320" s="173">
        <v>1.0</v>
      </c>
      <c r="I320" s="173"/>
      <c r="J320" s="199">
        <v>0.0</v>
      </c>
      <c r="K320" s="206">
        <f>vlookup($D320,Python!$D$2:$F$1000,3,FALSE)</f>
        <v>292.7</v>
      </c>
      <c r="L320" s="199">
        <v>1000000.0</v>
      </c>
      <c r="M320" s="173"/>
      <c r="N320" s="199" t="s">
        <v>585</v>
      </c>
      <c r="O320" s="173"/>
      <c r="P320" s="173" t="s">
        <v>585</v>
      </c>
      <c r="Q320" s="173"/>
      <c r="R320" s="173" t="s">
        <v>585</v>
      </c>
      <c r="S320" s="173"/>
      <c r="T320" s="173" t="s">
        <v>585</v>
      </c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</row>
    <row r="321">
      <c r="A321" s="207">
        <v>154.0</v>
      </c>
      <c r="B321" s="196" t="s">
        <v>913</v>
      </c>
      <c r="C321" s="196" t="s">
        <v>422</v>
      </c>
      <c r="D321" s="208" t="s">
        <v>960</v>
      </c>
      <c r="E321" s="270">
        <v>44416.0</v>
      </c>
      <c r="F321" s="234" t="s">
        <v>642</v>
      </c>
      <c r="G321" s="173" t="s">
        <v>21</v>
      </c>
      <c r="H321" s="173">
        <v>1.0</v>
      </c>
      <c r="I321" s="173"/>
      <c r="J321" s="199">
        <v>0.0</v>
      </c>
      <c r="K321" s="206">
        <f>vlookup($D321,Python!$D$2:$F$1000,3,FALSE)</f>
        <v>377</v>
      </c>
      <c r="L321" s="199">
        <v>1500000.0</v>
      </c>
      <c r="M321" s="173"/>
      <c r="N321" s="199" t="s">
        <v>585</v>
      </c>
      <c r="O321" s="173"/>
      <c r="P321" s="173" t="s">
        <v>585</v>
      </c>
      <c r="Q321" s="173"/>
      <c r="R321" s="173" t="s">
        <v>585</v>
      </c>
      <c r="S321" s="173"/>
      <c r="T321" s="173" t="s">
        <v>585</v>
      </c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</row>
    <row r="322">
      <c r="A322" s="207">
        <v>155.0</v>
      </c>
      <c r="B322" s="196" t="s">
        <v>913</v>
      </c>
      <c r="C322" s="196" t="s">
        <v>422</v>
      </c>
      <c r="D322" s="232" t="s">
        <v>961</v>
      </c>
      <c r="E322" s="270">
        <v>44419.0</v>
      </c>
      <c r="F322" s="234" t="s">
        <v>642</v>
      </c>
      <c r="G322" s="173" t="s">
        <v>21</v>
      </c>
      <c r="H322" s="173">
        <v>1.0</v>
      </c>
      <c r="I322" s="173"/>
      <c r="J322" s="199">
        <v>0.0</v>
      </c>
      <c r="K322" s="206">
        <f>vlookup($D322,Python!$D$2:$F$1000,3,FALSE)</f>
        <v>5200</v>
      </c>
      <c r="L322" s="199">
        <v>2.6E7</v>
      </c>
      <c r="M322" s="173"/>
      <c r="N322" s="199" t="s">
        <v>585</v>
      </c>
      <c r="O322" s="173"/>
      <c r="P322" s="173" t="s">
        <v>585</v>
      </c>
      <c r="Q322" s="173"/>
      <c r="R322" s="173" t="s">
        <v>585</v>
      </c>
      <c r="S322" s="173"/>
      <c r="T322" s="173" t="s">
        <v>585</v>
      </c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</row>
    <row r="323">
      <c r="A323" s="207">
        <v>156.0</v>
      </c>
      <c r="B323" s="196" t="s">
        <v>913</v>
      </c>
      <c r="C323" s="196" t="s">
        <v>422</v>
      </c>
      <c r="D323" s="232" t="s">
        <v>962</v>
      </c>
      <c r="E323" s="233">
        <v>44424.0</v>
      </c>
      <c r="F323" s="234" t="s">
        <v>642</v>
      </c>
      <c r="G323" s="173" t="s">
        <v>21</v>
      </c>
      <c r="H323" s="173">
        <v>1.0</v>
      </c>
      <c r="I323" s="173"/>
      <c r="J323" s="199">
        <v>0.0</v>
      </c>
      <c r="K323" s="206">
        <f>vlookup($D323,Python!$D$2:$F$1000,3,FALSE)</f>
        <v>63.2</v>
      </c>
      <c r="L323" s="199">
        <v>0.0</v>
      </c>
      <c r="M323" s="173"/>
      <c r="N323" s="199" t="s">
        <v>585</v>
      </c>
      <c r="O323" s="173"/>
      <c r="P323" s="173" t="s">
        <v>585</v>
      </c>
      <c r="Q323" s="173"/>
      <c r="R323" s="173" t="s">
        <v>585</v>
      </c>
      <c r="S323" s="173"/>
      <c r="T323" s="173" t="s">
        <v>585</v>
      </c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</row>
    <row r="324">
      <c r="A324" s="207">
        <v>157.0</v>
      </c>
      <c r="B324" s="196" t="s">
        <v>913</v>
      </c>
      <c r="C324" s="196" t="s">
        <v>422</v>
      </c>
      <c r="D324" s="208" t="s">
        <v>963</v>
      </c>
      <c r="E324" s="233">
        <v>44426.0</v>
      </c>
      <c r="F324" s="234" t="s">
        <v>642</v>
      </c>
      <c r="G324" s="173" t="s">
        <v>21</v>
      </c>
      <c r="H324" s="173">
        <v>1.0</v>
      </c>
      <c r="I324" s="173"/>
      <c r="J324" s="199">
        <v>0.0</v>
      </c>
      <c r="K324" s="206">
        <f>vlookup($D324,Python!$D$2:$F$1000,3,FALSE)</f>
        <v>28</v>
      </c>
      <c r="L324" s="199">
        <v>0.0</v>
      </c>
      <c r="M324" s="173"/>
      <c r="N324" s="199" t="s">
        <v>585</v>
      </c>
      <c r="O324" s="173"/>
      <c r="P324" s="173" t="s">
        <v>585</v>
      </c>
      <c r="Q324" s="173"/>
      <c r="R324" s="173" t="s">
        <v>585</v>
      </c>
      <c r="S324" s="173"/>
      <c r="T324" s="173" t="s">
        <v>585</v>
      </c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</row>
    <row r="325">
      <c r="A325" s="207">
        <v>158.0</v>
      </c>
      <c r="B325" s="196" t="s">
        <v>964</v>
      </c>
      <c r="C325" s="196" t="s">
        <v>422</v>
      </c>
      <c r="D325" s="272" t="s">
        <v>965</v>
      </c>
      <c r="E325" s="273">
        <v>44415.0</v>
      </c>
      <c r="F325" s="234" t="s">
        <v>641</v>
      </c>
      <c r="G325" s="173" t="s">
        <v>21</v>
      </c>
      <c r="H325" s="173">
        <v>1.0</v>
      </c>
      <c r="I325" s="173"/>
      <c r="J325" s="199">
        <v>0.0</v>
      </c>
      <c r="K325" s="206">
        <f>vlookup($D325,Python!$D$2:$F$1000,3,FALSE)</f>
        <v>1000</v>
      </c>
      <c r="L325" s="199">
        <v>5000000.0</v>
      </c>
      <c r="M325" s="173"/>
      <c r="N325" s="199" t="s">
        <v>585</v>
      </c>
      <c r="O325" s="173"/>
      <c r="P325" s="173" t="s">
        <v>585</v>
      </c>
      <c r="Q325" s="173"/>
      <c r="R325" s="173" t="s">
        <v>585</v>
      </c>
      <c r="S325" s="173"/>
      <c r="T325" s="173" t="s">
        <v>585</v>
      </c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</row>
    <row r="326">
      <c r="A326" s="207">
        <v>159.0</v>
      </c>
      <c r="B326" s="196" t="s">
        <v>964</v>
      </c>
      <c r="C326" s="196" t="s">
        <v>422</v>
      </c>
      <c r="D326" s="272" t="s">
        <v>966</v>
      </c>
      <c r="E326" s="267">
        <v>44421.0</v>
      </c>
      <c r="F326" s="234" t="s">
        <v>642</v>
      </c>
      <c r="G326" s="173" t="s">
        <v>21</v>
      </c>
      <c r="H326" s="173">
        <v>1.0</v>
      </c>
      <c r="I326" s="173"/>
      <c r="J326" s="199">
        <v>0.0</v>
      </c>
      <c r="K326" s="206">
        <f>vlookup($D326,Python!$D$2:$F$1000,3,FALSE)</f>
        <v>505.2</v>
      </c>
      <c r="L326" s="199">
        <v>2500000.0</v>
      </c>
      <c r="M326" s="173"/>
      <c r="N326" s="199" t="s">
        <v>585</v>
      </c>
      <c r="O326" s="173"/>
      <c r="P326" s="173" t="s">
        <v>585</v>
      </c>
      <c r="Q326" s="173"/>
      <c r="R326" s="173" t="s">
        <v>585</v>
      </c>
      <c r="S326" s="173"/>
      <c r="T326" s="173" t="s">
        <v>585</v>
      </c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</row>
    <row r="327">
      <c r="A327" s="207">
        <v>160.0</v>
      </c>
      <c r="B327" s="196" t="s">
        <v>964</v>
      </c>
      <c r="C327" s="196" t="s">
        <v>422</v>
      </c>
      <c r="D327" s="274" t="s">
        <v>967</v>
      </c>
      <c r="E327" s="267"/>
      <c r="F327" s="234" t="s">
        <v>642</v>
      </c>
      <c r="G327" s="173" t="s">
        <v>21</v>
      </c>
      <c r="H327" s="173">
        <v>1.0</v>
      </c>
      <c r="I327" s="173"/>
      <c r="J327" s="199">
        <v>0.0</v>
      </c>
      <c r="K327" s="206">
        <f>vlookup($D327,Python!$D$2:$F$1000,3,FALSE)</f>
        <v>0.34</v>
      </c>
      <c r="L327" s="199">
        <v>0.0</v>
      </c>
      <c r="M327" s="173"/>
      <c r="N327" s="199" t="s">
        <v>585</v>
      </c>
      <c r="O327" s="173"/>
      <c r="P327" s="173" t="s">
        <v>585</v>
      </c>
      <c r="Q327" s="173"/>
      <c r="R327" s="173" t="s">
        <v>585</v>
      </c>
      <c r="S327" s="173"/>
      <c r="T327" s="173" t="s">
        <v>585</v>
      </c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</row>
    <row r="328">
      <c r="A328" s="207">
        <v>161.0</v>
      </c>
      <c r="B328" s="196" t="s">
        <v>964</v>
      </c>
      <c r="C328" s="196" t="s">
        <v>418</v>
      </c>
      <c r="D328" s="208" t="s">
        <v>968</v>
      </c>
      <c r="E328" s="270">
        <v>44415.0</v>
      </c>
      <c r="F328" s="234" t="s">
        <v>641</v>
      </c>
      <c r="G328" s="173" t="s">
        <v>21</v>
      </c>
      <c r="H328" s="173">
        <v>1.0</v>
      </c>
      <c r="I328" s="173"/>
      <c r="J328" s="199">
        <v>0.0</v>
      </c>
      <c r="K328" s="206">
        <f>vlookup($D328,Python!$D$2:$F$1000,3,FALSE)</f>
        <v>50</v>
      </c>
      <c r="L328" s="199">
        <v>1000000.0</v>
      </c>
      <c r="M328" s="173"/>
      <c r="N328" s="199" t="s">
        <v>585</v>
      </c>
      <c r="O328" s="173"/>
      <c r="P328" s="173" t="s">
        <v>585</v>
      </c>
      <c r="Q328" s="173"/>
      <c r="R328" s="173" t="s">
        <v>585</v>
      </c>
      <c r="S328" s="173"/>
      <c r="T328" s="173" t="s">
        <v>585</v>
      </c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</row>
    <row r="329">
      <c r="A329" s="207">
        <v>162.0</v>
      </c>
      <c r="B329" s="196" t="s">
        <v>969</v>
      </c>
      <c r="C329" s="196" t="s">
        <v>418</v>
      </c>
      <c r="D329" s="272" t="s">
        <v>970</v>
      </c>
      <c r="E329" s="267">
        <v>44407.0</v>
      </c>
      <c r="F329" s="234" t="s">
        <v>647</v>
      </c>
      <c r="G329" s="173" t="s">
        <v>21</v>
      </c>
      <c r="H329" s="173">
        <v>1.0</v>
      </c>
      <c r="I329" s="173"/>
      <c r="J329" s="199">
        <v>0.0</v>
      </c>
      <c r="K329" s="206">
        <f>vlookup($D329,Python!$D$2:$F$1000,3,FALSE)</f>
        <v>55</v>
      </c>
      <c r="L329" s="199">
        <v>1000000.0</v>
      </c>
      <c r="M329" s="173"/>
      <c r="N329" s="199" t="s">
        <v>585</v>
      </c>
      <c r="O329" s="173"/>
      <c r="P329" s="173" t="s">
        <v>585</v>
      </c>
      <c r="Q329" s="173"/>
      <c r="R329" s="173" t="s">
        <v>585</v>
      </c>
      <c r="S329" s="173"/>
      <c r="T329" s="173" t="s">
        <v>585</v>
      </c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</row>
    <row r="330">
      <c r="A330" s="207">
        <v>163.0</v>
      </c>
      <c r="B330" s="196" t="s">
        <v>971</v>
      </c>
      <c r="C330" s="196" t="s">
        <v>418</v>
      </c>
      <c r="D330" s="272" t="s">
        <v>972</v>
      </c>
      <c r="E330" s="267">
        <v>44421.0</v>
      </c>
      <c r="F330" s="234" t="s">
        <v>647</v>
      </c>
      <c r="G330" s="173" t="s">
        <v>21</v>
      </c>
      <c r="H330" s="173">
        <v>1.0</v>
      </c>
      <c r="I330" s="173"/>
      <c r="J330" s="199">
        <v>0.0</v>
      </c>
      <c r="K330" s="206">
        <f>vlookup($D330,Python!$D$2:$F$1000,3,FALSE)</f>
        <v>5.5</v>
      </c>
      <c r="L330" s="199">
        <v>0.0</v>
      </c>
      <c r="M330" s="173"/>
      <c r="N330" s="199" t="s">
        <v>585</v>
      </c>
      <c r="O330" s="173"/>
      <c r="P330" s="173" t="s">
        <v>585</v>
      </c>
      <c r="Q330" s="173"/>
      <c r="R330" s="173" t="s">
        <v>585</v>
      </c>
      <c r="S330" s="173"/>
      <c r="T330" s="173" t="s">
        <v>585</v>
      </c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</row>
    <row r="331">
      <c r="A331" s="207">
        <v>164.0</v>
      </c>
      <c r="B331" s="196" t="s">
        <v>973</v>
      </c>
      <c r="C331" s="196" t="s">
        <v>418</v>
      </c>
      <c r="D331" s="272" t="s">
        <v>974</v>
      </c>
      <c r="E331" s="267">
        <v>44410.0</v>
      </c>
      <c r="F331" s="234" t="s">
        <v>647</v>
      </c>
      <c r="G331" s="173" t="s">
        <v>21</v>
      </c>
      <c r="H331" s="173">
        <v>1.0</v>
      </c>
      <c r="I331" s="173"/>
      <c r="J331" s="199">
        <v>0.0</v>
      </c>
      <c r="K331" s="206">
        <f>vlookup($D331,Python!$D$2:$F$1000,3,FALSE)</f>
        <v>104</v>
      </c>
      <c r="L331" s="199">
        <v>2000000.0</v>
      </c>
      <c r="M331" s="173"/>
      <c r="N331" s="199" t="s">
        <v>585</v>
      </c>
      <c r="O331" s="173"/>
      <c r="P331" s="173" t="s">
        <v>585</v>
      </c>
      <c r="Q331" s="173"/>
      <c r="R331" s="173" t="s">
        <v>585</v>
      </c>
      <c r="S331" s="173"/>
      <c r="T331" s="173" t="s">
        <v>585</v>
      </c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</row>
    <row r="332">
      <c r="A332" s="207">
        <v>165.0</v>
      </c>
      <c r="B332" s="196" t="s">
        <v>975</v>
      </c>
      <c r="C332" s="196" t="s">
        <v>422</v>
      </c>
      <c r="D332" s="274" t="s">
        <v>976</v>
      </c>
      <c r="E332" s="275"/>
      <c r="F332" s="234" t="s">
        <v>647</v>
      </c>
      <c r="G332" s="173" t="s">
        <v>21</v>
      </c>
      <c r="H332" s="173">
        <v>1.0</v>
      </c>
      <c r="I332" s="173"/>
      <c r="J332" s="199">
        <v>0.0</v>
      </c>
      <c r="K332" s="206">
        <f>vlookup($D332,Python!$D$2:$F$1000,3,FALSE)</f>
        <v>70.4</v>
      </c>
      <c r="L332" s="199">
        <v>0.0</v>
      </c>
      <c r="M332" s="173"/>
      <c r="N332" s="199" t="s">
        <v>585</v>
      </c>
      <c r="O332" s="173"/>
      <c r="P332" s="173" t="s">
        <v>585</v>
      </c>
      <c r="Q332" s="173"/>
      <c r="R332" s="173" t="s">
        <v>585</v>
      </c>
      <c r="S332" s="173"/>
      <c r="T332" s="173" t="s">
        <v>585</v>
      </c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</row>
    <row r="333">
      <c r="A333" s="207">
        <v>166.0</v>
      </c>
      <c r="B333" s="196" t="s">
        <v>975</v>
      </c>
      <c r="C333" s="196" t="s">
        <v>422</v>
      </c>
      <c r="D333" s="274" t="s">
        <v>977</v>
      </c>
      <c r="E333" s="275"/>
      <c r="F333" s="234" t="s">
        <v>647</v>
      </c>
      <c r="G333" s="173" t="s">
        <v>21</v>
      </c>
      <c r="H333" s="173">
        <v>1.0</v>
      </c>
      <c r="I333" s="173"/>
      <c r="J333" s="199">
        <v>0.0</v>
      </c>
      <c r="K333" s="206">
        <f>vlookup($D333,Python!$D$2:$F$1000,3,FALSE)</f>
        <v>35.2</v>
      </c>
      <c r="L333" s="199">
        <v>0.0</v>
      </c>
      <c r="M333" s="173"/>
      <c r="N333" s="199" t="s">
        <v>585</v>
      </c>
      <c r="O333" s="173"/>
      <c r="P333" s="173" t="s">
        <v>585</v>
      </c>
      <c r="Q333" s="173"/>
      <c r="R333" s="173" t="s">
        <v>585</v>
      </c>
      <c r="S333" s="173"/>
      <c r="T333" s="173" t="s">
        <v>585</v>
      </c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</row>
    <row r="334">
      <c r="A334" s="207">
        <v>167.0</v>
      </c>
      <c r="B334" s="196" t="s">
        <v>978</v>
      </c>
      <c r="C334" s="196" t="s">
        <v>418</v>
      </c>
      <c r="D334" s="272" t="s">
        <v>979</v>
      </c>
      <c r="E334" s="267">
        <v>44415.0</v>
      </c>
      <c r="F334" s="234" t="s">
        <v>647</v>
      </c>
      <c r="G334" s="173" t="s">
        <v>980</v>
      </c>
      <c r="H334" s="173">
        <v>1.0</v>
      </c>
      <c r="I334" s="173"/>
      <c r="J334" s="199">
        <v>0.0</v>
      </c>
      <c r="K334" s="206">
        <f>vlookup($D334,Python!$D$2:$F$1000,3,FALSE)</f>
        <v>3.9</v>
      </c>
      <c r="L334" s="199">
        <v>0.0</v>
      </c>
      <c r="M334" s="173"/>
      <c r="N334" s="199" t="s">
        <v>585</v>
      </c>
      <c r="O334" s="173"/>
      <c r="P334" s="173" t="s">
        <v>585</v>
      </c>
      <c r="Q334" s="173"/>
      <c r="R334" s="173" t="s">
        <v>585</v>
      </c>
      <c r="S334" s="173"/>
      <c r="T334" s="173" t="s">
        <v>585</v>
      </c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</row>
    <row r="335">
      <c r="A335" s="207">
        <v>168.0</v>
      </c>
      <c r="B335" s="196" t="s">
        <v>981</v>
      </c>
      <c r="C335" s="196" t="s">
        <v>418</v>
      </c>
      <c r="D335" s="272" t="s">
        <v>982</v>
      </c>
      <c r="E335" s="267">
        <v>44403.0</v>
      </c>
      <c r="F335" s="234" t="s">
        <v>641</v>
      </c>
      <c r="G335" s="173" t="s">
        <v>21</v>
      </c>
      <c r="H335" s="173">
        <v>1.0</v>
      </c>
      <c r="I335" s="173"/>
      <c r="J335" s="199">
        <v>0.0</v>
      </c>
      <c r="K335" s="206">
        <f>vlookup($D335,Python!$D$2:$F$1000,3,FALSE)</f>
        <v>41</v>
      </c>
      <c r="L335" s="199">
        <v>0.0</v>
      </c>
      <c r="M335" s="173"/>
      <c r="N335" s="199" t="s">
        <v>585</v>
      </c>
      <c r="O335" s="173"/>
      <c r="P335" s="173" t="s">
        <v>585</v>
      </c>
      <c r="Q335" s="173"/>
      <c r="R335" s="173" t="s">
        <v>585</v>
      </c>
      <c r="S335" s="173"/>
      <c r="T335" s="173" t="s">
        <v>585</v>
      </c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</row>
    <row r="336">
      <c r="A336" s="207">
        <v>169.0</v>
      </c>
      <c r="B336" s="196" t="s">
        <v>983</v>
      </c>
      <c r="C336" s="196" t="s">
        <v>418</v>
      </c>
      <c r="D336" s="268" t="s">
        <v>984</v>
      </c>
      <c r="E336" s="269">
        <v>44409.0</v>
      </c>
      <c r="F336" s="234" t="s">
        <v>641</v>
      </c>
      <c r="G336" s="173" t="s">
        <v>21</v>
      </c>
      <c r="H336" s="173">
        <v>1.0</v>
      </c>
      <c r="I336" s="173"/>
      <c r="J336" s="199">
        <v>0.0</v>
      </c>
      <c r="K336" s="206" t="str">
        <f>vlookup($D336,Python!$D$2:$F$1000,3,FALSE)</f>
        <v/>
      </c>
      <c r="L336" s="199" t="s">
        <v>585</v>
      </c>
      <c r="M336" s="173"/>
      <c r="N336" s="199" t="s">
        <v>585</v>
      </c>
      <c r="O336" s="173"/>
      <c r="P336" s="173" t="s">
        <v>585</v>
      </c>
      <c r="Q336" s="173"/>
      <c r="R336" s="173" t="s">
        <v>585</v>
      </c>
      <c r="S336" s="173"/>
      <c r="T336" s="173" t="s">
        <v>585</v>
      </c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</row>
    <row r="337">
      <c r="A337" s="207">
        <v>170.0</v>
      </c>
      <c r="B337" s="196" t="s">
        <v>985</v>
      </c>
      <c r="C337" s="196" t="s">
        <v>418</v>
      </c>
      <c r="D337" s="268" t="s">
        <v>986</v>
      </c>
      <c r="E337" s="269">
        <v>44409.0</v>
      </c>
      <c r="F337" s="234" t="s">
        <v>641</v>
      </c>
      <c r="G337" s="173" t="s">
        <v>21</v>
      </c>
      <c r="H337" s="173">
        <v>1.0</v>
      </c>
      <c r="I337" s="173"/>
      <c r="J337" s="199">
        <v>0.0</v>
      </c>
      <c r="K337" s="206" t="str">
        <f>vlookup($D337,Python!$D$2:$F$1000,3,FALSE)</f>
        <v/>
      </c>
      <c r="L337" s="199" t="s">
        <v>585</v>
      </c>
      <c r="M337" s="173"/>
      <c r="N337" s="199" t="s">
        <v>585</v>
      </c>
      <c r="O337" s="173"/>
      <c r="P337" s="173" t="s">
        <v>585</v>
      </c>
      <c r="Q337" s="173"/>
      <c r="R337" s="173" t="s">
        <v>585</v>
      </c>
      <c r="S337" s="173"/>
      <c r="T337" s="173" t="s">
        <v>585</v>
      </c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</row>
    <row r="338">
      <c r="A338" s="207">
        <v>171.0</v>
      </c>
      <c r="B338" s="196" t="s">
        <v>987</v>
      </c>
      <c r="C338" s="196" t="s">
        <v>418</v>
      </c>
      <c r="D338" s="268" t="s">
        <v>988</v>
      </c>
      <c r="E338" s="269">
        <v>44414.0</v>
      </c>
      <c r="F338" s="234" t="s">
        <v>641</v>
      </c>
      <c r="G338" s="173" t="s">
        <v>21</v>
      </c>
      <c r="H338" s="173">
        <v>1.0</v>
      </c>
      <c r="I338" s="173"/>
      <c r="J338" s="199">
        <v>0.0</v>
      </c>
      <c r="K338" s="206" t="str">
        <f>vlookup($D338,Python!$D$2:$F$1000,3,FALSE)</f>
        <v/>
      </c>
      <c r="L338" s="199" t="s">
        <v>585</v>
      </c>
      <c r="M338" s="173"/>
      <c r="N338" s="199" t="s">
        <v>585</v>
      </c>
      <c r="O338" s="173"/>
      <c r="P338" s="173" t="s">
        <v>585</v>
      </c>
      <c r="Q338" s="173"/>
      <c r="R338" s="173" t="s">
        <v>585</v>
      </c>
      <c r="S338" s="173"/>
      <c r="T338" s="173" t="s">
        <v>585</v>
      </c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</row>
    <row r="339">
      <c r="A339" s="207">
        <v>172.0</v>
      </c>
      <c r="B339" s="196" t="s">
        <v>989</v>
      </c>
      <c r="C339" s="196" t="s">
        <v>418</v>
      </c>
      <c r="D339" s="268" t="s">
        <v>990</v>
      </c>
      <c r="E339" s="269">
        <v>44413.0</v>
      </c>
      <c r="F339" s="234" t="s">
        <v>641</v>
      </c>
      <c r="G339" s="173" t="s">
        <v>21</v>
      </c>
      <c r="H339" s="173">
        <v>1.0</v>
      </c>
      <c r="I339" s="173"/>
      <c r="J339" s="199">
        <v>0.0</v>
      </c>
      <c r="K339" s="206" t="str">
        <f>vlookup($D339,Python!$D$2:$F$1000,3,FALSE)</f>
        <v/>
      </c>
      <c r="L339" s="199" t="s">
        <v>585</v>
      </c>
      <c r="M339" s="173"/>
      <c r="N339" s="199" t="s">
        <v>585</v>
      </c>
      <c r="O339" s="173"/>
      <c r="P339" s="173" t="s">
        <v>585</v>
      </c>
      <c r="Q339" s="173"/>
      <c r="R339" s="173" t="s">
        <v>585</v>
      </c>
      <c r="S339" s="173"/>
      <c r="T339" s="173" t="s">
        <v>585</v>
      </c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</row>
    <row r="340">
      <c r="A340" s="207">
        <v>173.0</v>
      </c>
      <c r="B340" s="196" t="s">
        <v>991</v>
      </c>
      <c r="C340" s="196" t="s">
        <v>422</v>
      </c>
      <c r="D340" s="268" t="s">
        <v>992</v>
      </c>
      <c r="E340" s="269">
        <v>44422.0</v>
      </c>
      <c r="F340" s="234" t="s">
        <v>641</v>
      </c>
      <c r="G340" s="173" t="s">
        <v>21</v>
      </c>
      <c r="H340" s="173">
        <v>1.0</v>
      </c>
      <c r="I340" s="173"/>
      <c r="J340" s="199">
        <v>0.0</v>
      </c>
      <c r="K340" s="206">
        <f>vlookup($D340,Python!$D$2:$F$1000,3,FALSE)</f>
        <v>51.6</v>
      </c>
      <c r="L340" s="199">
        <v>0.0</v>
      </c>
      <c r="M340" s="173"/>
      <c r="N340" s="199" t="s">
        <v>585</v>
      </c>
      <c r="O340" s="173"/>
      <c r="P340" s="173" t="s">
        <v>585</v>
      </c>
      <c r="Q340" s="173"/>
      <c r="R340" s="173" t="s">
        <v>585</v>
      </c>
      <c r="S340" s="173"/>
      <c r="T340" s="173" t="s">
        <v>585</v>
      </c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</row>
    <row r="341">
      <c r="A341" s="207">
        <v>174.0</v>
      </c>
      <c r="B341" s="196" t="s">
        <v>993</v>
      </c>
      <c r="C341" s="196" t="s">
        <v>418</v>
      </c>
      <c r="D341" s="276" t="s">
        <v>994</v>
      </c>
      <c r="E341" s="269">
        <v>44407.0</v>
      </c>
      <c r="F341" s="234" t="s">
        <v>641</v>
      </c>
      <c r="G341" s="173" t="s">
        <v>21</v>
      </c>
      <c r="H341" s="173">
        <v>1.0</v>
      </c>
      <c r="I341" s="173"/>
      <c r="J341" s="199">
        <v>0.0</v>
      </c>
      <c r="K341" s="206">
        <f>vlookup($D341,Python!$D$2:$F$1000,3,FALSE)</f>
        <v>55</v>
      </c>
      <c r="L341" s="199">
        <v>1000000.0</v>
      </c>
      <c r="M341" s="173"/>
      <c r="N341" s="199" t="s">
        <v>585</v>
      </c>
      <c r="O341" s="173"/>
      <c r="P341" s="173" t="s">
        <v>585</v>
      </c>
      <c r="Q341" s="173"/>
      <c r="R341" s="173" t="s">
        <v>585</v>
      </c>
      <c r="S341" s="173"/>
      <c r="T341" s="173" t="s">
        <v>585</v>
      </c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</row>
    <row r="342">
      <c r="A342" s="207">
        <v>175.0</v>
      </c>
      <c r="B342" s="196" t="s">
        <v>995</v>
      </c>
      <c r="C342" s="196" t="s">
        <v>418</v>
      </c>
      <c r="D342" s="276" t="s">
        <v>996</v>
      </c>
      <c r="E342" s="269">
        <v>44423.0</v>
      </c>
      <c r="F342" s="234" t="s">
        <v>641</v>
      </c>
      <c r="G342" s="173" t="s">
        <v>980</v>
      </c>
      <c r="H342" s="173">
        <v>1.0</v>
      </c>
      <c r="I342" s="173"/>
      <c r="J342" s="199">
        <v>0.0</v>
      </c>
      <c r="K342" s="206">
        <f>vlookup($D342,Python!$D$2:$F$1000,3,FALSE)</f>
        <v>33</v>
      </c>
      <c r="L342" s="199">
        <v>0.0</v>
      </c>
      <c r="M342" s="173"/>
      <c r="N342" s="199" t="s">
        <v>585</v>
      </c>
      <c r="O342" s="173"/>
      <c r="P342" s="173" t="s">
        <v>585</v>
      </c>
      <c r="Q342" s="173"/>
      <c r="R342" s="173" t="s">
        <v>585</v>
      </c>
      <c r="S342" s="173"/>
      <c r="T342" s="173" t="s">
        <v>585</v>
      </c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</row>
    <row r="343">
      <c r="A343" s="207">
        <v>176.0</v>
      </c>
      <c r="B343" s="277" t="s">
        <v>900</v>
      </c>
      <c r="C343" s="196" t="s">
        <v>418</v>
      </c>
      <c r="D343" s="208" t="s">
        <v>997</v>
      </c>
      <c r="E343" s="233">
        <v>44404.0</v>
      </c>
      <c r="F343" s="234" t="s">
        <v>642</v>
      </c>
      <c r="G343" s="173" t="s">
        <v>21</v>
      </c>
      <c r="H343" s="173">
        <v>1.0</v>
      </c>
      <c r="I343" s="173"/>
      <c r="J343" s="199">
        <v>0.0</v>
      </c>
      <c r="K343" s="206">
        <f>vlookup($D343,Python!$D$2:$F$1000,3,FALSE)</f>
        <v>271</v>
      </c>
      <c r="L343" s="199">
        <v>5000000.0</v>
      </c>
      <c r="M343" s="173"/>
      <c r="N343" s="199" t="s">
        <v>585</v>
      </c>
      <c r="O343" s="173"/>
      <c r="P343" s="173" t="s">
        <v>585</v>
      </c>
      <c r="Q343" s="173"/>
      <c r="R343" s="173" t="s">
        <v>585</v>
      </c>
      <c r="S343" s="173"/>
      <c r="T343" s="173" t="s">
        <v>585</v>
      </c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</row>
    <row r="344">
      <c r="A344" s="207">
        <v>177.0</v>
      </c>
      <c r="B344" s="277" t="s">
        <v>900</v>
      </c>
      <c r="C344" s="196" t="s">
        <v>418</v>
      </c>
      <c r="D344" s="208" t="s">
        <v>998</v>
      </c>
      <c r="E344" s="233">
        <v>44406.0</v>
      </c>
      <c r="F344" s="234" t="s">
        <v>642</v>
      </c>
      <c r="G344" s="173" t="s">
        <v>21</v>
      </c>
      <c r="H344" s="173">
        <v>1.0</v>
      </c>
      <c r="I344" s="173"/>
      <c r="J344" s="199">
        <v>0.0</v>
      </c>
      <c r="K344" s="206">
        <f>vlookup($D344,Python!$D$2:$F$1000,3,FALSE)</f>
        <v>1000</v>
      </c>
      <c r="L344" s="199">
        <v>2.0E7</v>
      </c>
      <c r="M344" s="173"/>
      <c r="N344" s="199" t="s">
        <v>585</v>
      </c>
      <c r="O344" s="173"/>
      <c r="P344" s="173" t="s">
        <v>585</v>
      </c>
      <c r="Q344" s="173"/>
      <c r="R344" s="173" t="s">
        <v>585</v>
      </c>
      <c r="S344" s="173"/>
      <c r="T344" s="173" t="s">
        <v>585</v>
      </c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</row>
    <row r="345">
      <c r="A345" s="207">
        <v>178.0</v>
      </c>
      <c r="B345" s="277" t="s">
        <v>900</v>
      </c>
      <c r="C345" s="196" t="s">
        <v>418</v>
      </c>
      <c r="D345" s="232" t="s">
        <v>999</v>
      </c>
      <c r="E345" s="233">
        <v>44416.0</v>
      </c>
      <c r="F345" s="234" t="s">
        <v>647</v>
      </c>
      <c r="G345" s="173" t="s">
        <v>21</v>
      </c>
      <c r="H345" s="173">
        <v>1.0</v>
      </c>
      <c r="I345" s="173"/>
      <c r="J345" s="199">
        <v>0.0</v>
      </c>
      <c r="K345" s="206">
        <f>vlookup($D345,Python!$D$2:$F$1000,3,FALSE)</f>
        <v>412</v>
      </c>
      <c r="L345" s="199">
        <v>8000000.0</v>
      </c>
      <c r="M345" s="173"/>
      <c r="N345" s="199" t="s">
        <v>585</v>
      </c>
      <c r="O345" s="173"/>
      <c r="P345" s="173" t="s">
        <v>585</v>
      </c>
      <c r="Q345" s="173"/>
      <c r="R345" s="173" t="s">
        <v>585</v>
      </c>
      <c r="S345" s="173"/>
      <c r="T345" s="173" t="s">
        <v>585</v>
      </c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</row>
    <row r="346">
      <c r="A346" s="207">
        <v>179.0</v>
      </c>
      <c r="B346" s="277" t="s">
        <v>900</v>
      </c>
      <c r="C346" s="196" t="s">
        <v>418</v>
      </c>
      <c r="D346" s="208" t="s">
        <v>1000</v>
      </c>
      <c r="E346" s="233">
        <v>44423.0</v>
      </c>
      <c r="F346" s="234" t="s">
        <v>647</v>
      </c>
      <c r="G346" s="173" t="s">
        <v>21</v>
      </c>
      <c r="H346" s="173">
        <v>1.0</v>
      </c>
      <c r="I346" s="173"/>
      <c r="J346" s="199">
        <v>0.0</v>
      </c>
      <c r="K346" s="206">
        <f>vlookup($D346,Python!$D$2:$F$1000,3,FALSE)</f>
        <v>307</v>
      </c>
      <c r="L346" s="199">
        <v>6000000.0</v>
      </c>
      <c r="M346" s="173"/>
      <c r="N346" s="199" t="s">
        <v>585</v>
      </c>
      <c r="O346" s="173"/>
      <c r="P346" s="173" t="s">
        <v>585</v>
      </c>
      <c r="Q346" s="173"/>
      <c r="R346" s="173" t="s">
        <v>585</v>
      </c>
      <c r="S346" s="173"/>
      <c r="T346" s="173" t="s">
        <v>585</v>
      </c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</row>
    <row r="347">
      <c r="A347" s="207">
        <v>180.0</v>
      </c>
      <c r="B347" s="278" t="s">
        <v>913</v>
      </c>
      <c r="C347" s="196" t="s">
        <v>418</v>
      </c>
      <c r="D347" s="208" t="s">
        <v>1001</v>
      </c>
      <c r="E347" s="233">
        <v>44410.0</v>
      </c>
      <c r="F347" s="234" t="s">
        <v>642</v>
      </c>
      <c r="G347" s="173" t="s">
        <v>21</v>
      </c>
      <c r="H347" s="173">
        <v>1.0</v>
      </c>
      <c r="I347" s="173"/>
      <c r="J347" s="199">
        <v>0.0</v>
      </c>
      <c r="K347" s="206">
        <f>vlookup($D347,Python!$D$2:$F$1000,3,FALSE)</f>
        <v>97</v>
      </c>
      <c r="L347" s="199">
        <v>1000000.0</v>
      </c>
      <c r="M347" s="173"/>
      <c r="N347" s="199" t="s">
        <v>585</v>
      </c>
      <c r="O347" s="173"/>
      <c r="P347" s="173" t="s">
        <v>585</v>
      </c>
      <c r="Q347" s="173"/>
      <c r="R347" s="173" t="s">
        <v>585</v>
      </c>
      <c r="S347" s="173"/>
      <c r="T347" s="173" t="s">
        <v>585</v>
      </c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</row>
    <row r="348">
      <c r="A348" s="207">
        <v>181.0</v>
      </c>
      <c r="B348" s="196" t="s">
        <v>913</v>
      </c>
      <c r="C348" s="196" t="s">
        <v>418</v>
      </c>
      <c r="D348" s="208" t="s">
        <v>1002</v>
      </c>
      <c r="E348" s="233">
        <v>44416.0</v>
      </c>
      <c r="F348" s="234" t="s">
        <v>647</v>
      </c>
      <c r="G348" s="173" t="s">
        <v>21</v>
      </c>
      <c r="H348" s="173">
        <v>1.0</v>
      </c>
      <c r="I348" s="173"/>
      <c r="J348" s="199">
        <v>0.0</v>
      </c>
      <c r="K348" s="206">
        <f>vlookup($D348,Python!$D$2:$F$1000,3,FALSE)</f>
        <v>158</v>
      </c>
      <c r="L348" s="199">
        <v>3000000.0</v>
      </c>
      <c r="M348" s="173"/>
      <c r="N348" s="199" t="s">
        <v>585</v>
      </c>
      <c r="O348" s="173"/>
      <c r="P348" s="173" t="s">
        <v>585</v>
      </c>
      <c r="Q348" s="173"/>
      <c r="R348" s="173" t="s">
        <v>585</v>
      </c>
      <c r="S348" s="173"/>
      <c r="T348" s="173" t="s">
        <v>585</v>
      </c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</row>
    <row r="349">
      <c r="A349" s="207">
        <v>182.0</v>
      </c>
      <c r="B349" s="196" t="s">
        <v>913</v>
      </c>
      <c r="C349" s="196" t="s">
        <v>418</v>
      </c>
      <c r="D349" s="208" t="s">
        <v>1003</v>
      </c>
      <c r="E349" s="233">
        <v>44422.0</v>
      </c>
      <c r="F349" s="234" t="s">
        <v>647</v>
      </c>
      <c r="G349" s="173" t="s">
        <v>21</v>
      </c>
      <c r="H349" s="173">
        <v>1.0</v>
      </c>
      <c r="I349" s="173"/>
      <c r="J349" s="199">
        <v>0.0</v>
      </c>
      <c r="K349" s="206">
        <f>vlookup($D349,Python!$D$2:$F$1000,3,FALSE)</f>
        <v>17</v>
      </c>
      <c r="L349" s="199">
        <v>0.0</v>
      </c>
      <c r="M349" s="173"/>
      <c r="N349" s="199" t="s">
        <v>585</v>
      </c>
      <c r="O349" s="173"/>
      <c r="P349" s="173" t="s">
        <v>585</v>
      </c>
      <c r="Q349" s="173"/>
      <c r="R349" s="173" t="s">
        <v>585</v>
      </c>
      <c r="S349" s="173"/>
      <c r="T349" s="173" t="s">
        <v>585</v>
      </c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</row>
    <row r="350">
      <c r="A350" s="207">
        <v>183.0</v>
      </c>
      <c r="B350" s="196" t="s">
        <v>913</v>
      </c>
      <c r="C350" s="196" t="s">
        <v>418</v>
      </c>
      <c r="D350" s="208" t="s">
        <v>1004</v>
      </c>
      <c r="E350" s="233">
        <v>44425.0</v>
      </c>
      <c r="F350" s="234" t="s">
        <v>647</v>
      </c>
      <c r="G350" s="173" t="s">
        <v>21</v>
      </c>
      <c r="H350" s="173">
        <v>1.0</v>
      </c>
      <c r="I350" s="173"/>
      <c r="J350" s="199">
        <v>0.0</v>
      </c>
      <c r="K350" s="206">
        <f>vlookup($D350,Python!$D$2:$F$1000,3,FALSE)</f>
        <v>14</v>
      </c>
      <c r="L350" s="199">
        <v>0.0</v>
      </c>
      <c r="M350" s="173"/>
      <c r="N350" s="199" t="s">
        <v>585</v>
      </c>
      <c r="O350" s="173"/>
      <c r="P350" s="173" t="s">
        <v>585</v>
      </c>
      <c r="Q350" s="173"/>
      <c r="R350" s="173" t="s">
        <v>585</v>
      </c>
      <c r="S350" s="173"/>
      <c r="T350" s="173" t="s">
        <v>585</v>
      </c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</row>
    <row r="351">
      <c r="A351" s="207">
        <v>184.0</v>
      </c>
      <c r="B351" s="196" t="s">
        <v>1005</v>
      </c>
      <c r="C351" s="196" t="s">
        <v>422</v>
      </c>
      <c r="D351" s="208" t="s">
        <v>1006</v>
      </c>
      <c r="E351" s="233">
        <v>44423.0</v>
      </c>
      <c r="F351" s="234" t="s">
        <v>647</v>
      </c>
      <c r="G351" s="173" t="s">
        <v>21</v>
      </c>
      <c r="H351" s="173">
        <v>1.0</v>
      </c>
      <c r="I351" s="173"/>
      <c r="J351" s="199">
        <v>0.0</v>
      </c>
      <c r="K351" s="206" t="str">
        <f>vlookup($D351,Python!$D$2:$F$1000,3,FALSE)</f>
        <v/>
      </c>
      <c r="L351" s="199" t="s">
        <v>585</v>
      </c>
      <c r="M351" s="173"/>
      <c r="N351" s="199" t="s">
        <v>585</v>
      </c>
      <c r="O351" s="173"/>
      <c r="P351" s="173" t="s">
        <v>585</v>
      </c>
      <c r="Q351" s="173"/>
      <c r="R351" s="173" t="s">
        <v>585</v>
      </c>
      <c r="S351" s="173"/>
      <c r="T351" s="173" t="s">
        <v>585</v>
      </c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</row>
    <row r="352">
      <c r="A352" s="207">
        <v>185.0</v>
      </c>
      <c r="B352" s="277" t="s">
        <v>1007</v>
      </c>
      <c r="C352" s="196" t="s">
        <v>422</v>
      </c>
      <c r="D352" s="208" t="s">
        <v>1008</v>
      </c>
      <c r="E352" s="233">
        <v>44414.0</v>
      </c>
      <c r="F352" s="234" t="s">
        <v>642</v>
      </c>
      <c r="G352" s="173" t="s">
        <v>21</v>
      </c>
      <c r="H352" s="173">
        <v>1.0</v>
      </c>
      <c r="I352" s="173"/>
      <c r="J352" s="199">
        <v>0.0</v>
      </c>
      <c r="K352" s="206">
        <f>vlookup($D352,Python!$D$2:$F$1000,3,FALSE)</f>
        <v>9200</v>
      </c>
      <c r="L352" s="199">
        <v>4.6E7</v>
      </c>
      <c r="M352" s="173"/>
      <c r="N352" s="199" t="s">
        <v>585</v>
      </c>
      <c r="O352" s="173"/>
      <c r="P352" s="173" t="s">
        <v>585</v>
      </c>
      <c r="Q352" s="173"/>
      <c r="R352" s="173" t="s">
        <v>585</v>
      </c>
      <c r="S352" s="173"/>
      <c r="T352" s="173" t="s">
        <v>585</v>
      </c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</row>
    <row r="353">
      <c r="A353" s="207">
        <v>186.0</v>
      </c>
      <c r="B353" s="277" t="s">
        <v>1007</v>
      </c>
      <c r="C353" s="196" t="s">
        <v>422</v>
      </c>
      <c r="D353" s="208" t="s">
        <v>1009</v>
      </c>
      <c r="E353" s="233">
        <v>44416.0</v>
      </c>
      <c r="F353" s="234" t="s">
        <v>641</v>
      </c>
      <c r="G353" s="173" t="s">
        <v>21</v>
      </c>
      <c r="H353" s="173">
        <v>1.0</v>
      </c>
      <c r="I353" s="173"/>
      <c r="J353" s="199">
        <v>0.0</v>
      </c>
      <c r="K353" s="206">
        <f>vlookup($D353,Python!$D$2:$F$1000,3,FALSE)</f>
        <v>2400</v>
      </c>
      <c r="L353" s="199">
        <v>1.2E7</v>
      </c>
      <c r="M353" s="173"/>
      <c r="N353" s="199" t="s">
        <v>585</v>
      </c>
      <c r="O353" s="173"/>
      <c r="P353" s="173" t="s">
        <v>585</v>
      </c>
      <c r="Q353" s="173"/>
      <c r="R353" s="173" t="s">
        <v>585</v>
      </c>
      <c r="S353" s="173"/>
      <c r="T353" s="173" t="s">
        <v>585</v>
      </c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</row>
    <row r="354">
      <c r="A354" s="207">
        <v>187.0</v>
      </c>
      <c r="B354" s="277" t="s">
        <v>1007</v>
      </c>
      <c r="C354" s="196" t="s">
        <v>422</v>
      </c>
      <c r="D354" s="232" t="s">
        <v>1010</v>
      </c>
      <c r="E354" s="233">
        <v>44417.0</v>
      </c>
      <c r="F354" s="234" t="s">
        <v>642</v>
      </c>
      <c r="G354" s="173" t="s">
        <v>21</v>
      </c>
      <c r="H354" s="173">
        <v>1.0</v>
      </c>
      <c r="I354" s="173"/>
      <c r="J354" s="199">
        <v>0.0</v>
      </c>
      <c r="K354" s="206">
        <f>vlookup($D354,Python!$D$2:$F$1000,3,FALSE)</f>
        <v>4600</v>
      </c>
      <c r="L354" s="199">
        <v>2.3E7</v>
      </c>
      <c r="M354" s="173"/>
      <c r="N354" s="199" t="s">
        <v>585</v>
      </c>
      <c r="O354" s="173"/>
      <c r="P354" s="173" t="s">
        <v>585</v>
      </c>
      <c r="Q354" s="173"/>
      <c r="R354" s="173" t="s">
        <v>585</v>
      </c>
      <c r="S354" s="173"/>
      <c r="T354" s="173" t="s">
        <v>585</v>
      </c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</row>
    <row r="355">
      <c r="A355" s="207">
        <v>188.0</v>
      </c>
      <c r="B355" s="277" t="s">
        <v>1007</v>
      </c>
      <c r="C355" s="196" t="s">
        <v>422</v>
      </c>
      <c r="D355" s="208" t="s">
        <v>1011</v>
      </c>
      <c r="E355" s="233">
        <v>44421.0</v>
      </c>
      <c r="F355" s="234" t="s">
        <v>642</v>
      </c>
      <c r="G355" s="173" t="s">
        <v>21</v>
      </c>
      <c r="H355" s="173">
        <v>1.0</v>
      </c>
      <c r="I355" s="173"/>
      <c r="J355" s="199">
        <v>0.0</v>
      </c>
      <c r="K355" s="206">
        <f>vlookup($D355,Python!$D$2:$F$1000,3,FALSE)</f>
        <v>6000</v>
      </c>
      <c r="L355" s="199">
        <v>3.0E7</v>
      </c>
      <c r="M355" s="173"/>
      <c r="N355" s="199" t="s">
        <v>585</v>
      </c>
      <c r="O355" s="173"/>
      <c r="P355" s="173" t="s">
        <v>585</v>
      </c>
      <c r="Q355" s="173"/>
      <c r="R355" s="173" t="s">
        <v>585</v>
      </c>
      <c r="S355" s="173"/>
      <c r="T355" s="173" t="s">
        <v>585</v>
      </c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</row>
    <row r="356">
      <c r="A356" s="207">
        <v>189.0</v>
      </c>
      <c r="B356" s="277" t="s">
        <v>1007</v>
      </c>
      <c r="C356" s="196" t="s">
        <v>422</v>
      </c>
      <c r="D356" s="208" t="s">
        <v>1012</v>
      </c>
      <c r="E356" s="233">
        <v>44423.0</v>
      </c>
      <c r="F356" s="234" t="s">
        <v>647</v>
      </c>
      <c r="G356" s="173" t="s">
        <v>21</v>
      </c>
      <c r="H356" s="173">
        <v>1.0</v>
      </c>
      <c r="I356" s="173"/>
      <c r="J356" s="199">
        <v>0.0</v>
      </c>
      <c r="K356" s="206">
        <f>vlookup($D356,Python!$D$2:$F$1000,3,FALSE)</f>
        <v>535.4</v>
      </c>
      <c r="L356" s="199">
        <v>2500000.0</v>
      </c>
      <c r="M356" s="173"/>
      <c r="N356" s="199" t="s">
        <v>585</v>
      </c>
      <c r="O356" s="173"/>
      <c r="P356" s="173" t="s">
        <v>585</v>
      </c>
      <c r="Q356" s="173"/>
      <c r="R356" s="173" t="s">
        <v>585</v>
      </c>
      <c r="S356" s="173"/>
      <c r="T356" s="173" t="s">
        <v>585</v>
      </c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</row>
    <row r="357">
      <c r="A357" s="207">
        <v>190.0</v>
      </c>
      <c r="B357" s="196" t="s">
        <v>561</v>
      </c>
      <c r="C357" s="196" t="s">
        <v>422</v>
      </c>
      <c r="D357" s="208" t="s">
        <v>1013</v>
      </c>
      <c r="E357" s="233">
        <v>44407.0</v>
      </c>
      <c r="F357" s="234" t="s">
        <v>647</v>
      </c>
      <c r="G357" s="173" t="s">
        <v>21</v>
      </c>
      <c r="H357" s="173">
        <v>1.0</v>
      </c>
      <c r="I357" s="173"/>
      <c r="J357" s="199">
        <v>0.0</v>
      </c>
      <c r="K357" s="206">
        <f>vlookup($D357,Python!$D$2:$F$1000,3,FALSE)</f>
        <v>159.2</v>
      </c>
      <c r="L357" s="199">
        <v>500000.0</v>
      </c>
      <c r="M357" s="173"/>
      <c r="N357" s="199" t="s">
        <v>585</v>
      </c>
      <c r="O357" s="173"/>
      <c r="P357" s="173" t="s">
        <v>585</v>
      </c>
      <c r="Q357" s="173"/>
      <c r="R357" s="173" t="s">
        <v>585</v>
      </c>
      <c r="S357" s="173"/>
      <c r="T357" s="173" t="s">
        <v>585</v>
      </c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</row>
    <row r="358">
      <c r="A358" s="207">
        <v>191.0</v>
      </c>
      <c r="B358" s="196" t="s">
        <v>561</v>
      </c>
      <c r="C358" s="196" t="s">
        <v>422</v>
      </c>
      <c r="D358" s="208" t="s">
        <v>1014</v>
      </c>
      <c r="E358" s="233">
        <v>44417.0</v>
      </c>
      <c r="F358" s="234" t="s">
        <v>647</v>
      </c>
      <c r="G358" s="173" t="s">
        <v>21</v>
      </c>
      <c r="H358" s="173">
        <v>1.0</v>
      </c>
      <c r="I358" s="173"/>
      <c r="J358" s="199">
        <v>0.0</v>
      </c>
      <c r="K358" s="206">
        <f>vlookup($D358,Python!$D$2:$F$1000,3,FALSE)</f>
        <v>341.9</v>
      </c>
      <c r="L358" s="199">
        <v>1500000.0</v>
      </c>
      <c r="M358" s="173"/>
      <c r="N358" s="199" t="s">
        <v>585</v>
      </c>
      <c r="O358" s="173"/>
      <c r="P358" s="173" t="s">
        <v>585</v>
      </c>
      <c r="Q358" s="173"/>
      <c r="R358" s="173" t="s">
        <v>585</v>
      </c>
      <c r="S358" s="173"/>
      <c r="T358" s="173" t="s">
        <v>585</v>
      </c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</row>
    <row r="359">
      <c r="A359" s="207">
        <v>192.0</v>
      </c>
      <c r="B359" s="196" t="s">
        <v>561</v>
      </c>
      <c r="C359" s="196" t="s">
        <v>422</v>
      </c>
      <c r="D359" s="208" t="s">
        <v>1015</v>
      </c>
      <c r="E359" s="233">
        <v>44405.0</v>
      </c>
      <c r="F359" s="234" t="s">
        <v>647</v>
      </c>
      <c r="G359" s="173" t="s">
        <v>21</v>
      </c>
      <c r="H359" s="173">
        <v>1.0</v>
      </c>
      <c r="I359" s="173"/>
      <c r="J359" s="199">
        <v>0.0</v>
      </c>
      <c r="K359" s="206">
        <f>vlookup($D359,Python!$D$2:$F$1000,3,FALSE)</f>
        <v>76.3</v>
      </c>
      <c r="L359" s="199">
        <v>0.0</v>
      </c>
      <c r="M359" s="173"/>
      <c r="N359" s="199" t="s">
        <v>585</v>
      </c>
      <c r="O359" s="173"/>
      <c r="P359" s="173" t="s">
        <v>585</v>
      </c>
      <c r="Q359" s="173"/>
      <c r="R359" s="173" t="s">
        <v>585</v>
      </c>
      <c r="S359" s="173"/>
      <c r="T359" s="173" t="s">
        <v>585</v>
      </c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</row>
    <row r="360">
      <c r="A360" s="207">
        <v>193.0</v>
      </c>
      <c r="B360" s="196" t="s">
        <v>1016</v>
      </c>
      <c r="C360" s="196" t="s">
        <v>422</v>
      </c>
      <c r="D360" s="208" t="s">
        <v>1017</v>
      </c>
      <c r="E360" s="233">
        <v>44405.0</v>
      </c>
      <c r="F360" s="234" t="s">
        <v>642</v>
      </c>
      <c r="G360" s="173" t="s">
        <v>21</v>
      </c>
      <c r="H360" s="173">
        <v>1.0</v>
      </c>
      <c r="I360" s="173"/>
      <c r="J360" s="199">
        <v>0.0</v>
      </c>
      <c r="K360" s="206">
        <f>vlookup($D360,Python!$D$2:$F$1000,3,FALSE)</f>
        <v>1100</v>
      </c>
      <c r="L360" s="199">
        <v>5500000.0</v>
      </c>
      <c r="M360" s="173"/>
      <c r="N360" s="199" t="s">
        <v>585</v>
      </c>
      <c r="O360" s="173"/>
      <c r="P360" s="173" t="s">
        <v>585</v>
      </c>
      <c r="Q360" s="173"/>
      <c r="R360" s="173" t="s">
        <v>585</v>
      </c>
      <c r="S360" s="173"/>
      <c r="T360" s="173" t="s">
        <v>585</v>
      </c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</row>
    <row r="361">
      <c r="A361" s="207">
        <v>194.0</v>
      </c>
      <c r="B361" s="196" t="s">
        <v>1016</v>
      </c>
      <c r="C361" s="196" t="s">
        <v>422</v>
      </c>
      <c r="D361" s="208" t="s">
        <v>1018</v>
      </c>
      <c r="E361" s="233">
        <v>44408.0</v>
      </c>
      <c r="F361" s="234" t="s">
        <v>642</v>
      </c>
      <c r="G361" s="173" t="s">
        <v>21</v>
      </c>
      <c r="H361" s="173">
        <v>1.0</v>
      </c>
      <c r="I361" s="173"/>
      <c r="J361" s="199">
        <v>0.0</v>
      </c>
      <c r="K361" s="206">
        <f>vlookup($D361,Python!$D$2:$F$1000,3,FALSE)</f>
        <v>1400</v>
      </c>
      <c r="L361" s="199">
        <v>7000000.0</v>
      </c>
      <c r="M361" s="173"/>
      <c r="N361" s="199" t="s">
        <v>585</v>
      </c>
      <c r="O361" s="173"/>
      <c r="P361" s="173" t="s">
        <v>585</v>
      </c>
      <c r="Q361" s="173"/>
      <c r="R361" s="173" t="s">
        <v>585</v>
      </c>
      <c r="S361" s="173"/>
      <c r="T361" s="173" t="s">
        <v>585</v>
      </c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</row>
    <row r="362">
      <c r="A362" s="207">
        <v>195.0</v>
      </c>
      <c r="B362" s="196" t="s">
        <v>1016</v>
      </c>
      <c r="C362" s="196" t="s">
        <v>422</v>
      </c>
      <c r="D362" s="208" t="s">
        <v>1019</v>
      </c>
      <c r="E362" s="233">
        <v>44411.0</v>
      </c>
      <c r="F362" s="234" t="s">
        <v>642</v>
      </c>
      <c r="G362" s="173" t="s">
        <v>21</v>
      </c>
      <c r="H362" s="173">
        <v>1.0</v>
      </c>
      <c r="I362" s="173"/>
      <c r="J362" s="199">
        <v>0.0</v>
      </c>
      <c r="K362" s="206">
        <f>vlookup($D362,Python!$D$2:$F$1000,3,FALSE)</f>
        <v>88.7</v>
      </c>
      <c r="L362" s="199">
        <v>0.0</v>
      </c>
      <c r="M362" s="173"/>
      <c r="N362" s="199" t="s">
        <v>585</v>
      </c>
      <c r="O362" s="173"/>
      <c r="P362" s="173" t="s">
        <v>585</v>
      </c>
      <c r="Q362" s="173"/>
      <c r="R362" s="173" t="s">
        <v>585</v>
      </c>
      <c r="S362" s="173"/>
      <c r="T362" s="173" t="s">
        <v>585</v>
      </c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</row>
    <row r="363">
      <c r="A363" s="207">
        <v>196.0</v>
      </c>
      <c r="B363" s="196" t="s">
        <v>1016</v>
      </c>
      <c r="C363" s="196" t="s">
        <v>422</v>
      </c>
      <c r="D363" s="208" t="s">
        <v>1020</v>
      </c>
      <c r="E363" s="233">
        <v>44412.0</v>
      </c>
      <c r="F363" s="234" t="s">
        <v>642</v>
      </c>
      <c r="G363" s="173" t="s">
        <v>21</v>
      </c>
      <c r="H363" s="173">
        <v>1.0</v>
      </c>
      <c r="I363" s="173"/>
      <c r="J363" s="199">
        <v>0.0</v>
      </c>
      <c r="K363" s="206">
        <f>vlookup($D363,Python!$D$2:$F$1000,3,FALSE)</f>
        <v>164.6</v>
      </c>
      <c r="L363" s="199">
        <v>500000.0</v>
      </c>
      <c r="M363" s="173"/>
      <c r="N363" s="199" t="s">
        <v>585</v>
      </c>
      <c r="O363" s="173"/>
      <c r="P363" s="173" t="s">
        <v>585</v>
      </c>
      <c r="Q363" s="173"/>
      <c r="R363" s="173" t="s">
        <v>585</v>
      </c>
      <c r="S363" s="173"/>
      <c r="T363" s="173" t="s">
        <v>585</v>
      </c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</row>
    <row r="364">
      <c r="A364" s="207">
        <v>197.0</v>
      </c>
      <c r="B364" s="196" t="s">
        <v>1016</v>
      </c>
      <c r="C364" s="196" t="s">
        <v>422</v>
      </c>
      <c r="D364" s="232" t="s">
        <v>1021</v>
      </c>
      <c r="E364" s="233">
        <v>44415.0</v>
      </c>
      <c r="F364" s="234" t="s">
        <v>642</v>
      </c>
      <c r="G364" s="173" t="s">
        <v>21</v>
      </c>
      <c r="H364" s="173">
        <v>1.0</v>
      </c>
      <c r="I364" s="173"/>
      <c r="J364" s="199">
        <v>0.0</v>
      </c>
      <c r="K364" s="206">
        <f>vlookup($D364,Python!$D$2:$F$1000,3,FALSE)</f>
        <v>462.3</v>
      </c>
      <c r="L364" s="199">
        <v>2000000.0</v>
      </c>
      <c r="M364" s="173"/>
      <c r="N364" s="199" t="s">
        <v>585</v>
      </c>
      <c r="O364" s="173"/>
      <c r="P364" s="173" t="s">
        <v>585</v>
      </c>
      <c r="Q364" s="173"/>
      <c r="R364" s="173" t="s">
        <v>585</v>
      </c>
      <c r="S364" s="173"/>
      <c r="T364" s="173" t="s">
        <v>585</v>
      </c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</row>
    <row r="365">
      <c r="A365" s="207">
        <v>198.0</v>
      </c>
      <c r="B365" s="196" t="s">
        <v>1016</v>
      </c>
      <c r="C365" s="196" t="s">
        <v>422</v>
      </c>
      <c r="D365" s="232" t="s">
        <v>1022</v>
      </c>
      <c r="E365" s="233">
        <v>44423.0</v>
      </c>
      <c r="F365" s="234" t="s">
        <v>642</v>
      </c>
      <c r="G365" s="173" t="s">
        <v>21</v>
      </c>
      <c r="H365" s="173">
        <v>1.0</v>
      </c>
      <c r="I365" s="173"/>
      <c r="J365" s="199">
        <v>0.0</v>
      </c>
      <c r="K365" s="206">
        <f>vlookup($D365,Python!$D$2:$F$1000,3,FALSE)</f>
        <v>18.2</v>
      </c>
      <c r="L365" s="199">
        <v>0.0</v>
      </c>
      <c r="M365" s="173"/>
      <c r="N365" s="199" t="s">
        <v>585</v>
      </c>
      <c r="O365" s="173"/>
      <c r="P365" s="173" t="s">
        <v>585</v>
      </c>
      <c r="Q365" s="173"/>
      <c r="R365" s="173" t="s">
        <v>585</v>
      </c>
      <c r="S365" s="173"/>
      <c r="T365" s="173" t="s">
        <v>585</v>
      </c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</row>
    <row r="366">
      <c r="A366" s="207">
        <v>199.0</v>
      </c>
      <c r="B366" s="196" t="s">
        <v>1016</v>
      </c>
      <c r="C366" s="196" t="s">
        <v>418</v>
      </c>
      <c r="D366" s="232" t="s">
        <v>1023</v>
      </c>
      <c r="E366" s="233">
        <v>44415.0</v>
      </c>
      <c r="F366" s="234" t="s">
        <v>642</v>
      </c>
      <c r="G366" s="173" t="s">
        <v>21</v>
      </c>
      <c r="H366" s="173">
        <v>1.0</v>
      </c>
      <c r="I366" s="173"/>
      <c r="J366" s="199">
        <v>0.0</v>
      </c>
      <c r="K366" s="206">
        <f>vlookup($D366,Python!$D$2:$F$1000,3,FALSE)</f>
        <v>306</v>
      </c>
      <c r="L366" s="199">
        <v>6000000.0</v>
      </c>
      <c r="M366" s="173"/>
      <c r="N366" s="199" t="s">
        <v>585</v>
      </c>
      <c r="O366" s="173"/>
      <c r="P366" s="173" t="s">
        <v>585</v>
      </c>
      <c r="Q366" s="173"/>
      <c r="R366" s="173" t="s">
        <v>585</v>
      </c>
      <c r="S366" s="173"/>
      <c r="T366" s="173" t="s">
        <v>585</v>
      </c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</row>
    <row r="367">
      <c r="A367" s="207">
        <v>200.0</v>
      </c>
      <c r="B367" s="196" t="s">
        <v>1016</v>
      </c>
      <c r="C367" s="196" t="s">
        <v>418</v>
      </c>
      <c r="D367" s="208" t="s">
        <v>1024</v>
      </c>
      <c r="E367" s="233">
        <v>44423.0</v>
      </c>
      <c r="F367" s="234" t="s">
        <v>642</v>
      </c>
      <c r="G367" s="173" t="s">
        <v>21</v>
      </c>
      <c r="H367" s="173">
        <v>1.0</v>
      </c>
      <c r="I367" s="173"/>
      <c r="J367" s="199">
        <v>0.0</v>
      </c>
      <c r="K367" s="206">
        <f>vlookup($D367,Python!$D$2:$F$1000,3,FALSE)</f>
        <v>48</v>
      </c>
      <c r="L367" s="199">
        <v>0.0</v>
      </c>
      <c r="M367" s="173"/>
      <c r="N367" s="199" t="s">
        <v>585</v>
      </c>
      <c r="O367" s="173"/>
      <c r="P367" s="173" t="s">
        <v>585</v>
      </c>
      <c r="Q367" s="173"/>
      <c r="R367" s="173" t="s">
        <v>585</v>
      </c>
      <c r="S367" s="173"/>
      <c r="T367" s="173" t="s">
        <v>585</v>
      </c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</row>
    <row r="368">
      <c r="A368" s="207">
        <v>201.0</v>
      </c>
      <c r="B368" s="196" t="s">
        <v>583</v>
      </c>
      <c r="C368" s="196" t="s">
        <v>422</v>
      </c>
      <c r="D368" s="208" t="s">
        <v>1025</v>
      </c>
      <c r="E368" s="233">
        <v>44407.0</v>
      </c>
      <c r="F368" s="234" t="s">
        <v>642</v>
      </c>
      <c r="G368" s="173" t="s">
        <v>21</v>
      </c>
      <c r="H368" s="173">
        <v>1.0</v>
      </c>
      <c r="I368" s="173"/>
      <c r="J368" s="199">
        <v>0.0</v>
      </c>
      <c r="K368" s="206">
        <f>vlookup($D368,Python!$D$2:$F$1000,3,FALSE)</f>
        <v>318</v>
      </c>
      <c r="L368" s="199">
        <v>1500000.0</v>
      </c>
      <c r="M368" s="173"/>
      <c r="N368" s="199" t="s">
        <v>585</v>
      </c>
      <c r="O368" s="173"/>
      <c r="P368" s="173" t="s">
        <v>585</v>
      </c>
      <c r="Q368" s="173"/>
      <c r="R368" s="173" t="s">
        <v>585</v>
      </c>
      <c r="S368" s="173"/>
      <c r="T368" s="173" t="s">
        <v>585</v>
      </c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</row>
    <row r="369">
      <c r="A369" s="207">
        <v>202.0</v>
      </c>
      <c r="B369" s="196" t="s">
        <v>583</v>
      </c>
      <c r="C369" s="196" t="s">
        <v>422</v>
      </c>
      <c r="D369" s="208" t="s">
        <v>1026</v>
      </c>
      <c r="E369" s="233">
        <v>44409.0</v>
      </c>
      <c r="F369" s="234" t="s">
        <v>642</v>
      </c>
      <c r="G369" s="173" t="s">
        <v>21</v>
      </c>
      <c r="H369" s="173">
        <v>1.0</v>
      </c>
      <c r="I369" s="173"/>
      <c r="J369" s="199">
        <v>0.0</v>
      </c>
      <c r="K369" s="206">
        <f>vlookup($D369,Python!$D$2:$F$1000,3,FALSE)</f>
        <v>2100</v>
      </c>
      <c r="L369" s="199">
        <v>1.05E7</v>
      </c>
      <c r="M369" s="173"/>
      <c r="N369" s="199" t="s">
        <v>585</v>
      </c>
      <c r="O369" s="173"/>
      <c r="P369" s="173" t="s">
        <v>585</v>
      </c>
      <c r="Q369" s="173"/>
      <c r="R369" s="173" t="s">
        <v>585</v>
      </c>
      <c r="S369" s="173"/>
      <c r="T369" s="173" t="s">
        <v>585</v>
      </c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</row>
    <row r="370">
      <c r="A370" s="207">
        <v>203.0</v>
      </c>
      <c r="B370" s="196" t="s">
        <v>583</v>
      </c>
      <c r="C370" s="196" t="s">
        <v>422</v>
      </c>
      <c r="D370" s="208" t="s">
        <v>1027</v>
      </c>
      <c r="E370" s="233">
        <v>44417.0</v>
      </c>
      <c r="F370" s="234" t="s">
        <v>642</v>
      </c>
      <c r="G370" s="173" t="s">
        <v>21</v>
      </c>
      <c r="H370" s="173">
        <v>1.0</v>
      </c>
      <c r="I370" s="173"/>
      <c r="J370" s="199">
        <v>0.0</v>
      </c>
      <c r="K370" s="206">
        <f>vlookup($D370,Python!$D$2:$F$1000,3,FALSE)</f>
        <v>1000</v>
      </c>
      <c r="L370" s="199">
        <v>5000000.0</v>
      </c>
      <c r="M370" s="173"/>
      <c r="N370" s="199" t="s">
        <v>585</v>
      </c>
      <c r="O370" s="173"/>
      <c r="P370" s="173" t="s">
        <v>585</v>
      </c>
      <c r="Q370" s="173"/>
      <c r="R370" s="173" t="s">
        <v>585</v>
      </c>
      <c r="S370" s="173"/>
      <c r="T370" s="173" t="s">
        <v>585</v>
      </c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</row>
    <row r="371">
      <c r="A371" s="207">
        <v>204.0</v>
      </c>
      <c r="B371" s="196" t="s">
        <v>583</v>
      </c>
      <c r="C371" s="196" t="s">
        <v>422</v>
      </c>
      <c r="D371" s="208" t="s">
        <v>1028</v>
      </c>
      <c r="E371" s="233">
        <v>44424.0</v>
      </c>
      <c r="F371" s="234" t="s">
        <v>642</v>
      </c>
      <c r="G371" s="173" t="s">
        <v>21</v>
      </c>
      <c r="H371" s="173">
        <v>1.0</v>
      </c>
      <c r="I371" s="173"/>
      <c r="J371" s="199">
        <v>0.0</v>
      </c>
      <c r="K371" s="206">
        <f>vlookup($D371,Python!$D$2:$F$1000,3,FALSE)</f>
        <v>116.6</v>
      </c>
      <c r="L371" s="199">
        <v>500000.0</v>
      </c>
      <c r="M371" s="173"/>
      <c r="N371" s="199" t="s">
        <v>585</v>
      </c>
      <c r="O371" s="173"/>
      <c r="P371" s="173" t="s">
        <v>585</v>
      </c>
      <c r="Q371" s="173"/>
      <c r="R371" s="173" t="s">
        <v>585</v>
      </c>
      <c r="S371" s="173"/>
      <c r="T371" s="173" t="s">
        <v>585</v>
      </c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</row>
    <row r="372">
      <c r="A372" s="207">
        <v>205.0</v>
      </c>
      <c r="B372" s="196" t="s">
        <v>579</v>
      </c>
      <c r="C372" s="196" t="s">
        <v>422</v>
      </c>
      <c r="D372" s="208" t="s">
        <v>1029</v>
      </c>
      <c r="E372" s="233">
        <v>44410.0</v>
      </c>
      <c r="F372" s="234" t="s">
        <v>642</v>
      </c>
      <c r="G372" s="173" t="s">
        <v>21</v>
      </c>
      <c r="H372" s="173">
        <v>1.0</v>
      </c>
      <c r="I372" s="173"/>
      <c r="J372" s="199">
        <v>0.0</v>
      </c>
      <c r="K372" s="206">
        <f>vlookup($D372,Python!$D$2:$F$1000,3,FALSE)</f>
        <v>98.3</v>
      </c>
      <c r="L372" s="199">
        <v>0.0</v>
      </c>
      <c r="M372" s="173"/>
      <c r="N372" s="199" t="s">
        <v>585</v>
      </c>
      <c r="O372" s="173"/>
      <c r="P372" s="173" t="s">
        <v>585</v>
      </c>
      <c r="Q372" s="173"/>
      <c r="R372" s="173" t="s">
        <v>585</v>
      </c>
      <c r="S372" s="173"/>
      <c r="T372" s="173" t="s">
        <v>585</v>
      </c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</row>
    <row r="373">
      <c r="A373" s="207">
        <v>206.0</v>
      </c>
      <c r="B373" s="277" t="s">
        <v>577</v>
      </c>
      <c r="C373" s="196" t="s">
        <v>422</v>
      </c>
      <c r="D373" s="208" t="s">
        <v>1030</v>
      </c>
      <c r="E373" s="233">
        <v>44406.0</v>
      </c>
      <c r="F373" s="234" t="s">
        <v>642</v>
      </c>
      <c r="G373" s="173" t="s">
        <v>21</v>
      </c>
      <c r="H373" s="173">
        <v>1.0</v>
      </c>
      <c r="I373" s="173"/>
      <c r="J373" s="199">
        <v>0.0</v>
      </c>
      <c r="K373" s="206">
        <f>vlookup($D373,Python!$D$2:$F$1000,3,FALSE)</f>
        <v>168.3</v>
      </c>
      <c r="L373" s="199">
        <v>500000.0</v>
      </c>
      <c r="M373" s="173"/>
      <c r="N373" s="199" t="s">
        <v>585</v>
      </c>
      <c r="O373" s="173"/>
      <c r="P373" s="173" t="s">
        <v>585</v>
      </c>
      <c r="Q373" s="173"/>
      <c r="R373" s="173" t="s">
        <v>585</v>
      </c>
      <c r="S373" s="173"/>
      <c r="T373" s="173" t="s">
        <v>585</v>
      </c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</row>
    <row r="374">
      <c r="A374" s="207">
        <v>207.0</v>
      </c>
      <c r="B374" s="277" t="s">
        <v>577</v>
      </c>
      <c r="C374" s="196" t="s">
        <v>422</v>
      </c>
      <c r="D374" s="208" t="s">
        <v>1031</v>
      </c>
      <c r="E374" s="233">
        <v>44411.0</v>
      </c>
      <c r="F374" s="234" t="s">
        <v>642</v>
      </c>
      <c r="G374" s="173" t="s">
        <v>21</v>
      </c>
      <c r="H374" s="173">
        <v>1.0</v>
      </c>
      <c r="I374" s="173"/>
      <c r="J374" s="199">
        <v>0.0</v>
      </c>
      <c r="K374" s="206">
        <f>vlookup($D374,Python!$D$2:$F$1000,3,FALSE)</f>
        <v>326.1</v>
      </c>
      <c r="L374" s="199">
        <v>1500000.0</v>
      </c>
      <c r="M374" s="173"/>
      <c r="N374" s="199" t="s">
        <v>585</v>
      </c>
      <c r="O374" s="173"/>
      <c r="P374" s="173" t="s">
        <v>585</v>
      </c>
      <c r="Q374" s="173"/>
      <c r="R374" s="173" t="s">
        <v>585</v>
      </c>
      <c r="S374" s="173"/>
      <c r="T374" s="173" t="s">
        <v>585</v>
      </c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</row>
    <row r="375">
      <c r="A375" s="207">
        <v>208.0</v>
      </c>
      <c r="B375" s="277" t="s">
        <v>577</v>
      </c>
      <c r="C375" s="196" t="s">
        <v>422</v>
      </c>
      <c r="D375" s="208" t="s">
        <v>1032</v>
      </c>
      <c r="E375" s="233">
        <v>44413.0</v>
      </c>
      <c r="F375" s="234" t="s">
        <v>642</v>
      </c>
      <c r="G375" s="173" t="s">
        <v>21</v>
      </c>
      <c r="H375" s="173">
        <v>1.0</v>
      </c>
      <c r="I375" s="173"/>
      <c r="J375" s="199">
        <v>0.0</v>
      </c>
      <c r="K375" s="206">
        <f>vlookup($D375,Python!$D$2:$F$1000,3,FALSE)</f>
        <v>949.8</v>
      </c>
      <c r="L375" s="199">
        <v>4500000.0</v>
      </c>
      <c r="M375" s="173"/>
      <c r="N375" s="199" t="s">
        <v>585</v>
      </c>
      <c r="O375" s="173"/>
      <c r="P375" s="173" t="s">
        <v>585</v>
      </c>
      <c r="Q375" s="173"/>
      <c r="R375" s="173" t="s">
        <v>585</v>
      </c>
      <c r="S375" s="173"/>
      <c r="T375" s="173" t="s">
        <v>585</v>
      </c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</row>
    <row r="376">
      <c r="A376" s="207">
        <v>209.0</v>
      </c>
      <c r="B376" s="277" t="s">
        <v>577</v>
      </c>
      <c r="C376" s="196" t="s">
        <v>422</v>
      </c>
      <c r="D376" s="208" t="s">
        <v>1033</v>
      </c>
      <c r="E376" s="233">
        <v>44415.0</v>
      </c>
      <c r="F376" s="234" t="s">
        <v>642</v>
      </c>
      <c r="G376" s="173" t="s">
        <v>21</v>
      </c>
      <c r="H376" s="173">
        <v>1.0</v>
      </c>
      <c r="I376" s="173"/>
      <c r="J376" s="199">
        <v>0.0</v>
      </c>
      <c r="K376" s="206">
        <f>vlookup($D376,Python!$D$2:$F$1000,3,FALSE)</f>
        <v>321.9</v>
      </c>
      <c r="L376" s="199">
        <v>1500000.0</v>
      </c>
      <c r="M376" s="173"/>
      <c r="N376" s="199" t="s">
        <v>585</v>
      </c>
      <c r="O376" s="173"/>
      <c r="P376" s="173" t="s">
        <v>585</v>
      </c>
      <c r="Q376" s="173"/>
      <c r="R376" s="173" t="s">
        <v>585</v>
      </c>
      <c r="S376" s="173"/>
      <c r="T376" s="173" t="s">
        <v>585</v>
      </c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</row>
    <row r="377">
      <c r="A377" s="207">
        <v>210.0</v>
      </c>
      <c r="B377" s="277" t="s">
        <v>577</v>
      </c>
      <c r="C377" s="196" t="s">
        <v>422</v>
      </c>
      <c r="D377" s="208" t="s">
        <v>1034</v>
      </c>
      <c r="E377" s="233">
        <v>44416.0</v>
      </c>
      <c r="F377" s="234" t="s">
        <v>647</v>
      </c>
      <c r="G377" s="173" t="s">
        <v>21</v>
      </c>
      <c r="H377" s="173">
        <v>1.0</v>
      </c>
      <c r="I377" s="173"/>
      <c r="J377" s="199">
        <v>0.0</v>
      </c>
      <c r="K377" s="206">
        <f>vlookup($D377,Python!$D$2:$F$1000,3,FALSE)</f>
        <v>145.1</v>
      </c>
      <c r="L377" s="199">
        <v>500000.0</v>
      </c>
      <c r="M377" s="173"/>
      <c r="N377" s="199" t="s">
        <v>585</v>
      </c>
      <c r="O377" s="173"/>
      <c r="P377" s="173" t="s">
        <v>585</v>
      </c>
      <c r="Q377" s="173"/>
      <c r="R377" s="173" t="s">
        <v>585</v>
      </c>
      <c r="S377" s="173"/>
      <c r="T377" s="173" t="s">
        <v>585</v>
      </c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</row>
    <row r="378">
      <c r="A378" s="207">
        <v>211.0</v>
      </c>
      <c r="B378" s="277" t="s">
        <v>577</v>
      </c>
      <c r="C378" s="196" t="s">
        <v>422</v>
      </c>
      <c r="D378" s="208" t="s">
        <v>1035</v>
      </c>
      <c r="E378" s="233">
        <v>44423.0</v>
      </c>
      <c r="F378" s="234" t="s">
        <v>647</v>
      </c>
      <c r="G378" s="173" t="s">
        <v>21</v>
      </c>
      <c r="H378" s="173">
        <v>1.0</v>
      </c>
      <c r="I378" s="173"/>
      <c r="J378" s="199">
        <v>0.0</v>
      </c>
      <c r="K378" s="206">
        <f>vlookup($D378,Python!$D$2:$F$1000,3,FALSE)</f>
        <v>57.9</v>
      </c>
      <c r="L378" s="199">
        <v>0.0</v>
      </c>
      <c r="M378" s="173"/>
      <c r="N378" s="199" t="s">
        <v>585</v>
      </c>
      <c r="O378" s="173"/>
      <c r="P378" s="173" t="s">
        <v>585</v>
      </c>
      <c r="Q378" s="173"/>
      <c r="R378" s="173" t="s">
        <v>585</v>
      </c>
      <c r="S378" s="173"/>
      <c r="T378" s="173" t="s">
        <v>585</v>
      </c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</row>
    <row r="379">
      <c r="A379" s="207">
        <v>212.0</v>
      </c>
      <c r="B379" s="196" t="s">
        <v>577</v>
      </c>
      <c r="C379" s="196" t="s">
        <v>418</v>
      </c>
      <c r="D379" s="232" t="s">
        <v>1036</v>
      </c>
      <c r="E379" s="233">
        <v>44416.0</v>
      </c>
      <c r="F379" s="234" t="s">
        <v>647</v>
      </c>
      <c r="G379" s="173" t="s">
        <v>21</v>
      </c>
      <c r="H379" s="173">
        <v>1.0</v>
      </c>
      <c r="I379" s="173"/>
      <c r="J379" s="199">
        <v>0.0</v>
      </c>
      <c r="K379" s="206">
        <f>vlookup($D379,Python!$D$2:$F$1000,3,FALSE)</f>
        <v>2.3</v>
      </c>
      <c r="L379" s="199">
        <v>0.0</v>
      </c>
      <c r="M379" s="173"/>
      <c r="N379" s="199" t="s">
        <v>585</v>
      </c>
      <c r="O379" s="173"/>
      <c r="P379" s="173" t="s">
        <v>585</v>
      </c>
      <c r="Q379" s="173"/>
      <c r="R379" s="173" t="s">
        <v>585</v>
      </c>
      <c r="S379" s="173"/>
      <c r="T379" s="173" t="s">
        <v>585</v>
      </c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</row>
    <row r="380">
      <c r="A380" s="207">
        <v>213.0</v>
      </c>
      <c r="B380" s="196" t="s">
        <v>577</v>
      </c>
      <c r="C380" s="196" t="s">
        <v>418</v>
      </c>
      <c r="D380" s="208" t="s">
        <v>1037</v>
      </c>
      <c r="E380" s="233">
        <v>44421.0</v>
      </c>
      <c r="F380" s="234" t="s">
        <v>642</v>
      </c>
      <c r="G380" s="173" t="s">
        <v>21</v>
      </c>
      <c r="H380" s="173">
        <v>1.0</v>
      </c>
      <c r="I380" s="173"/>
      <c r="J380" s="199">
        <v>0.0</v>
      </c>
      <c r="K380" s="206">
        <f>vlookup($D380,Python!$D$2:$F$1000,3,FALSE)</f>
        <v>54</v>
      </c>
      <c r="L380" s="199">
        <v>1000000.0</v>
      </c>
      <c r="M380" s="173"/>
      <c r="N380" s="199" t="s">
        <v>585</v>
      </c>
      <c r="O380" s="173"/>
      <c r="P380" s="173" t="s">
        <v>585</v>
      </c>
      <c r="Q380" s="173"/>
      <c r="R380" s="173" t="s">
        <v>585</v>
      </c>
      <c r="S380" s="173"/>
      <c r="T380" s="173" t="s">
        <v>585</v>
      </c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</row>
    <row r="381">
      <c r="A381" s="207">
        <v>214.0</v>
      </c>
      <c r="B381" s="277" t="s">
        <v>575</v>
      </c>
      <c r="C381" s="196" t="s">
        <v>422</v>
      </c>
      <c r="D381" s="208" t="s">
        <v>1038</v>
      </c>
      <c r="E381" s="233">
        <v>44409.0</v>
      </c>
      <c r="F381" s="234" t="s">
        <v>642</v>
      </c>
      <c r="G381" s="173" t="s">
        <v>21</v>
      </c>
      <c r="H381" s="173">
        <v>1.0</v>
      </c>
      <c r="I381" s="173"/>
      <c r="J381" s="199">
        <v>0.0</v>
      </c>
      <c r="K381" s="206">
        <f>vlookup($D381,Python!$D$2:$F$1000,3,FALSE)</f>
        <v>125.6</v>
      </c>
      <c r="L381" s="199">
        <v>500000.0</v>
      </c>
      <c r="M381" s="173"/>
      <c r="N381" s="199" t="s">
        <v>585</v>
      </c>
      <c r="O381" s="173"/>
      <c r="P381" s="173" t="s">
        <v>585</v>
      </c>
      <c r="Q381" s="173"/>
      <c r="R381" s="173" t="s">
        <v>585</v>
      </c>
      <c r="S381" s="173"/>
      <c r="T381" s="173" t="s">
        <v>585</v>
      </c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</row>
    <row r="382">
      <c r="A382" s="207">
        <v>215.0</v>
      </c>
      <c r="B382" s="277" t="s">
        <v>575</v>
      </c>
      <c r="C382" s="196" t="s">
        <v>422</v>
      </c>
      <c r="D382" s="208" t="s">
        <v>1039</v>
      </c>
      <c r="E382" s="233">
        <v>44413.0</v>
      </c>
      <c r="F382" s="234" t="s">
        <v>642</v>
      </c>
      <c r="G382" s="173" t="s">
        <v>21</v>
      </c>
      <c r="H382" s="173">
        <v>1.0</v>
      </c>
      <c r="I382" s="173"/>
      <c r="J382" s="199">
        <v>0.0</v>
      </c>
      <c r="K382" s="206">
        <f>vlookup($D382,Python!$D$2:$F$1000,3,FALSE)</f>
        <v>54.9</v>
      </c>
      <c r="L382" s="199">
        <v>0.0</v>
      </c>
      <c r="M382" s="173"/>
      <c r="N382" s="199" t="s">
        <v>585</v>
      </c>
      <c r="O382" s="173"/>
      <c r="P382" s="173" t="s">
        <v>585</v>
      </c>
      <c r="Q382" s="173"/>
      <c r="R382" s="173" t="s">
        <v>585</v>
      </c>
      <c r="S382" s="173"/>
      <c r="T382" s="173" t="s">
        <v>585</v>
      </c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</row>
    <row r="383">
      <c r="A383" s="207">
        <v>216.0</v>
      </c>
      <c r="B383" s="277" t="s">
        <v>575</v>
      </c>
      <c r="C383" s="196" t="s">
        <v>422</v>
      </c>
      <c r="D383" s="208" t="s">
        <v>1040</v>
      </c>
      <c r="E383" s="233">
        <v>44414.0</v>
      </c>
      <c r="F383" s="234" t="s">
        <v>647</v>
      </c>
      <c r="G383" s="173" t="s">
        <v>21</v>
      </c>
      <c r="H383" s="173">
        <v>1.0</v>
      </c>
      <c r="I383" s="173"/>
      <c r="J383" s="199">
        <v>0.0</v>
      </c>
      <c r="K383" s="206">
        <f>vlookup($D383,Python!$D$2:$F$1000,3,FALSE)</f>
        <v>299.6</v>
      </c>
      <c r="L383" s="199">
        <v>1000000.0</v>
      </c>
      <c r="M383" s="173"/>
      <c r="N383" s="199" t="s">
        <v>585</v>
      </c>
      <c r="O383" s="173"/>
      <c r="P383" s="173" t="s">
        <v>585</v>
      </c>
      <c r="Q383" s="173"/>
      <c r="R383" s="173" t="s">
        <v>585</v>
      </c>
      <c r="S383" s="173"/>
      <c r="T383" s="173" t="s">
        <v>585</v>
      </c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</row>
    <row r="384">
      <c r="A384" s="207">
        <v>217.0</v>
      </c>
      <c r="B384" s="277" t="s">
        <v>575</v>
      </c>
      <c r="C384" s="196" t="s">
        <v>422</v>
      </c>
      <c r="D384" s="208" t="s">
        <v>1041</v>
      </c>
      <c r="E384" s="233">
        <v>44415.0</v>
      </c>
      <c r="F384" s="234" t="s">
        <v>647</v>
      </c>
      <c r="G384" s="173" t="s">
        <v>21</v>
      </c>
      <c r="H384" s="173">
        <v>1.0</v>
      </c>
      <c r="I384" s="173"/>
      <c r="J384" s="199">
        <v>0.0</v>
      </c>
      <c r="K384" s="206">
        <f>vlookup($D384,Python!$D$2:$F$1000,3,FALSE)</f>
        <v>26.1</v>
      </c>
      <c r="L384" s="199">
        <v>0.0</v>
      </c>
      <c r="M384" s="173"/>
      <c r="N384" s="199" t="s">
        <v>585</v>
      </c>
      <c r="O384" s="173"/>
      <c r="P384" s="173" t="s">
        <v>585</v>
      </c>
      <c r="Q384" s="173"/>
      <c r="R384" s="173" t="s">
        <v>585</v>
      </c>
      <c r="S384" s="173"/>
      <c r="T384" s="173" t="s">
        <v>585</v>
      </c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</row>
    <row r="385">
      <c r="A385" s="207">
        <v>218.0</v>
      </c>
      <c r="B385" s="277" t="s">
        <v>575</v>
      </c>
      <c r="C385" s="196" t="s">
        <v>609</v>
      </c>
      <c r="D385" s="208" t="s">
        <v>1042</v>
      </c>
      <c r="E385" s="233">
        <v>44416.0</v>
      </c>
      <c r="F385" s="234" t="s">
        <v>647</v>
      </c>
      <c r="G385" s="173" t="s">
        <v>21</v>
      </c>
      <c r="H385" s="173">
        <v>1.0</v>
      </c>
      <c r="I385" s="173"/>
      <c r="J385" s="199">
        <v>0.0</v>
      </c>
      <c r="K385" s="206" t="str">
        <f>vlookup($D385,Python!$D$2:$F$1000,3,FALSE)</f>
        <v/>
      </c>
      <c r="L385" s="199" t="s">
        <v>585</v>
      </c>
      <c r="M385" s="173"/>
      <c r="N385" s="199" t="s">
        <v>585</v>
      </c>
      <c r="O385" s="173"/>
      <c r="P385" s="173" t="s">
        <v>585</v>
      </c>
      <c r="Q385" s="173"/>
      <c r="R385" s="173" t="s">
        <v>585</v>
      </c>
      <c r="S385" s="173"/>
      <c r="T385" s="173" t="s">
        <v>585</v>
      </c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</row>
    <row r="386">
      <c r="A386" s="207">
        <v>219.0</v>
      </c>
      <c r="B386" s="196" t="s">
        <v>1043</v>
      </c>
      <c r="C386" s="196" t="s">
        <v>422</v>
      </c>
      <c r="D386" s="208" t="s">
        <v>1044</v>
      </c>
      <c r="E386" s="233">
        <v>44420.0</v>
      </c>
      <c r="F386" s="234" t="s">
        <v>642</v>
      </c>
      <c r="G386" s="173" t="s">
        <v>21</v>
      </c>
      <c r="H386" s="173">
        <v>1.0</v>
      </c>
      <c r="I386" s="173"/>
      <c r="J386" s="199">
        <v>0.0</v>
      </c>
      <c r="K386" s="206">
        <f>vlookup($D386,Python!$D$2:$F$1000,3,FALSE)</f>
        <v>1100</v>
      </c>
      <c r="L386" s="199">
        <v>5500000.0</v>
      </c>
      <c r="M386" s="173"/>
      <c r="N386" s="199" t="s">
        <v>585</v>
      </c>
      <c r="O386" s="173"/>
      <c r="P386" s="173" t="s">
        <v>585</v>
      </c>
      <c r="Q386" s="173"/>
      <c r="R386" s="173" t="s">
        <v>585</v>
      </c>
      <c r="S386" s="173"/>
      <c r="T386" s="173" t="s">
        <v>585</v>
      </c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</row>
    <row r="387">
      <c r="A387" s="207">
        <v>220.0</v>
      </c>
      <c r="B387" s="196" t="s">
        <v>1045</v>
      </c>
      <c r="C387" s="196" t="s">
        <v>422</v>
      </c>
      <c r="D387" s="208" t="s">
        <v>1046</v>
      </c>
      <c r="E387" s="233">
        <v>44410.0</v>
      </c>
      <c r="F387" s="234" t="s">
        <v>642</v>
      </c>
      <c r="G387" s="173" t="s">
        <v>21</v>
      </c>
      <c r="H387" s="173">
        <v>1.0</v>
      </c>
      <c r="I387" s="173"/>
      <c r="J387" s="199">
        <v>0.0</v>
      </c>
      <c r="K387" s="206">
        <f>vlookup($D387,Python!$D$2:$F$1000,3,FALSE)</f>
        <v>352.9</v>
      </c>
      <c r="L387" s="199">
        <v>1500000.0</v>
      </c>
      <c r="M387" s="173"/>
      <c r="N387" s="199" t="s">
        <v>585</v>
      </c>
      <c r="O387" s="173"/>
      <c r="P387" s="173" t="s">
        <v>585</v>
      </c>
      <c r="Q387" s="173"/>
      <c r="R387" s="173" t="s">
        <v>585</v>
      </c>
      <c r="S387" s="173"/>
      <c r="T387" s="173" t="s">
        <v>585</v>
      </c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</row>
    <row r="388">
      <c r="A388" s="207">
        <v>221.0</v>
      </c>
      <c r="B388" s="196" t="s">
        <v>1045</v>
      </c>
      <c r="C388" s="196" t="s">
        <v>422</v>
      </c>
      <c r="D388" s="208" t="s">
        <v>1047</v>
      </c>
      <c r="E388" s="233">
        <v>44412.0</v>
      </c>
      <c r="F388" s="234" t="s">
        <v>642</v>
      </c>
      <c r="G388" s="173" t="s">
        <v>21</v>
      </c>
      <c r="H388" s="173">
        <v>1.0</v>
      </c>
      <c r="I388" s="173"/>
      <c r="J388" s="199">
        <v>0.0</v>
      </c>
      <c r="K388" s="206">
        <f>vlookup($D388,Python!$D$2:$F$1000,3,FALSE)</f>
        <v>57.6</v>
      </c>
      <c r="L388" s="199">
        <v>0.0</v>
      </c>
      <c r="M388" s="173"/>
      <c r="N388" s="199" t="s">
        <v>585</v>
      </c>
      <c r="O388" s="173"/>
      <c r="P388" s="173" t="s">
        <v>585</v>
      </c>
      <c r="Q388" s="173"/>
      <c r="R388" s="173" t="s">
        <v>585</v>
      </c>
      <c r="S388" s="173"/>
      <c r="T388" s="173" t="s">
        <v>585</v>
      </c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</row>
    <row r="389">
      <c r="A389" s="207">
        <v>222.0</v>
      </c>
      <c r="B389" s="277" t="s">
        <v>559</v>
      </c>
      <c r="C389" s="196" t="s">
        <v>422</v>
      </c>
      <c r="D389" s="208" t="s">
        <v>1048</v>
      </c>
      <c r="E389" s="233">
        <v>44425.0</v>
      </c>
      <c r="F389" s="234" t="s">
        <v>642</v>
      </c>
      <c r="G389" s="173" t="s">
        <v>21</v>
      </c>
      <c r="H389" s="173">
        <v>1.0</v>
      </c>
      <c r="I389" s="173"/>
      <c r="J389" s="199">
        <v>0.0</v>
      </c>
      <c r="K389" s="206" t="str">
        <f>vlookup($D389,Python!$D$2:$F$1000,3,FALSE)</f>
        <v/>
      </c>
      <c r="L389" s="199" t="s">
        <v>585</v>
      </c>
      <c r="M389" s="173"/>
      <c r="N389" s="199" t="s">
        <v>585</v>
      </c>
      <c r="O389" s="173"/>
      <c r="P389" s="173" t="s">
        <v>585</v>
      </c>
      <c r="Q389" s="173"/>
      <c r="R389" s="173" t="s">
        <v>585</v>
      </c>
      <c r="S389" s="173"/>
      <c r="T389" s="173" t="s">
        <v>585</v>
      </c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</row>
    <row r="390">
      <c r="A390" s="207">
        <v>223.0</v>
      </c>
      <c r="B390" s="214" t="s">
        <v>1049</v>
      </c>
      <c r="C390" s="196" t="s">
        <v>422</v>
      </c>
      <c r="D390" s="232" t="s">
        <v>1050</v>
      </c>
      <c r="E390" s="233">
        <v>44402.0</v>
      </c>
      <c r="F390" s="234" t="s">
        <v>642</v>
      </c>
      <c r="G390" s="173" t="s">
        <v>194</v>
      </c>
      <c r="H390" s="173">
        <v>1.0</v>
      </c>
      <c r="I390" s="173"/>
      <c r="J390" s="199">
        <v>0.0</v>
      </c>
      <c r="K390" s="206">
        <f>vlookup($D390,Python!$D$2:$F$1000,3,FALSE)</f>
        <v>105.2</v>
      </c>
      <c r="L390" s="199">
        <v>500000.0</v>
      </c>
      <c r="M390" s="173"/>
      <c r="N390" s="199" t="s">
        <v>585</v>
      </c>
      <c r="O390" s="173"/>
      <c r="P390" s="173" t="s">
        <v>585</v>
      </c>
      <c r="Q390" s="173"/>
      <c r="R390" s="173" t="s">
        <v>585</v>
      </c>
      <c r="S390" s="173"/>
      <c r="T390" s="173" t="s">
        <v>585</v>
      </c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</row>
    <row r="391">
      <c r="A391" s="207">
        <v>224.0</v>
      </c>
      <c r="B391" s="196" t="s">
        <v>1049</v>
      </c>
      <c r="C391" s="196" t="s">
        <v>422</v>
      </c>
      <c r="D391" s="232" t="s">
        <v>1051</v>
      </c>
      <c r="E391" s="233">
        <v>44410.0</v>
      </c>
      <c r="F391" s="234" t="s">
        <v>642</v>
      </c>
      <c r="G391" s="173" t="s">
        <v>194</v>
      </c>
      <c r="H391" s="173">
        <v>1.0</v>
      </c>
      <c r="I391" s="173"/>
      <c r="J391" s="199">
        <v>0.0</v>
      </c>
      <c r="K391" s="206">
        <f>vlookup($D391,Python!$D$2:$F$1000,3,FALSE)</f>
        <v>215.2</v>
      </c>
      <c r="L391" s="199">
        <v>1000000.0</v>
      </c>
      <c r="M391" s="173"/>
      <c r="N391" s="199" t="s">
        <v>585</v>
      </c>
      <c r="O391" s="173"/>
      <c r="P391" s="173" t="s">
        <v>585</v>
      </c>
      <c r="Q391" s="173"/>
      <c r="R391" s="173" t="s">
        <v>585</v>
      </c>
      <c r="S391" s="173"/>
      <c r="T391" s="173" t="s">
        <v>585</v>
      </c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</row>
    <row r="392">
      <c r="A392" s="207">
        <v>225.0</v>
      </c>
      <c r="B392" s="196" t="s">
        <v>509</v>
      </c>
      <c r="C392" s="196" t="s">
        <v>422</v>
      </c>
      <c r="D392" s="232" t="s">
        <v>1052</v>
      </c>
      <c r="E392" s="233">
        <v>44409.0</v>
      </c>
      <c r="F392" s="234" t="s">
        <v>642</v>
      </c>
      <c r="G392" s="173" t="s">
        <v>194</v>
      </c>
      <c r="H392" s="173">
        <v>1.0</v>
      </c>
      <c r="I392" s="173"/>
      <c r="J392" s="199">
        <v>0.0</v>
      </c>
      <c r="K392" s="206">
        <f>vlookup($D392,Python!$D$2:$F$1000,3,FALSE)</f>
        <v>900.6</v>
      </c>
      <c r="L392" s="199">
        <v>4500000.0</v>
      </c>
      <c r="M392" s="173"/>
      <c r="N392" s="199" t="s">
        <v>585</v>
      </c>
      <c r="O392" s="173"/>
      <c r="P392" s="173" t="s">
        <v>585</v>
      </c>
      <c r="Q392" s="173"/>
      <c r="R392" s="173" t="s">
        <v>585</v>
      </c>
      <c r="S392" s="173"/>
      <c r="T392" s="173" t="s">
        <v>585</v>
      </c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</row>
    <row r="393">
      <c r="A393" s="207">
        <v>226.0</v>
      </c>
      <c r="B393" s="196" t="s">
        <v>509</v>
      </c>
      <c r="C393" s="196" t="s">
        <v>422</v>
      </c>
      <c r="D393" s="232" t="s">
        <v>1053</v>
      </c>
      <c r="E393" s="233">
        <v>44410.0</v>
      </c>
      <c r="F393" s="234" t="s">
        <v>642</v>
      </c>
      <c r="G393" s="173" t="s">
        <v>194</v>
      </c>
      <c r="H393" s="173">
        <v>1.0</v>
      </c>
      <c r="I393" s="173"/>
      <c r="J393" s="199">
        <v>0.0</v>
      </c>
      <c r="K393" s="206">
        <f>vlookup($D393,Python!$D$2:$F$1000,3,FALSE)</f>
        <v>1100</v>
      </c>
      <c r="L393" s="199">
        <v>5500000.0</v>
      </c>
      <c r="M393" s="173"/>
      <c r="N393" s="199" t="s">
        <v>585</v>
      </c>
      <c r="O393" s="173"/>
      <c r="P393" s="173" t="s">
        <v>585</v>
      </c>
      <c r="Q393" s="173"/>
      <c r="R393" s="173" t="s">
        <v>585</v>
      </c>
      <c r="S393" s="173"/>
      <c r="T393" s="173" t="s">
        <v>585</v>
      </c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</row>
    <row r="394">
      <c r="A394" s="207">
        <v>227.0</v>
      </c>
      <c r="B394" s="196" t="s">
        <v>509</v>
      </c>
      <c r="C394" s="196" t="s">
        <v>422</v>
      </c>
      <c r="D394" s="232" t="s">
        <v>1054</v>
      </c>
      <c r="E394" s="233">
        <v>44410.0</v>
      </c>
      <c r="F394" s="234" t="s">
        <v>642</v>
      </c>
      <c r="G394" s="173" t="s">
        <v>194</v>
      </c>
      <c r="H394" s="173">
        <v>1.0</v>
      </c>
      <c r="I394" s="173"/>
      <c r="J394" s="199">
        <v>0.0</v>
      </c>
      <c r="K394" s="206">
        <f>vlookup($D394,Python!$D$2:$F$1000,3,FALSE)</f>
        <v>328.9</v>
      </c>
      <c r="L394" s="199">
        <v>1500000.0</v>
      </c>
      <c r="M394" s="173"/>
      <c r="N394" s="199" t="s">
        <v>585</v>
      </c>
      <c r="O394" s="173"/>
      <c r="P394" s="173" t="s">
        <v>585</v>
      </c>
      <c r="Q394" s="173"/>
      <c r="R394" s="173" t="s">
        <v>585</v>
      </c>
      <c r="S394" s="173"/>
      <c r="T394" s="173" t="s">
        <v>585</v>
      </c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</row>
    <row r="395">
      <c r="A395" s="207">
        <v>228.0</v>
      </c>
      <c r="B395" s="196" t="s">
        <v>509</v>
      </c>
      <c r="C395" s="196" t="s">
        <v>422</v>
      </c>
      <c r="D395" s="232" t="s">
        <v>1055</v>
      </c>
      <c r="E395" s="233">
        <v>44412.0</v>
      </c>
      <c r="F395" s="234" t="s">
        <v>642</v>
      </c>
      <c r="G395" s="173" t="s">
        <v>194</v>
      </c>
      <c r="H395" s="173">
        <v>1.0</v>
      </c>
      <c r="I395" s="173"/>
      <c r="J395" s="199">
        <v>0.0</v>
      </c>
      <c r="K395" s="206">
        <f>vlookup($D395,Python!$D$2:$F$1000,3,FALSE)</f>
        <v>722.9</v>
      </c>
      <c r="L395" s="199">
        <v>3500000.0</v>
      </c>
      <c r="M395" s="173"/>
      <c r="N395" s="199" t="s">
        <v>585</v>
      </c>
      <c r="O395" s="173"/>
      <c r="P395" s="173" t="s">
        <v>585</v>
      </c>
      <c r="Q395" s="173"/>
      <c r="R395" s="173" t="s">
        <v>585</v>
      </c>
      <c r="S395" s="173"/>
      <c r="T395" s="173" t="s">
        <v>585</v>
      </c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</row>
    <row r="396">
      <c r="A396" s="207">
        <v>229.0</v>
      </c>
      <c r="B396" s="196" t="s">
        <v>509</v>
      </c>
      <c r="C396" s="196" t="s">
        <v>422</v>
      </c>
      <c r="D396" s="232" t="s">
        <v>1056</v>
      </c>
      <c r="E396" s="233">
        <v>44414.0</v>
      </c>
      <c r="F396" s="234" t="s">
        <v>647</v>
      </c>
      <c r="G396" s="173" t="s">
        <v>194</v>
      </c>
      <c r="H396" s="173">
        <v>1.0</v>
      </c>
      <c r="I396" s="173"/>
      <c r="J396" s="199">
        <v>0.0</v>
      </c>
      <c r="K396" s="206">
        <f>vlookup($D396,Python!$D$2:$F$1000,3,FALSE)</f>
        <v>1000</v>
      </c>
      <c r="L396" s="199">
        <v>5000000.0</v>
      </c>
      <c r="M396" s="173"/>
      <c r="N396" s="199" t="s">
        <v>585</v>
      </c>
      <c r="O396" s="173"/>
      <c r="P396" s="173" t="s">
        <v>585</v>
      </c>
      <c r="Q396" s="173"/>
      <c r="R396" s="173" t="s">
        <v>585</v>
      </c>
      <c r="S396" s="173"/>
      <c r="T396" s="173" t="s">
        <v>585</v>
      </c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</row>
    <row r="397">
      <c r="A397" s="207">
        <v>230.0</v>
      </c>
      <c r="B397" s="196" t="s">
        <v>509</v>
      </c>
      <c r="C397" s="196" t="s">
        <v>422</v>
      </c>
      <c r="D397" s="232" t="s">
        <v>1057</v>
      </c>
      <c r="E397" s="233">
        <v>44418.0</v>
      </c>
      <c r="F397" s="234" t="s">
        <v>647</v>
      </c>
      <c r="G397" s="173" t="s">
        <v>194</v>
      </c>
      <c r="H397" s="173">
        <v>1.0</v>
      </c>
      <c r="I397" s="173"/>
      <c r="J397" s="199">
        <v>0.0</v>
      </c>
      <c r="K397" s="206">
        <f>vlookup($D397,Python!$D$2:$F$1000,3,FALSE)</f>
        <v>292</v>
      </c>
      <c r="L397" s="199">
        <v>1000000.0</v>
      </c>
      <c r="M397" s="173"/>
      <c r="N397" s="199" t="s">
        <v>585</v>
      </c>
      <c r="O397" s="173"/>
      <c r="P397" s="173" t="s">
        <v>585</v>
      </c>
      <c r="Q397" s="173"/>
      <c r="R397" s="173" t="s">
        <v>585</v>
      </c>
      <c r="S397" s="173"/>
      <c r="T397" s="173" t="s">
        <v>585</v>
      </c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</row>
    <row r="398">
      <c r="A398" s="207">
        <v>231.0</v>
      </c>
      <c r="B398" s="196" t="s">
        <v>509</v>
      </c>
      <c r="C398" s="196" t="s">
        <v>422</v>
      </c>
      <c r="D398" s="232" t="s">
        <v>1058</v>
      </c>
      <c r="E398" s="233">
        <v>44422.0</v>
      </c>
      <c r="F398" s="234" t="s">
        <v>642</v>
      </c>
      <c r="G398" s="173" t="s">
        <v>194</v>
      </c>
      <c r="H398" s="173">
        <v>1.0</v>
      </c>
      <c r="I398" s="173"/>
      <c r="J398" s="199">
        <v>0.0</v>
      </c>
      <c r="K398" s="206">
        <f>vlookup($D398,Python!$D$2:$F$1000,3,FALSE)</f>
        <v>321.8</v>
      </c>
      <c r="L398" s="199">
        <v>1500000.0</v>
      </c>
      <c r="M398" s="173"/>
      <c r="N398" s="199" t="s">
        <v>585</v>
      </c>
      <c r="O398" s="173"/>
      <c r="P398" s="173" t="s">
        <v>585</v>
      </c>
      <c r="Q398" s="173"/>
      <c r="R398" s="173" t="s">
        <v>585</v>
      </c>
      <c r="S398" s="173"/>
      <c r="T398" s="173" t="s">
        <v>585</v>
      </c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</row>
    <row r="399">
      <c r="A399" s="207">
        <v>232.0</v>
      </c>
      <c r="B399" s="196" t="s">
        <v>1059</v>
      </c>
      <c r="C399" s="196" t="s">
        <v>422</v>
      </c>
      <c r="D399" s="232" t="s">
        <v>1060</v>
      </c>
      <c r="E399" s="233">
        <v>44403.0</v>
      </c>
      <c r="F399" s="234" t="s">
        <v>641</v>
      </c>
      <c r="G399" s="173" t="s">
        <v>194</v>
      </c>
      <c r="H399" s="173">
        <v>1.0</v>
      </c>
      <c r="I399" s="173"/>
      <c r="J399" s="199">
        <v>0.0</v>
      </c>
      <c r="K399" s="206">
        <f>vlookup($D399,Python!$D$2:$F$1000,3,FALSE)</f>
        <v>33.3</v>
      </c>
      <c r="L399" s="199">
        <v>0.0</v>
      </c>
      <c r="M399" s="173"/>
      <c r="N399" s="199" t="s">
        <v>585</v>
      </c>
      <c r="O399" s="173"/>
      <c r="P399" s="173" t="s">
        <v>585</v>
      </c>
      <c r="Q399" s="173"/>
      <c r="R399" s="173" t="s">
        <v>585</v>
      </c>
      <c r="S399" s="173"/>
      <c r="T399" s="173" t="s">
        <v>585</v>
      </c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</row>
    <row r="400">
      <c r="A400" s="207">
        <v>233.0</v>
      </c>
      <c r="B400" s="196" t="s">
        <v>1059</v>
      </c>
      <c r="C400" s="196" t="s">
        <v>422</v>
      </c>
      <c r="D400" s="232" t="s">
        <v>1061</v>
      </c>
      <c r="E400" s="233">
        <v>44404.0</v>
      </c>
      <c r="F400" s="234" t="s">
        <v>642</v>
      </c>
      <c r="G400" s="173" t="s">
        <v>194</v>
      </c>
      <c r="H400" s="173">
        <v>1.0</v>
      </c>
      <c r="I400" s="173"/>
      <c r="J400" s="199">
        <v>0.0</v>
      </c>
      <c r="K400" s="206">
        <f>vlookup($D400,Python!$D$2:$F$1000,3,FALSE)</f>
        <v>137</v>
      </c>
      <c r="L400" s="199">
        <v>500000.0</v>
      </c>
      <c r="M400" s="173"/>
      <c r="N400" s="199" t="s">
        <v>585</v>
      </c>
      <c r="O400" s="173"/>
      <c r="P400" s="173" t="s">
        <v>585</v>
      </c>
      <c r="Q400" s="173"/>
      <c r="R400" s="173" t="s">
        <v>585</v>
      </c>
      <c r="S400" s="173"/>
      <c r="T400" s="173" t="s">
        <v>585</v>
      </c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</row>
    <row r="401">
      <c r="A401" s="207">
        <v>234.0</v>
      </c>
      <c r="B401" s="196" t="s">
        <v>1059</v>
      </c>
      <c r="C401" s="196" t="s">
        <v>422</v>
      </c>
      <c r="D401" s="232" t="s">
        <v>1062</v>
      </c>
      <c r="E401" s="233">
        <v>44406.0</v>
      </c>
      <c r="F401" s="234" t="s">
        <v>642</v>
      </c>
      <c r="G401" s="173" t="s">
        <v>194</v>
      </c>
      <c r="H401" s="173">
        <v>1.0</v>
      </c>
      <c r="I401" s="173"/>
      <c r="J401" s="199">
        <v>0.0</v>
      </c>
      <c r="K401" s="206">
        <f>vlookup($D401,Python!$D$2:$F$1000,3,FALSE)</f>
        <v>21</v>
      </c>
      <c r="L401" s="199">
        <v>0.0</v>
      </c>
      <c r="M401" s="173"/>
      <c r="N401" s="199" t="s">
        <v>585</v>
      </c>
      <c r="O401" s="173"/>
      <c r="P401" s="173" t="s">
        <v>585</v>
      </c>
      <c r="Q401" s="173"/>
      <c r="R401" s="173" t="s">
        <v>585</v>
      </c>
      <c r="S401" s="173"/>
      <c r="T401" s="173" t="s">
        <v>585</v>
      </c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</row>
    <row r="402">
      <c r="A402" s="207">
        <v>235.0</v>
      </c>
      <c r="B402" s="196" t="s">
        <v>508</v>
      </c>
      <c r="C402" s="196" t="s">
        <v>422</v>
      </c>
      <c r="D402" s="232" t="s">
        <v>1063</v>
      </c>
      <c r="E402" s="233">
        <v>44413.0</v>
      </c>
      <c r="F402" s="234" t="s">
        <v>647</v>
      </c>
      <c r="G402" s="173" t="s">
        <v>194</v>
      </c>
      <c r="H402" s="173">
        <v>1.0</v>
      </c>
      <c r="I402" s="173"/>
      <c r="J402" s="199">
        <v>0.0</v>
      </c>
      <c r="K402" s="206">
        <f>vlookup($D402,Python!$D$2:$F$1000,3,FALSE)</f>
        <v>237.2</v>
      </c>
      <c r="L402" s="199">
        <v>1000000.0</v>
      </c>
      <c r="M402" s="173"/>
      <c r="N402" s="199" t="s">
        <v>585</v>
      </c>
      <c r="O402" s="173"/>
      <c r="P402" s="173" t="s">
        <v>585</v>
      </c>
      <c r="Q402" s="173"/>
      <c r="R402" s="173" t="s">
        <v>585</v>
      </c>
      <c r="S402" s="173"/>
      <c r="T402" s="173" t="s">
        <v>585</v>
      </c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</row>
    <row r="403">
      <c r="A403" s="207">
        <v>236.0</v>
      </c>
      <c r="B403" s="196" t="s">
        <v>508</v>
      </c>
      <c r="C403" s="196" t="s">
        <v>422</v>
      </c>
      <c r="D403" s="232" t="s">
        <v>1064</v>
      </c>
      <c r="E403" s="233">
        <v>44413.0</v>
      </c>
      <c r="F403" s="234" t="s">
        <v>647</v>
      </c>
      <c r="G403" s="173" t="s">
        <v>194</v>
      </c>
      <c r="H403" s="173">
        <v>1.0</v>
      </c>
      <c r="I403" s="173"/>
      <c r="J403" s="199">
        <v>0.0</v>
      </c>
      <c r="K403" s="206">
        <f>vlookup($D403,Python!$D$2:$F$1000,3,FALSE)</f>
        <v>341.4</v>
      </c>
      <c r="L403" s="199">
        <v>1500000.0</v>
      </c>
      <c r="M403" s="173"/>
      <c r="N403" s="199" t="s">
        <v>585</v>
      </c>
      <c r="O403" s="173"/>
      <c r="P403" s="173" t="s">
        <v>585</v>
      </c>
      <c r="Q403" s="173"/>
      <c r="R403" s="173" t="s">
        <v>585</v>
      </c>
      <c r="S403" s="173"/>
      <c r="T403" s="173" t="s">
        <v>585</v>
      </c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</row>
    <row r="404">
      <c r="A404" s="207">
        <v>237.0</v>
      </c>
      <c r="B404" s="196" t="s">
        <v>511</v>
      </c>
      <c r="C404" s="196" t="s">
        <v>422</v>
      </c>
      <c r="D404" s="232" t="s">
        <v>1065</v>
      </c>
      <c r="E404" s="233">
        <v>44403.0</v>
      </c>
      <c r="F404" s="234" t="s">
        <v>642</v>
      </c>
      <c r="G404" s="173" t="s">
        <v>194</v>
      </c>
      <c r="H404" s="173">
        <v>1.0</v>
      </c>
      <c r="I404" s="173"/>
      <c r="J404" s="199">
        <v>0.0</v>
      </c>
      <c r="K404" s="206">
        <f>vlookup($D404,Python!$D$2:$F$1000,3,FALSE)</f>
        <v>15.8</v>
      </c>
      <c r="L404" s="199">
        <v>0.0</v>
      </c>
      <c r="M404" s="173"/>
      <c r="N404" s="199" t="s">
        <v>585</v>
      </c>
      <c r="O404" s="173"/>
      <c r="P404" s="173" t="s">
        <v>585</v>
      </c>
      <c r="Q404" s="173"/>
      <c r="R404" s="173" t="s">
        <v>585</v>
      </c>
      <c r="S404" s="173"/>
      <c r="T404" s="173" t="s">
        <v>585</v>
      </c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</row>
    <row r="405">
      <c r="A405" s="207">
        <v>238.0</v>
      </c>
      <c r="B405" s="196" t="s">
        <v>511</v>
      </c>
      <c r="C405" s="196" t="s">
        <v>422</v>
      </c>
      <c r="D405" s="232" t="s">
        <v>1066</v>
      </c>
      <c r="E405" s="233">
        <v>44403.0</v>
      </c>
      <c r="F405" s="234" t="s">
        <v>647</v>
      </c>
      <c r="G405" s="173" t="s">
        <v>194</v>
      </c>
      <c r="H405" s="173">
        <v>1.0</v>
      </c>
      <c r="I405" s="173"/>
      <c r="J405" s="199">
        <v>0.0</v>
      </c>
      <c r="K405" s="206">
        <f>vlookup($D405,Python!$D$2:$F$1000,3,FALSE)</f>
        <v>15.1</v>
      </c>
      <c r="L405" s="199">
        <v>0.0</v>
      </c>
      <c r="M405" s="173"/>
      <c r="N405" s="199" t="s">
        <v>585</v>
      </c>
      <c r="O405" s="173"/>
      <c r="P405" s="173" t="s">
        <v>585</v>
      </c>
      <c r="Q405" s="173"/>
      <c r="R405" s="173" t="s">
        <v>585</v>
      </c>
      <c r="S405" s="173"/>
      <c r="T405" s="173" t="s">
        <v>585</v>
      </c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</row>
    <row r="406">
      <c r="A406" s="207">
        <v>239.0</v>
      </c>
      <c r="B406" s="196" t="s">
        <v>511</v>
      </c>
      <c r="C406" s="196" t="s">
        <v>422</v>
      </c>
      <c r="D406" s="232" t="s">
        <v>1067</v>
      </c>
      <c r="E406" s="233">
        <v>44403.0</v>
      </c>
      <c r="F406" s="234" t="s">
        <v>642</v>
      </c>
      <c r="G406" s="173" t="s">
        <v>194</v>
      </c>
      <c r="H406" s="173">
        <v>1.0</v>
      </c>
      <c r="I406" s="173"/>
      <c r="J406" s="199">
        <v>0.0</v>
      </c>
      <c r="K406" s="206">
        <f>vlookup($D406,Python!$D$2:$F$1000,3,FALSE)</f>
        <v>18.2</v>
      </c>
      <c r="L406" s="199">
        <v>0.0</v>
      </c>
      <c r="M406" s="173"/>
      <c r="N406" s="199" t="s">
        <v>585</v>
      </c>
      <c r="O406" s="173"/>
      <c r="P406" s="173" t="s">
        <v>585</v>
      </c>
      <c r="Q406" s="173"/>
      <c r="R406" s="173" t="s">
        <v>585</v>
      </c>
      <c r="S406" s="173"/>
      <c r="T406" s="173" t="s">
        <v>585</v>
      </c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</row>
    <row r="407">
      <c r="A407" s="207">
        <v>240.0</v>
      </c>
      <c r="B407" s="196" t="s">
        <v>511</v>
      </c>
      <c r="C407" s="196" t="s">
        <v>422</v>
      </c>
      <c r="D407" s="232" t="s">
        <v>1068</v>
      </c>
      <c r="E407" s="233">
        <v>44404.0</v>
      </c>
      <c r="F407" s="234" t="s">
        <v>642</v>
      </c>
      <c r="G407" s="173" t="s">
        <v>194</v>
      </c>
      <c r="H407" s="173">
        <v>1.0</v>
      </c>
      <c r="I407" s="173"/>
      <c r="J407" s="199">
        <v>0.0</v>
      </c>
      <c r="K407" s="206">
        <f>vlookup($D407,Python!$D$2:$F$1000,3,FALSE)</f>
        <v>39.5</v>
      </c>
      <c r="L407" s="199">
        <v>0.0</v>
      </c>
      <c r="M407" s="173"/>
      <c r="N407" s="199" t="s">
        <v>585</v>
      </c>
      <c r="O407" s="173"/>
      <c r="P407" s="173" t="s">
        <v>585</v>
      </c>
      <c r="Q407" s="173"/>
      <c r="R407" s="173" t="s">
        <v>585</v>
      </c>
      <c r="S407" s="173"/>
      <c r="T407" s="173" t="s">
        <v>585</v>
      </c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</row>
    <row r="408">
      <c r="A408" s="207">
        <v>241.0</v>
      </c>
      <c r="B408" s="196" t="s">
        <v>513</v>
      </c>
      <c r="C408" s="196" t="s">
        <v>422</v>
      </c>
      <c r="D408" s="232" t="s">
        <v>1069</v>
      </c>
      <c r="E408" s="233">
        <v>44402.0</v>
      </c>
      <c r="F408" s="234" t="s">
        <v>642</v>
      </c>
      <c r="G408" s="173" t="s">
        <v>194</v>
      </c>
      <c r="H408" s="173">
        <v>1.0</v>
      </c>
      <c r="I408" s="173"/>
      <c r="J408" s="199">
        <v>0.0</v>
      </c>
      <c r="K408" s="206">
        <f>vlookup($D408,Python!$D$2:$F$1000,3,FALSE)</f>
        <v>73.4</v>
      </c>
      <c r="L408" s="199">
        <v>0.0</v>
      </c>
      <c r="M408" s="173"/>
      <c r="N408" s="199" t="s">
        <v>585</v>
      </c>
      <c r="O408" s="173"/>
      <c r="P408" s="173" t="s">
        <v>585</v>
      </c>
      <c r="Q408" s="173"/>
      <c r="R408" s="173" t="s">
        <v>585</v>
      </c>
      <c r="S408" s="173"/>
      <c r="T408" s="173" t="s">
        <v>585</v>
      </c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</row>
    <row r="409">
      <c r="A409" s="207">
        <v>242.0</v>
      </c>
      <c r="B409" s="196" t="s">
        <v>513</v>
      </c>
      <c r="C409" s="196" t="s">
        <v>422</v>
      </c>
      <c r="D409" s="232" t="s">
        <v>1070</v>
      </c>
      <c r="E409" s="233">
        <v>44404.0</v>
      </c>
      <c r="F409" s="234" t="s">
        <v>642</v>
      </c>
      <c r="G409" s="173" t="s">
        <v>194</v>
      </c>
      <c r="H409" s="173">
        <v>1.0</v>
      </c>
      <c r="I409" s="173"/>
      <c r="J409" s="199">
        <v>0.0</v>
      </c>
      <c r="K409" s="206">
        <f>vlookup($D409,Python!$D$2:$F$1000,3,FALSE)</f>
        <v>71.2</v>
      </c>
      <c r="L409" s="199">
        <v>0.0</v>
      </c>
      <c r="M409" s="173"/>
      <c r="N409" s="199" t="s">
        <v>585</v>
      </c>
      <c r="O409" s="173"/>
      <c r="P409" s="173" t="s">
        <v>585</v>
      </c>
      <c r="Q409" s="173"/>
      <c r="R409" s="173" t="s">
        <v>585</v>
      </c>
      <c r="S409" s="173"/>
      <c r="T409" s="173" t="s">
        <v>585</v>
      </c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</row>
    <row r="410">
      <c r="A410" s="207">
        <v>243.0</v>
      </c>
      <c r="B410" s="196" t="s">
        <v>513</v>
      </c>
      <c r="C410" s="196" t="s">
        <v>422</v>
      </c>
      <c r="D410" s="232" t="s">
        <v>1071</v>
      </c>
      <c r="E410" s="233">
        <v>44406.0</v>
      </c>
      <c r="F410" s="234" t="s">
        <v>642</v>
      </c>
      <c r="G410" s="173" t="s">
        <v>194</v>
      </c>
      <c r="H410" s="173">
        <v>1.0</v>
      </c>
      <c r="I410" s="173"/>
      <c r="J410" s="199">
        <v>0.0</v>
      </c>
      <c r="K410" s="206">
        <f>vlookup($D410,Python!$D$2:$F$1000,3,FALSE)</f>
        <v>40.7</v>
      </c>
      <c r="L410" s="199">
        <v>0.0</v>
      </c>
      <c r="M410" s="173"/>
      <c r="N410" s="199" t="s">
        <v>585</v>
      </c>
      <c r="O410" s="173"/>
      <c r="P410" s="173" t="s">
        <v>585</v>
      </c>
      <c r="Q410" s="173"/>
      <c r="R410" s="173" t="s">
        <v>585</v>
      </c>
      <c r="S410" s="173"/>
      <c r="T410" s="173" t="s">
        <v>585</v>
      </c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</row>
    <row r="411">
      <c r="A411" s="207">
        <v>244.0</v>
      </c>
      <c r="B411" s="196" t="s">
        <v>513</v>
      </c>
      <c r="C411" s="196" t="s">
        <v>422</v>
      </c>
      <c r="D411" s="232" t="s">
        <v>1072</v>
      </c>
      <c r="E411" s="233">
        <v>44388.0</v>
      </c>
      <c r="F411" s="234" t="s">
        <v>642</v>
      </c>
      <c r="G411" s="173" t="s">
        <v>194</v>
      </c>
      <c r="H411" s="173">
        <v>1.0</v>
      </c>
      <c r="I411" s="173"/>
      <c r="J411" s="199">
        <v>0.0</v>
      </c>
      <c r="K411" s="206">
        <f>vlookup($D411,Python!$D$2:$F$1000,3,FALSE)</f>
        <v>209.7</v>
      </c>
      <c r="L411" s="199">
        <v>1000000.0</v>
      </c>
      <c r="M411" s="173"/>
      <c r="N411" s="199" t="s">
        <v>585</v>
      </c>
      <c r="O411" s="173"/>
      <c r="P411" s="173" t="s">
        <v>585</v>
      </c>
      <c r="Q411" s="173"/>
      <c r="R411" s="173" t="s">
        <v>585</v>
      </c>
      <c r="S411" s="173"/>
      <c r="T411" s="173" t="s">
        <v>585</v>
      </c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</row>
    <row r="412">
      <c r="A412" s="207">
        <v>245.0</v>
      </c>
      <c r="B412" s="196" t="s">
        <v>514</v>
      </c>
      <c r="C412" s="196" t="s">
        <v>422</v>
      </c>
      <c r="D412" s="232" t="s">
        <v>1073</v>
      </c>
      <c r="E412" s="233">
        <v>44403.0</v>
      </c>
      <c r="F412" s="234" t="s">
        <v>642</v>
      </c>
      <c r="G412" s="173" t="s">
        <v>194</v>
      </c>
      <c r="H412" s="173">
        <v>1.0</v>
      </c>
      <c r="I412" s="173"/>
      <c r="J412" s="199">
        <v>0.0</v>
      </c>
      <c r="K412" s="206">
        <f>vlookup($D412,Python!$D$2:$F$1000,3,FALSE)</f>
        <v>2000</v>
      </c>
      <c r="L412" s="199">
        <v>1.0E7</v>
      </c>
      <c r="M412" s="173"/>
      <c r="N412" s="199" t="s">
        <v>585</v>
      </c>
      <c r="O412" s="173"/>
      <c r="P412" s="173" t="s">
        <v>585</v>
      </c>
      <c r="Q412" s="173"/>
      <c r="R412" s="173" t="s">
        <v>585</v>
      </c>
      <c r="S412" s="173"/>
      <c r="T412" s="173" t="s">
        <v>585</v>
      </c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</row>
    <row r="413">
      <c r="A413" s="207">
        <v>246.0</v>
      </c>
      <c r="B413" s="196" t="s">
        <v>514</v>
      </c>
      <c r="C413" s="196" t="s">
        <v>422</v>
      </c>
      <c r="D413" s="232" t="s">
        <v>1074</v>
      </c>
      <c r="E413" s="233">
        <v>44408.0</v>
      </c>
      <c r="F413" s="234" t="s">
        <v>642</v>
      </c>
      <c r="G413" s="173" t="s">
        <v>194</v>
      </c>
      <c r="H413" s="173">
        <v>1.0</v>
      </c>
      <c r="I413" s="173"/>
      <c r="J413" s="199">
        <v>0.0</v>
      </c>
      <c r="K413" s="206">
        <f>vlookup($D413,Python!$D$2:$F$1000,3,FALSE)</f>
        <v>681.3</v>
      </c>
      <c r="L413" s="199">
        <v>3000000.0</v>
      </c>
      <c r="M413" s="173"/>
      <c r="N413" s="199" t="s">
        <v>585</v>
      </c>
      <c r="O413" s="173"/>
      <c r="P413" s="173" t="s">
        <v>585</v>
      </c>
      <c r="Q413" s="173"/>
      <c r="R413" s="173" t="s">
        <v>585</v>
      </c>
      <c r="S413" s="173"/>
      <c r="T413" s="173" t="s">
        <v>585</v>
      </c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</row>
    <row r="414">
      <c r="A414" s="207">
        <v>247.0</v>
      </c>
      <c r="B414" s="196" t="s">
        <v>514</v>
      </c>
      <c r="C414" s="196" t="s">
        <v>422</v>
      </c>
      <c r="D414" s="232" t="s">
        <v>1075</v>
      </c>
      <c r="E414" s="233">
        <v>44413.0</v>
      </c>
      <c r="F414" s="234" t="s">
        <v>647</v>
      </c>
      <c r="G414" s="173" t="s">
        <v>194</v>
      </c>
      <c r="H414" s="173">
        <v>1.0</v>
      </c>
      <c r="I414" s="173"/>
      <c r="J414" s="199">
        <v>0.0</v>
      </c>
      <c r="K414" s="206">
        <f>vlookup($D414,Python!$D$2:$F$1000,3,FALSE)</f>
        <v>170.4</v>
      </c>
      <c r="L414" s="199">
        <v>500000.0</v>
      </c>
      <c r="M414" s="173"/>
      <c r="N414" s="199" t="s">
        <v>585</v>
      </c>
      <c r="O414" s="173"/>
      <c r="P414" s="173" t="s">
        <v>585</v>
      </c>
      <c r="Q414" s="173"/>
      <c r="R414" s="173" t="s">
        <v>585</v>
      </c>
      <c r="S414" s="173"/>
      <c r="T414" s="173" t="s">
        <v>585</v>
      </c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</row>
    <row r="415">
      <c r="A415" s="207">
        <v>248.0</v>
      </c>
      <c r="B415" s="196" t="s">
        <v>514</v>
      </c>
      <c r="C415" s="196" t="s">
        <v>422</v>
      </c>
      <c r="D415" s="232" t="s">
        <v>1076</v>
      </c>
      <c r="E415" s="233">
        <v>44415.0</v>
      </c>
      <c r="F415" s="234" t="s">
        <v>641</v>
      </c>
      <c r="G415" s="173" t="s">
        <v>194</v>
      </c>
      <c r="H415" s="173">
        <v>1.0</v>
      </c>
      <c r="I415" s="173"/>
      <c r="J415" s="199">
        <v>0.0</v>
      </c>
      <c r="K415" s="206">
        <f>vlookup($D415,Python!$D$2:$F$1000,3,FALSE)</f>
        <v>398.1</v>
      </c>
      <c r="L415" s="199">
        <v>1500000.0</v>
      </c>
      <c r="M415" s="173"/>
      <c r="N415" s="199" t="s">
        <v>585</v>
      </c>
      <c r="O415" s="173"/>
      <c r="P415" s="173" t="s">
        <v>585</v>
      </c>
      <c r="Q415" s="173"/>
      <c r="R415" s="173" t="s">
        <v>585</v>
      </c>
      <c r="S415" s="173"/>
      <c r="T415" s="173" t="s">
        <v>585</v>
      </c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</row>
    <row r="416">
      <c r="A416" s="207">
        <v>249.0</v>
      </c>
      <c r="B416" s="196" t="s">
        <v>514</v>
      </c>
      <c r="C416" s="196" t="s">
        <v>422</v>
      </c>
      <c r="D416" s="232" t="s">
        <v>1077</v>
      </c>
      <c r="E416" s="233">
        <v>44420.0</v>
      </c>
      <c r="F416" s="234" t="s">
        <v>647</v>
      </c>
      <c r="G416" s="173" t="s">
        <v>194</v>
      </c>
      <c r="H416" s="173">
        <v>1.0</v>
      </c>
      <c r="I416" s="173"/>
      <c r="J416" s="199">
        <v>0.0</v>
      </c>
      <c r="K416" s="206">
        <f>vlookup($D416,Python!$D$2:$F$1000,3,FALSE)</f>
        <v>3700</v>
      </c>
      <c r="L416" s="199">
        <v>1.85E7</v>
      </c>
      <c r="M416" s="173"/>
      <c r="N416" s="199" t="s">
        <v>585</v>
      </c>
      <c r="O416" s="173"/>
      <c r="P416" s="173" t="s">
        <v>585</v>
      </c>
      <c r="Q416" s="173"/>
      <c r="R416" s="173" t="s">
        <v>585</v>
      </c>
      <c r="S416" s="173"/>
      <c r="T416" s="173" t="s">
        <v>585</v>
      </c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</row>
    <row r="417">
      <c r="A417" s="207">
        <v>250.0</v>
      </c>
      <c r="B417" s="279" t="s">
        <v>515</v>
      </c>
      <c r="C417" s="279" t="s">
        <v>422</v>
      </c>
      <c r="D417" s="280" t="s">
        <v>1078</v>
      </c>
      <c r="E417" s="281">
        <v>44403.0</v>
      </c>
      <c r="F417" s="282" t="s">
        <v>642</v>
      </c>
      <c r="G417" s="283" t="s">
        <v>194</v>
      </c>
      <c r="H417" s="283">
        <v>1.0</v>
      </c>
      <c r="I417" s="284"/>
      <c r="J417" s="285">
        <v>0.0</v>
      </c>
      <c r="K417" s="286">
        <f>vlookup($D417,Python!$D$2:$F$1000,3,FALSE)</f>
        <v>124.7</v>
      </c>
      <c r="L417" s="285">
        <v>500000.0</v>
      </c>
      <c r="M417" s="284"/>
      <c r="N417" s="285" t="s">
        <v>585</v>
      </c>
      <c r="O417" s="284"/>
      <c r="P417" s="283" t="s">
        <v>585</v>
      </c>
      <c r="Q417" s="284"/>
      <c r="R417" s="283" t="s">
        <v>585</v>
      </c>
      <c r="S417" s="284"/>
      <c r="T417" s="283" t="s">
        <v>585</v>
      </c>
      <c r="U417" s="284"/>
      <c r="V417" s="284"/>
      <c r="W417" s="284"/>
      <c r="X417" s="284"/>
      <c r="Y417" s="284"/>
      <c r="Z417" s="284"/>
      <c r="AA417" s="284"/>
      <c r="AB417" s="284"/>
      <c r="AC417" s="284"/>
      <c r="AD417" s="284"/>
      <c r="AE417" s="284"/>
      <c r="AF417" s="284"/>
    </row>
    <row r="418">
      <c r="A418" s="207">
        <v>251.0</v>
      </c>
      <c r="B418" s="196" t="s">
        <v>517</v>
      </c>
      <c r="C418" s="196" t="s">
        <v>422</v>
      </c>
      <c r="D418" s="232" t="s">
        <v>1079</v>
      </c>
      <c r="E418" s="233">
        <v>44409.0</v>
      </c>
      <c r="F418" s="234" t="s">
        <v>642</v>
      </c>
      <c r="G418" s="173" t="s">
        <v>194</v>
      </c>
      <c r="H418" s="173">
        <v>1.0</v>
      </c>
      <c r="I418" s="173"/>
      <c r="J418" s="199">
        <v>0.0</v>
      </c>
      <c r="K418" s="206">
        <f>vlookup($D418,Python!$D$2:$F$1000,3,FALSE)</f>
        <v>371.6</v>
      </c>
      <c r="L418" s="199">
        <v>1500000.0</v>
      </c>
      <c r="M418" s="173"/>
      <c r="N418" s="199" t="s">
        <v>585</v>
      </c>
      <c r="O418" s="173"/>
      <c r="P418" s="173" t="s">
        <v>585</v>
      </c>
      <c r="Q418" s="173"/>
      <c r="R418" s="173" t="s">
        <v>585</v>
      </c>
      <c r="S418" s="173"/>
      <c r="T418" s="173" t="s">
        <v>585</v>
      </c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</row>
    <row r="419">
      <c r="A419" s="207">
        <v>252.0</v>
      </c>
      <c r="B419" s="196" t="s">
        <v>517</v>
      </c>
      <c r="C419" s="196" t="s">
        <v>422</v>
      </c>
      <c r="D419" s="232" t="s">
        <v>1080</v>
      </c>
      <c r="E419" s="233">
        <v>44411.0</v>
      </c>
      <c r="F419" s="234" t="s">
        <v>642</v>
      </c>
      <c r="G419" s="173" t="s">
        <v>194</v>
      </c>
      <c r="H419" s="173">
        <v>1.0</v>
      </c>
      <c r="I419" s="173"/>
      <c r="J419" s="199">
        <v>0.0</v>
      </c>
      <c r="K419" s="206">
        <f>vlookup($D419,Python!$D$2:$F$1000,3,FALSE)</f>
        <v>1200</v>
      </c>
      <c r="L419" s="199">
        <v>6000000.0</v>
      </c>
      <c r="M419" s="173"/>
      <c r="N419" s="199" t="s">
        <v>585</v>
      </c>
      <c r="O419" s="173"/>
      <c r="P419" s="173" t="s">
        <v>585</v>
      </c>
      <c r="Q419" s="173"/>
      <c r="R419" s="173" t="s">
        <v>585</v>
      </c>
      <c r="S419" s="173"/>
      <c r="T419" s="173" t="s">
        <v>585</v>
      </c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</row>
    <row r="420">
      <c r="A420" s="207">
        <v>253.0</v>
      </c>
      <c r="B420" s="196" t="s">
        <v>517</v>
      </c>
      <c r="C420" s="196" t="s">
        <v>422</v>
      </c>
      <c r="D420" s="232" t="s">
        <v>1081</v>
      </c>
      <c r="E420" s="233">
        <v>44414.0</v>
      </c>
      <c r="F420" s="234" t="s">
        <v>642</v>
      </c>
      <c r="G420" s="173" t="s">
        <v>194</v>
      </c>
      <c r="H420" s="173">
        <v>1.0</v>
      </c>
      <c r="I420" s="173"/>
      <c r="J420" s="199">
        <v>0.0</v>
      </c>
      <c r="K420" s="206">
        <f>vlookup($D420,Python!$D$2:$F$1000,3,FALSE)</f>
        <v>967.1</v>
      </c>
      <c r="L420" s="199">
        <v>4500000.0</v>
      </c>
      <c r="M420" s="173"/>
      <c r="N420" s="199" t="s">
        <v>585</v>
      </c>
      <c r="O420" s="173"/>
      <c r="P420" s="173" t="s">
        <v>585</v>
      </c>
      <c r="Q420" s="173"/>
      <c r="R420" s="173" t="s">
        <v>585</v>
      </c>
      <c r="S420" s="173"/>
      <c r="T420" s="173" t="s">
        <v>585</v>
      </c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</row>
    <row r="421">
      <c r="A421" s="207">
        <v>254.0</v>
      </c>
      <c r="B421" s="196" t="s">
        <v>517</v>
      </c>
      <c r="C421" s="196" t="s">
        <v>422</v>
      </c>
      <c r="D421" s="232" t="s">
        <v>1082</v>
      </c>
      <c r="E421" s="233">
        <v>44425.0</v>
      </c>
      <c r="F421" s="234" t="s">
        <v>642</v>
      </c>
      <c r="G421" s="173" t="s">
        <v>194</v>
      </c>
      <c r="H421" s="173">
        <v>1.0</v>
      </c>
      <c r="I421" s="173"/>
      <c r="J421" s="199">
        <v>0.0</v>
      </c>
      <c r="K421" s="206">
        <f>vlookup($D421,Python!$D$2:$F$1000,3,FALSE)</f>
        <v>15.7</v>
      </c>
      <c r="L421" s="199">
        <v>0.0</v>
      </c>
      <c r="M421" s="173"/>
      <c r="N421" s="199" t="s">
        <v>585</v>
      </c>
      <c r="O421" s="173"/>
      <c r="P421" s="173" t="s">
        <v>585</v>
      </c>
      <c r="Q421" s="173"/>
      <c r="R421" s="173" t="s">
        <v>585</v>
      </c>
      <c r="S421" s="173"/>
      <c r="T421" s="173" t="s">
        <v>585</v>
      </c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</row>
    <row r="422">
      <c r="A422" s="207">
        <v>255.0</v>
      </c>
      <c r="B422" s="196" t="s">
        <v>518</v>
      </c>
      <c r="C422" s="196" t="s">
        <v>422</v>
      </c>
      <c r="D422" s="232" t="s">
        <v>1083</v>
      </c>
      <c r="E422" s="233">
        <v>44402.0</v>
      </c>
      <c r="F422" s="234" t="s">
        <v>647</v>
      </c>
      <c r="G422" s="173" t="s">
        <v>194</v>
      </c>
      <c r="H422" s="173">
        <v>1.0</v>
      </c>
      <c r="I422" s="173"/>
      <c r="J422" s="199">
        <v>0.0</v>
      </c>
      <c r="K422" s="206">
        <f>vlookup($D422,Python!$D$2:$F$1000,3,FALSE)</f>
        <v>38.2</v>
      </c>
      <c r="L422" s="199">
        <v>0.0</v>
      </c>
      <c r="M422" s="173"/>
      <c r="N422" s="199" t="s">
        <v>585</v>
      </c>
      <c r="O422" s="173"/>
      <c r="P422" s="173" t="s">
        <v>585</v>
      </c>
      <c r="Q422" s="173"/>
      <c r="R422" s="173" t="s">
        <v>585</v>
      </c>
      <c r="S422" s="173"/>
      <c r="T422" s="173" t="s">
        <v>585</v>
      </c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</row>
    <row r="423">
      <c r="A423" s="207">
        <v>256.0</v>
      </c>
      <c r="B423" s="196" t="s">
        <v>518</v>
      </c>
      <c r="C423" s="196" t="s">
        <v>422</v>
      </c>
      <c r="D423" s="232" t="s">
        <v>1084</v>
      </c>
      <c r="E423" s="233">
        <v>44402.0</v>
      </c>
      <c r="F423" s="234" t="s">
        <v>641</v>
      </c>
      <c r="G423" s="173" t="s">
        <v>194</v>
      </c>
      <c r="H423" s="173">
        <v>1.0</v>
      </c>
      <c r="I423" s="173"/>
      <c r="J423" s="199">
        <v>0.0</v>
      </c>
      <c r="K423" s="206">
        <f>vlookup($D423,Python!$D$2:$F$1000,3,FALSE)</f>
        <v>41.4</v>
      </c>
      <c r="L423" s="199">
        <v>0.0</v>
      </c>
      <c r="M423" s="173"/>
      <c r="N423" s="199" t="s">
        <v>585</v>
      </c>
      <c r="O423" s="173"/>
      <c r="P423" s="173" t="s">
        <v>585</v>
      </c>
      <c r="Q423" s="173"/>
      <c r="R423" s="173" t="s">
        <v>585</v>
      </c>
      <c r="S423" s="173"/>
      <c r="T423" s="173" t="s">
        <v>585</v>
      </c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</row>
    <row r="424">
      <c r="A424" s="207">
        <v>257.0</v>
      </c>
      <c r="B424" s="196" t="s">
        <v>518</v>
      </c>
      <c r="C424" s="196" t="s">
        <v>422</v>
      </c>
      <c r="D424" s="232" t="s">
        <v>1085</v>
      </c>
      <c r="E424" s="233">
        <v>44418.0</v>
      </c>
      <c r="F424" s="234" t="s">
        <v>647</v>
      </c>
      <c r="G424" s="173" t="s">
        <v>194</v>
      </c>
      <c r="H424" s="173">
        <v>1.0</v>
      </c>
      <c r="I424" s="173"/>
      <c r="J424" s="199">
        <v>0.0</v>
      </c>
      <c r="K424" s="206">
        <f>vlookup($D424,Python!$D$2:$F$1000,3,FALSE)</f>
        <v>61.1</v>
      </c>
      <c r="L424" s="199">
        <v>0.0</v>
      </c>
      <c r="M424" s="173"/>
      <c r="N424" s="199" t="s">
        <v>585</v>
      </c>
      <c r="O424" s="173"/>
      <c r="P424" s="173" t="s">
        <v>585</v>
      </c>
      <c r="Q424" s="173"/>
      <c r="R424" s="173" t="s">
        <v>585</v>
      </c>
      <c r="S424" s="173"/>
      <c r="T424" s="173" t="s">
        <v>585</v>
      </c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</row>
    <row r="425">
      <c r="A425" s="207">
        <v>258.0</v>
      </c>
      <c r="B425" s="196" t="s">
        <v>520</v>
      </c>
      <c r="C425" s="196" t="s">
        <v>422</v>
      </c>
      <c r="D425" s="232" t="s">
        <v>1086</v>
      </c>
      <c r="E425" s="233">
        <v>44437.0</v>
      </c>
      <c r="F425" s="234" t="s">
        <v>642</v>
      </c>
      <c r="G425" s="173" t="s">
        <v>194</v>
      </c>
      <c r="H425" s="173">
        <v>1.0</v>
      </c>
      <c r="I425" s="173"/>
      <c r="J425" s="199">
        <v>0.0</v>
      </c>
      <c r="K425" s="206">
        <f>vlookup($D425,Python!$D$2:$F$1000,3,FALSE)</f>
        <v>211.6</v>
      </c>
      <c r="L425" s="199">
        <v>1000000.0</v>
      </c>
      <c r="M425" s="173"/>
      <c r="N425" s="199" t="s">
        <v>585</v>
      </c>
      <c r="O425" s="173"/>
      <c r="P425" s="173" t="s">
        <v>585</v>
      </c>
      <c r="Q425" s="173"/>
      <c r="R425" s="173" t="s">
        <v>585</v>
      </c>
      <c r="S425" s="173"/>
      <c r="T425" s="173" t="s">
        <v>585</v>
      </c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</row>
    <row r="426">
      <c r="A426" s="207">
        <v>259.0</v>
      </c>
      <c r="B426" s="196" t="s">
        <v>520</v>
      </c>
      <c r="C426" s="196" t="s">
        <v>422</v>
      </c>
      <c r="D426" s="232" t="s">
        <v>1087</v>
      </c>
      <c r="E426" s="233">
        <v>44437.0</v>
      </c>
      <c r="F426" s="234" t="s">
        <v>642</v>
      </c>
      <c r="G426" s="173" t="s">
        <v>194</v>
      </c>
      <c r="H426" s="173">
        <v>1.0</v>
      </c>
      <c r="I426" s="173"/>
      <c r="J426" s="199">
        <v>0.0</v>
      </c>
      <c r="K426" s="206">
        <f>vlookup($D426,Python!$D$2:$F$1000,3,FALSE)</f>
        <v>187.5</v>
      </c>
      <c r="L426" s="199">
        <v>500000.0</v>
      </c>
      <c r="M426" s="173"/>
      <c r="N426" s="199" t="s">
        <v>585</v>
      </c>
      <c r="O426" s="173"/>
      <c r="P426" s="173" t="s">
        <v>585</v>
      </c>
      <c r="Q426" s="173"/>
      <c r="R426" s="173" t="s">
        <v>585</v>
      </c>
      <c r="S426" s="173"/>
      <c r="T426" s="173" t="s">
        <v>585</v>
      </c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</row>
    <row r="427">
      <c r="A427" s="207">
        <v>260.0</v>
      </c>
      <c r="B427" s="196" t="s">
        <v>520</v>
      </c>
      <c r="C427" s="196" t="s">
        <v>422</v>
      </c>
      <c r="D427" s="232" t="s">
        <v>1088</v>
      </c>
      <c r="E427" s="233">
        <v>44418.0</v>
      </c>
      <c r="F427" s="234" t="s">
        <v>641</v>
      </c>
      <c r="G427" s="173" t="s">
        <v>194</v>
      </c>
      <c r="H427" s="173">
        <v>1.0</v>
      </c>
      <c r="I427" s="173"/>
      <c r="J427" s="199">
        <v>0.0</v>
      </c>
      <c r="K427" s="206">
        <f>vlookup($D427,Python!$D$2:$F$1000,3,FALSE)</f>
        <v>88.2</v>
      </c>
      <c r="L427" s="199">
        <v>0.0</v>
      </c>
      <c r="M427" s="173"/>
      <c r="N427" s="199" t="s">
        <v>585</v>
      </c>
      <c r="O427" s="173"/>
      <c r="P427" s="173" t="s">
        <v>585</v>
      </c>
      <c r="Q427" s="173"/>
      <c r="R427" s="173" t="s">
        <v>585</v>
      </c>
      <c r="S427" s="173"/>
      <c r="T427" s="173" t="s">
        <v>585</v>
      </c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</row>
    <row r="428">
      <c r="A428" s="207">
        <v>261.0</v>
      </c>
      <c r="B428" s="196" t="s">
        <v>1089</v>
      </c>
      <c r="C428" s="196" t="s">
        <v>422</v>
      </c>
      <c r="D428" s="232" t="s">
        <v>1090</v>
      </c>
      <c r="E428" s="233">
        <v>44405.0</v>
      </c>
      <c r="F428" s="234" t="s">
        <v>647</v>
      </c>
      <c r="G428" s="173" t="s">
        <v>194</v>
      </c>
      <c r="H428" s="173">
        <v>1.0</v>
      </c>
      <c r="I428" s="173"/>
      <c r="J428" s="199">
        <v>0.0</v>
      </c>
      <c r="K428" s="206">
        <f>vlookup($D428,Python!$D$2:$F$1000,3,FALSE)</f>
        <v>62.4</v>
      </c>
      <c r="L428" s="199">
        <v>0.0</v>
      </c>
      <c r="M428" s="173"/>
      <c r="N428" s="199" t="s">
        <v>585</v>
      </c>
      <c r="O428" s="173"/>
      <c r="P428" s="173" t="s">
        <v>585</v>
      </c>
      <c r="Q428" s="173"/>
      <c r="R428" s="173" t="s">
        <v>585</v>
      </c>
      <c r="S428" s="173"/>
      <c r="T428" s="173" t="s">
        <v>585</v>
      </c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</row>
    <row r="429">
      <c r="A429" s="207">
        <v>262.0</v>
      </c>
      <c r="B429" s="196" t="s">
        <v>1091</v>
      </c>
      <c r="C429" s="196" t="s">
        <v>422</v>
      </c>
      <c r="D429" s="232" t="s">
        <v>1092</v>
      </c>
      <c r="E429" s="233">
        <v>44418.0</v>
      </c>
      <c r="F429" s="234" t="s">
        <v>641</v>
      </c>
      <c r="G429" s="173" t="s">
        <v>194</v>
      </c>
      <c r="H429" s="173">
        <v>1.0</v>
      </c>
      <c r="I429" s="173"/>
      <c r="J429" s="199">
        <v>0.0</v>
      </c>
      <c r="K429" s="206">
        <f>vlookup($D429,Python!$D$2:$F$1000,3,FALSE)</f>
        <v>11.6</v>
      </c>
      <c r="L429" s="199">
        <v>0.0</v>
      </c>
      <c r="M429" s="173"/>
      <c r="N429" s="199" t="s">
        <v>585</v>
      </c>
      <c r="O429" s="173"/>
      <c r="P429" s="173" t="s">
        <v>585</v>
      </c>
      <c r="Q429" s="173"/>
      <c r="R429" s="173" t="s">
        <v>585</v>
      </c>
      <c r="S429" s="173"/>
      <c r="T429" s="173" t="s">
        <v>585</v>
      </c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</row>
    <row r="430">
      <c r="A430" s="207">
        <v>263.0</v>
      </c>
      <c r="B430" s="196" t="s">
        <v>522</v>
      </c>
      <c r="C430" s="196" t="s">
        <v>422</v>
      </c>
      <c r="D430" s="232" t="s">
        <v>1093</v>
      </c>
      <c r="E430" s="233">
        <v>44410.0</v>
      </c>
      <c r="F430" s="234" t="s">
        <v>642</v>
      </c>
      <c r="G430" s="173" t="s">
        <v>194</v>
      </c>
      <c r="H430" s="173">
        <v>1.0</v>
      </c>
      <c r="I430" s="173"/>
      <c r="J430" s="199">
        <v>0.0</v>
      </c>
      <c r="K430" s="206">
        <f>vlookup($D430,Python!$D$2:$F$1000,3,FALSE)</f>
        <v>3700</v>
      </c>
      <c r="L430" s="199">
        <v>1.85E7</v>
      </c>
      <c r="M430" s="173"/>
      <c r="N430" s="199" t="s">
        <v>585</v>
      </c>
      <c r="O430" s="173"/>
      <c r="P430" s="173" t="s">
        <v>585</v>
      </c>
      <c r="Q430" s="173"/>
      <c r="R430" s="173" t="s">
        <v>585</v>
      </c>
      <c r="S430" s="173"/>
      <c r="T430" s="173" t="s">
        <v>585</v>
      </c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</row>
    <row r="431">
      <c r="A431" s="207">
        <v>264.0</v>
      </c>
      <c r="B431" s="196" t="s">
        <v>522</v>
      </c>
      <c r="C431" s="196" t="s">
        <v>422</v>
      </c>
      <c r="D431" s="232" t="s">
        <v>1094</v>
      </c>
      <c r="E431" s="233">
        <v>44411.0</v>
      </c>
      <c r="F431" s="234" t="s">
        <v>642</v>
      </c>
      <c r="G431" s="173" t="s">
        <v>194</v>
      </c>
      <c r="H431" s="173">
        <v>1.0</v>
      </c>
      <c r="I431" s="173"/>
      <c r="J431" s="199">
        <v>0.0</v>
      </c>
      <c r="K431" s="206">
        <f>vlookup($D431,Python!$D$2:$F$1000,3,FALSE)</f>
        <v>7200</v>
      </c>
      <c r="L431" s="199">
        <v>3.6E7</v>
      </c>
      <c r="M431" s="173"/>
      <c r="N431" s="199" t="s">
        <v>585</v>
      </c>
      <c r="O431" s="173"/>
      <c r="P431" s="173" t="s">
        <v>585</v>
      </c>
      <c r="Q431" s="173"/>
      <c r="R431" s="173" t="s">
        <v>585</v>
      </c>
      <c r="S431" s="173"/>
      <c r="T431" s="173" t="s">
        <v>585</v>
      </c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</row>
    <row r="432">
      <c r="A432" s="207">
        <v>265.0</v>
      </c>
      <c r="B432" s="196" t="s">
        <v>522</v>
      </c>
      <c r="C432" s="196" t="s">
        <v>422</v>
      </c>
      <c r="D432" s="232" t="s">
        <v>1095</v>
      </c>
      <c r="E432" s="233">
        <v>44413.0</v>
      </c>
      <c r="F432" s="234" t="s">
        <v>642</v>
      </c>
      <c r="G432" s="173" t="s">
        <v>194</v>
      </c>
      <c r="H432" s="173">
        <v>1.0</v>
      </c>
      <c r="I432" s="173"/>
      <c r="J432" s="199">
        <v>0.0</v>
      </c>
      <c r="K432" s="206">
        <f>vlookup($D432,Python!$D$2:$F$1000,3,FALSE)</f>
        <v>3100</v>
      </c>
      <c r="L432" s="199">
        <v>1.55E7</v>
      </c>
      <c r="M432" s="173"/>
      <c r="N432" s="199" t="s">
        <v>585</v>
      </c>
      <c r="O432" s="173"/>
      <c r="P432" s="173" t="s">
        <v>585</v>
      </c>
      <c r="Q432" s="173"/>
      <c r="R432" s="173" t="s">
        <v>585</v>
      </c>
      <c r="S432" s="173"/>
      <c r="T432" s="173" t="s">
        <v>585</v>
      </c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</row>
    <row r="433">
      <c r="A433" s="207">
        <v>266.0</v>
      </c>
      <c r="B433" s="196" t="s">
        <v>522</v>
      </c>
      <c r="C433" s="196" t="s">
        <v>422</v>
      </c>
      <c r="D433" s="232" t="s">
        <v>1096</v>
      </c>
      <c r="E433" s="233">
        <v>44415.0</v>
      </c>
      <c r="F433" s="234" t="s">
        <v>641</v>
      </c>
      <c r="G433" s="173" t="s">
        <v>194</v>
      </c>
      <c r="H433" s="173">
        <v>1.0</v>
      </c>
      <c r="I433" s="173"/>
      <c r="J433" s="199">
        <v>0.0</v>
      </c>
      <c r="K433" s="206">
        <f>vlookup($D433,Python!$D$2:$F$1000,3,FALSE)</f>
        <v>718.6</v>
      </c>
      <c r="L433" s="199">
        <v>3500000.0</v>
      </c>
      <c r="M433" s="173"/>
      <c r="N433" s="199" t="s">
        <v>585</v>
      </c>
      <c r="O433" s="173"/>
      <c r="P433" s="173" t="s">
        <v>585</v>
      </c>
      <c r="Q433" s="173"/>
      <c r="R433" s="173" t="s">
        <v>585</v>
      </c>
      <c r="S433" s="173"/>
      <c r="T433" s="173" t="s">
        <v>585</v>
      </c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</row>
    <row r="434">
      <c r="A434" s="207">
        <v>267.0</v>
      </c>
      <c r="B434" s="196" t="s">
        <v>522</v>
      </c>
      <c r="C434" s="196" t="s">
        <v>422</v>
      </c>
      <c r="D434" s="232" t="s">
        <v>1097</v>
      </c>
      <c r="E434" s="233">
        <v>44417.0</v>
      </c>
      <c r="F434" s="234" t="s">
        <v>647</v>
      </c>
      <c r="G434" s="173" t="s">
        <v>194</v>
      </c>
      <c r="H434" s="173">
        <v>1.0</v>
      </c>
      <c r="I434" s="173"/>
      <c r="J434" s="199">
        <v>0.0</v>
      </c>
      <c r="K434" s="206">
        <f>vlookup($D434,Python!$D$2:$F$1000,3,FALSE)</f>
        <v>570.3</v>
      </c>
      <c r="L434" s="199">
        <v>2500000.0</v>
      </c>
      <c r="M434" s="173"/>
      <c r="N434" s="199" t="s">
        <v>585</v>
      </c>
      <c r="O434" s="173"/>
      <c r="P434" s="173" t="s">
        <v>585</v>
      </c>
      <c r="Q434" s="173"/>
      <c r="R434" s="173" t="s">
        <v>585</v>
      </c>
      <c r="S434" s="173"/>
      <c r="T434" s="173" t="s">
        <v>585</v>
      </c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</row>
    <row r="435">
      <c r="A435" s="207">
        <v>268.0</v>
      </c>
      <c r="B435" s="196" t="s">
        <v>522</v>
      </c>
      <c r="C435" s="196" t="s">
        <v>422</v>
      </c>
      <c r="D435" s="232" t="s">
        <v>1098</v>
      </c>
      <c r="E435" s="233">
        <v>44422.0</v>
      </c>
      <c r="F435" s="234" t="s">
        <v>642</v>
      </c>
      <c r="G435" s="173" t="s">
        <v>194</v>
      </c>
      <c r="H435" s="173">
        <v>1.0</v>
      </c>
      <c r="I435" s="173"/>
      <c r="J435" s="199">
        <v>0.0</v>
      </c>
      <c r="K435" s="206">
        <f>vlookup($D435,Python!$D$2:$F$1000,3,FALSE)</f>
        <v>2800</v>
      </c>
      <c r="L435" s="199">
        <v>1.4E7</v>
      </c>
      <c r="M435" s="173"/>
      <c r="N435" s="199" t="s">
        <v>585</v>
      </c>
      <c r="O435" s="173"/>
      <c r="P435" s="173" t="s">
        <v>585</v>
      </c>
      <c r="Q435" s="173"/>
      <c r="R435" s="173" t="s">
        <v>585</v>
      </c>
      <c r="S435" s="173"/>
      <c r="T435" s="173" t="s">
        <v>585</v>
      </c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</row>
    <row r="436">
      <c r="A436" s="207">
        <v>269.0</v>
      </c>
      <c r="B436" s="196" t="s">
        <v>1099</v>
      </c>
      <c r="C436" s="196" t="s">
        <v>422</v>
      </c>
      <c r="D436" s="232" t="s">
        <v>1100</v>
      </c>
      <c r="E436" s="233">
        <v>44420.0</v>
      </c>
      <c r="F436" s="234" t="s">
        <v>647</v>
      </c>
      <c r="G436" s="173" t="s">
        <v>194</v>
      </c>
      <c r="H436" s="173">
        <v>1.0</v>
      </c>
      <c r="I436" s="173"/>
      <c r="J436" s="199">
        <v>0.0</v>
      </c>
      <c r="K436" s="206">
        <f>vlookup($D436,Python!$D$2:$F$1000,3,FALSE)</f>
        <v>245</v>
      </c>
      <c r="L436" s="199">
        <v>1000000.0</v>
      </c>
      <c r="M436" s="173"/>
      <c r="N436" s="199" t="s">
        <v>585</v>
      </c>
      <c r="O436" s="173"/>
      <c r="P436" s="173" t="s">
        <v>585</v>
      </c>
      <c r="Q436" s="173"/>
      <c r="R436" s="173" t="s">
        <v>585</v>
      </c>
      <c r="S436" s="173"/>
      <c r="T436" s="173" t="s">
        <v>585</v>
      </c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</row>
    <row r="437">
      <c r="A437" s="207">
        <v>270.0</v>
      </c>
      <c r="B437" s="196" t="s">
        <v>1101</v>
      </c>
      <c r="C437" s="196" t="s">
        <v>422</v>
      </c>
      <c r="D437" s="232" t="s">
        <v>1102</v>
      </c>
      <c r="E437" s="233">
        <v>44415.0</v>
      </c>
      <c r="F437" s="234" t="s">
        <v>647</v>
      </c>
      <c r="G437" s="173" t="s">
        <v>194</v>
      </c>
      <c r="H437" s="173">
        <v>1.0</v>
      </c>
      <c r="I437" s="173"/>
      <c r="J437" s="199">
        <v>0.0</v>
      </c>
      <c r="K437" s="206">
        <f>vlookup($D437,Python!$D$2:$F$1000,3,FALSE)</f>
        <v>237.3</v>
      </c>
      <c r="L437" s="199">
        <v>1000000.0</v>
      </c>
      <c r="M437" s="173"/>
      <c r="N437" s="199" t="s">
        <v>585</v>
      </c>
      <c r="O437" s="173"/>
      <c r="P437" s="173" t="s">
        <v>585</v>
      </c>
      <c r="Q437" s="173"/>
      <c r="R437" s="173" t="s">
        <v>585</v>
      </c>
      <c r="S437" s="173"/>
      <c r="T437" s="173" t="s">
        <v>585</v>
      </c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</row>
    <row r="438">
      <c r="A438" s="207">
        <v>271.0</v>
      </c>
      <c r="B438" s="196" t="s">
        <v>1101</v>
      </c>
      <c r="C438" s="196" t="s">
        <v>422</v>
      </c>
      <c r="D438" s="232" t="s">
        <v>1103</v>
      </c>
      <c r="E438" s="233">
        <v>44415.0</v>
      </c>
      <c r="F438" s="234" t="s">
        <v>647</v>
      </c>
      <c r="G438" s="173" t="s">
        <v>194</v>
      </c>
      <c r="H438" s="173">
        <v>1.0</v>
      </c>
      <c r="I438" s="173"/>
      <c r="J438" s="199">
        <v>0.0</v>
      </c>
      <c r="K438" s="206">
        <f>vlookup($D438,Python!$D$2:$F$1000,3,FALSE)</f>
        <v>257.8</v>
      </c>
      <c r="L438" s="199">
        <v>1000000.0</v>
      </c>
      <c r="M438" s="173"/>
      <c r="N438" s="199" t="s">
        <v>585</v>
      </c>
      <c r="O438" s="173"/>
      <c r="P438" s="173" t="s">
        <v>585</v>
      </c>
      <c r="Q438" s="173"/>
      <c r="R438" s="173" t="s">
        <v>585</v>
      </c>
      <c r="S438" s="173"/>
      <c r="T438" s="173" t="s">
        <v>585</v>
      </c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</row>
    <row r="439">
      <c r="A439" s="207">
        <v>272.0</v>
      </c>
      <c r="B439" s="196" t="s">
        <v>1101</v>
      </c>
      <c r="C439" s="196" t="s">
        <v>418</v>
      </c>
      <c r="D439" s="232" t="s">
        <v>1104</v>
      </c>
      <c r="E439" s="233">
        <v>44415.0</v>
      </c>
      <c r="F439" s="234" t="s">
        <v>647</v>
      </c>
      <c r="G439" s="173" t="s">
        <v>194</v>
      </c>
      <c r="H439" s="173">
        <v>1.0</v>
      </c>
      <c r="I439" s="173"/>
      <c r="J439" s="199">
        <v>0.0</v>
      </c>
      <c r="K439" s="206">
        <f>vlookup($D439,Python!$D$2:$F$1000,3,FALSE)</f>
        <v>347</v>
      </c>
      <c r="L439" s="199">
        <v>6000000.0</v>
      </c>
      <c r="M439" s="173"/>
      <c r="N439" s="199" t="s">
        <v>585</v>
      </c>
      <c r="O439" s="173"/>
      <c r="P439" s="173" t="s">
        <v>585</v>
      </c>
      <c r="Q439" s="173"/>
      <c r="R439" s="173" t="s">
        <v>585</v>
      </c>
      <c r="S439" s="173"/>
      <c r="T439" s="173" t="s">
        <v>585</v>
      </c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</row>
    <row r="440">
      <c r="A440" s="207">
        <v>273.0</v>
      </c>
      <c r="B440" s="287" t="s">
        <v>1101</v>
      </c>
      <c r="C440" s="287" t="s">
        <v>609</v>
      </c>
      <c r="D440" s="288" t="s">
        <v>1105</v>
      </c>
      <c r="E440" s="281">
        <v>44415.0</v>
      </c>
      <c r="F440" s="282" t="s">
        <v>647</v>
      </c>
      <c r="G440" s="289" t="s">
        <v>194</v>
      </c>
      <c r="H440" s="289">
        <v>1.0</v>
      </c>
      <c r="I440" s="290"/>
      <c r="J440" s="291">
        <v>0.0</v>
      </c>
      <c r="K440" s="292" t="str">
        <f>vlookup($D440,Python!$D$2:$F$1000,3,FALSE)</f>
        <v/>
      </c>
      <c r="L440" s="291" t="s">
        <v>585</v>
      </c>
      <c r="M440" s="290"/>
      <c r="N440" s="291" t="s">
        <v>585</v>
      </c>
      <c r="O440" s="290"/>
      <c r="P440" s="289" t="s">
        <v>585</v>
      </c>
      <c r="Q440" s="290"/>
      <c r="R440" s="289" t="s">
        <v>585</v>
      </c>
      <c r="S440" s="290"/>
      <c r="T440" s="289" t="s">
        <v>585</v>
      </c>
      <c r="U440" s="290"/>
      <c r="V440" s="290"/>
      <c r="W440" s="290"/>
      <c r="X440" s="290"/>
      <c r="Y440" s="290"/>
      <c r="Z440" s="290"/>
      <c r="AA440" s="290"/>
      <c r="AB440" s="290"/>
      <c r="AC440" s="290"/>
      <c r="AD440" s="290"/>
      <c r="AE440" s="290"/>
      <c r="AF440" s="290"/>
    </row>
    <row r="441">
      <c r="A441" s="207">
        <v>274.0</v>
      </c>
      <c r="B441" s="196" t="s">
        <v>1106</v>
      </c>
      <c r="C441" s="196" t="s">
        <v>418</v>
      </c>
      <c r="D441" s="232" t="s">
        <v>1107</v>
      </c>
      <c r="E441" s="233">
        <v>44413.0</v>
      </c>
      <c r="F441" s="234" t="s">
        <v>641</v>
      </c>
      <c r="G441" s="173" t="s">
        <v>194</v>
      </c>
      <c r="H441" s="173">
        <v>1.0</v>
      </c>
      <c r="I441" s="173"/>
      <c r="J441" s="199">
        <v>0.0</v>
      </c>
      <c r="K441" s="206">
        <f>vlookup($D441,Python!$D$2:$F$1000,3,FALSE)</f>
        <v>50</v>
      </c>
      <c r="L441" s="199">
        <v>1000000.0</v>
      </c>
      <c r="M441" s="173"/>
      <c r="N441" s="199" t="s">
        <v>585</v>
      </c>
      <c r="O441" s="173"/>
      <c r="P441" s="173" t="s">
        <v>585</v>
      </c>
      <c r="Q441" s="173"/>
      <c r="R441" s="173" t="s">
        <v>585</v>
      </c>
      <c r="S441" s="173"/>
      <c r="T441" s="173" t="s">
        <v>585</v>
      </c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</row>
    <row r="442">
      <c r="A442" s="207">
        <v>275.0</v>
      </c>
      <c r="B442" s="196" t="s">
        <v>1106</v>
      </c>
      <c r="C442" s="196" t="s">
        <v>510</v>
      </c>
      <c r="D442" s="232" t="s">
        <v>1108</v>
      </c>
      <c r="E442" s="233">
        <v>44413.0</v>
      </c>
      <c r="F442" s="234" t="s">
        <v>641</v>
      </c>
      <c r="G442" s="173" t="s">
        <v>194</v>
      </c>
      <c r="H442" s="173">
        <v>1.0</v>
      </c>
      <c r="I442" s="173"/>
      <c r="J442" s="199">
        <v>0.0</v>
      </c>
      <c r="K442" s="206">
        <f>vlookup($D442,Python!$D$2:$F$1000,3,FALSE)</f>
        <v>5.307</v>
      </c>
      <c r="L442" s="199">
        <v>0.0</v>
      </c>
      <c r="M442" s="173"/>
      <c r="N442" s="199" t="s">
        <v>585</v>
      </c>
      <c r="O442" s="173"/>
      <c r="P442" s="173" t="s">
        <v>585</v>
      </c>
      <c r="Q442" s="173"/>
      <c r="R442" s="173" t="s">
        <v>585</v>
      </c>
      <c r="S442" s="173"/>
      <c r="T442" s="173" t="s">
        <v>585</v>
      </c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</row>
    <row r="443">
      <c r="A443" s="207">
        <v>276.0</v>
      </c>
      <c r="B443" s="196" t="s">
        <v>1109</v>
      </c>
      <c r="C443" s="196" t="s">
        <v>418</v>
      </c>
      <c r="D443" s="232" t="s">
        <v>1110</v>
      </c>
      <c r="E443" s="233">
        <v>44403.0</v>
      </c>
      <c r="F443" s="234" t="s">
        <v>642</v>
      </c>
      <c r="G443" s="173" t="s">
        <v>194</v>
      </c>
      <c r="H443" s="173">
        <v>1.0</v>
      </c>
      <c r="I443" s="173"/>
      <c r="J443" s="199">
        <v>0.0</v>
      </c>
      <c r="K443" s="206">
        <f>vlookup($D443,Python!$D$2:$F$1000,3,FALSE)</f>
        <v>52</v>
      </c>
      <c r="L443" s="199">
        <v>1000000.0</v>
      </c>
      <c r="M443" s="173"/>
      <c r="N443" s="199" t="s">
        <v>585</v>
      </c>
      <c r="O443" s="173"/>
      <c r="P443" s="173" t="s">
        <v>585</v>
      </c>
      <c r="Q443" s="173"/>
      <c r="R443" s="173" t="s">
        <v>585</v>
      </c>
      <c r="S443" s="173"/>
      <c r="T443" s="173" t="s">
        <v>585</v>
      </c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</row>
    <row r="444">
      <c r="A444" s="207">
        <v>277.0</v>
      </c>
      <c r="B444" s="196" t="s">
        <v>1109</v>
      </c>
      <c r="C444" s="196" t="s">
        <v>422</v>
      </c>
      <c r="D444" s="232" t="s">
        <v>1111</v>
      </c>
      <c r="E444" s="233">
        <v>44405.0</v>
      </c>
      <c r="F444" s="234" t="s">
        <v>642</v>
      </c>
      <c r="G444" s="173" t="s">
        <v>194</v>
      </c>
      <c r="H444" s="173">
        <v>1.0</v>
      </c>
      <c r="I444" s="173"/>
      <c r="J444" s="199">
        <v>0.0</v>
      </c>
      <c r="K444" s="206">
        <f>vlookup($D444,Python!$D$2:$F$1000,3,FALSE)</f>
        <v>103.8</v>
      </c>
      <c r="L444" s="199">
        <v>500000.0</v>
      </c>
      <c r="M444" s="173"/>
      <c r="N444" s="199" t="s">
        <v>585</v>
      </c>
      <c r="O444" s="173"/>
      <c r="P444" s="173" t="s">
        <v>585</v>
      </c>
      <c r="Q444" s="173"/>
      <c r="R444" s="173" t="s">
        <v>585</v>
      </c>
      <c r="S444" s="173"/>
      <c r="T444" s="173" t="s">
        <v>585</v>
      </c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</row>
    <row r="445">
      <c r="A445" s="207">
        <v>278.0</v>
      </c>
      <c r="B445" s="196" t="s">
        <v>1109</v>
      </c>
      <c r="C445" s="196" t="s">
        <v>422</v>
      </c>
      <c r="D445" s="232" t="s">
        <v>1112</v>
      </c>
      <c r="E445" s="233">
        <v>44410.0</v>
      </c>
      <c r="F445" s="234" t="s">
        <v>647</v>
      </c>
      <c r="G445" s="173" t="s">
        <v>194</v>
      </c>
      <c r="H445" s="173">
        <v>1.0</v>
      </c>
      <c r="I445" s="173"/>
      <c r="J445" s="199">
        <v>0.0</v>
      </c>
      <c r="K445" s="206">
        <f>vlookup($D445,Python!$D$2:$F$1000,3,FALSE)</f>
        <v>100.7</v>
      </c>
      <c r="L445" s="199">
        <v>500000.0</v>
      </c>
      <c r="M445" s="173"/>
      <c r="N445" s="199" t="s">
        <v>585</v>
      </c>
      <c r="O445" s="173"/>
      <c r="P445" s="173" t="s">
        <v>585</v>
      </c>
      <c r="Q445" s="173"/>
      <c r="R445" s="173" t="s">
        <v>585</v>
      </c>
      <c r="S445" s="173"/>
      <c r="T445" s="173" t="s">
        <v>585</v>
      </c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</row>
    <row r="446">
      <c r="A446" s="207">
        <v>279.0</v>
      </c>
      <c r="B446" s="196" t="s">
        <v>1109</v>
      </c>
      <c r="C446" s="196" t="s">
        <v>422</v>
      </c>
      <c r="D446" s="232" t="s">
        <v>1113</v>
      </c>
      <c r="E446" s="233">
        <v>44415.0</v>
      </c>
      <c r="F446" s="234" t="s">
        <v>642</v>
      </c>
      <c r="G446" s="173" t="s">
        <v>194</v>
      </c>
      <c r="H446" s="173">
        <v>1.0</v>
      </c>
      <c r="I446" s="173"/>
      <c r="J446" s="199">
        <v>0.0</v>
      </c>
      <c r="K446" s="206">
        <f>vlookup($D446,Python!$D$2:$F$1000,3,FALSE)</f>
        <v>102.6</v>
      </c>
      <c r="L446" s="199">
        <v>500000.0</v>
      </c>
      <c r="M446" s="173"/>
      <c r="N446" s="199" t="s">
        <v>585</v>
      </c>
      <c r="O446" s="173"/>
      <c r="P446" s="173" t="s">
        <v>585</v>
      </c>
      <c r="Q446" s="173"/>
      <c r="R446" s="173" t="s">
        <v>585</v>
      </c>
      <c r="S446" s="173"/>
      <c r="T446" s="173" t="s">
        <v>585</v>
      </c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</row>
    <row r="447">
      <c r="A447" s="207">
        <v>280.0</v>
      </c>
      <c r="B447" s="196" t="s">
        <v>1114</v>
      </c>
      <c r="C447" s="196" t="s">
        <v>418</v>
      </c>
      <c r="D447" s="232" t="s">
        <v>1115</v>
      </c>
      <c r="E447" s="233">
        <v>44416.0</v>
      </c>
      <c r="F447" s="234" t="s">
        <v>641</v>
      </c>
      <c r="G447" s="173" t="s">
        <v>194</v>
      </c>
      <c r="H447" s="173">
        <v>1.0</v>
      </c>
      <c r="I447" s="173"/>
      <c r="J447" s="199">
        <v>0.0</v>
      </c>
      <c r="K447" s="206">
        <f>vlookup($D447,Python!$D$2:$F$1000,3,FALSE)</f>
        <v>11</v>
      </c>
      <c r="L447" s="199">
        <v>0.0</v>
      </c>
      <c r="M447" s="173"/>
      <c r="N447" s="199" t="s">
        <v>585</v>
      </c>
      <c r="O447" s="173"/>
      <c r="P447" s="173" t="s">
        <v>585</v>
      </c>
      <c r="Q447" s="173"/>
      <c r="R447" s="173" t="s">
        <v>585</v>
      </c>
      <c r="S447" s="173"/>
      <c r="T447" s="173" t="s">
        <v>585</v>
      </c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</row>
    <row r="448">
      <c r="A448" s="207">
        <v>281.0</v>
      </c>
      <c r="B448" s="196" t="s">
        <v>1116</v>
      </c>
      <c r="C448" s="196" t="s">
        <v>418</v>
      </c>
      <c r="D448" s="232" t="s">
        <v>1117</v>
      </c>
      <c r="E448" s="233">
        <v>44413.0</v>
      </c>
      <c r="F448" s="234" t="s">
        <v>642</v>
      </c>
      <c r="G448" s="173" t="s">
        <v>194</v>
      </c>
      <c r="H448" s="173">
        <v>1.0</v>
      </c>
      <c r="I448" s="173"/>
      <c r="J448" s="199">
        <v>0.0</v>
      </c>
      <c r="K448" s="206">
        <f>vlookup($D448,Python!$D$2:$F$1000,3,FALSE)</f>
        <v>2.9</v>
      </c>
      <c r="L448" s="199">
        <v>0.0</v>
      </c>
      <c r="M448" s="173"/>
      <c r="N448" s="199" t="s">
        <v>585</v>
      </c>
      <c r="O448" s="173"/>
      <c r="P448" s="173" t="s">
        <v>585</v>
      </c>
      <c r="Q448" s="173"/>
      <c r="R448" s="173" t="s">
        <v>585</v>
      </c>
      <c r="S448" s="173"/>
      <c r="T448" s="173" t="s">
        <v>585</v>
      </c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</row>
    <row r="449">
      <c r="A449" s="207">
        <v>282.0</v>
      </c>
      <c r="B449" s="196" t="s">
        <v>1118</v>
      </c>
      <c r="C449" s="196" t="s">
        <v>422</v>
      </c>
      <c r="D449" s="232" t="s">
        <v>1119</v>
      </c>
      <c r="E449" s="233">
        <v>44418.0</v>
      </c>
      <c r="F449" s="234" t="s">
        <v>647</v>
      </c>
      <c r="G449" s="173" t="s">
        <v>194</v>
      </c>
      <c r="H449" s="173">
        <v>1.0</v>
      </c>
      <c r="I449" s="173"/>
      <c r="J449" s="199">
        <v>0.0</v>
      </c>
      <c r="K449" s="206">
        <f>vlookup($D449,Python!$D$2:$F$1000,3,FALSE)</f>
        <v>109.9</v>
      </c>
      <c r="L449" s="199">
        <v>500000.0</v>
      </c>
      <c r="M449" s="173"/>
      <c r="N449" s="199" t="s">
        <v>585</v>
      </c>
      <c r="O449" s="173"/>
      <c r="P449" s="173" t="s">
        <v>585</v>
      </c>
      <c r="Q449" s="173"/>
      <c r="R449" s="173" t="s">
        <v>585</v>
      </c>
      <c r="S449" s="173"/>
      <c r="T449" s="173" t="s">
        <v>585</v>
      </c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</row>
    <row r="450">
      <c r="A450" s="207">
        <v>283.0</v>
      </c>
      <c r="B450" s="196" t="s">
        <v>1120</v>
      </c>
      <c r="C450" s="196" t="s">
        <v>418</v>
      </c>
      <c r="D450" s="232" t="s">
        <v>1121</v>
      </c>
      <c r="E450" s="233">
        <v>44411.0</v>
      </c>
      <c r="F450" s="234" t="s">
        <v>641</v>
      </c>
      <c r="G450" s="173" t="s">
        <v>194</v>
      </c>
      <c r="H450" s="173">
        <v>1.0</v>
      </c>
      <c r="I450" s="173"/>
      <c r="J450" s="199">
        <v>0.0</v>
      </c>
      <c r="K450" s="206">
        <f>vlookup($D450,Python!$D$2:$F$1000,3,FALSE)</f>
        <v>60</v>
      </c>
      <c r="L450" s="199">
        <v>1000000.0</v>
      </c>
      <c r="M450" s="173"/>
      <c r="N450" s="199" t="s">
        <v>585</v>
      </c>
      <c r="O450" s="173"/>
      <c r="P450" s="173" t="s">
        <v>585</v>
      </c>
      <c r="Q450" s="173"/>
      <c r="R450" s="173" t="s">
        <v>585</v>
      </c>
      <c r="S450" s="173"/>
      <c r="T450" s="173" t="s">
        <v>585</v>
      </c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</row>
    <row r="451">
      <c r="A451" s="207">
        <v>284.0</v>
      </c>
      <c r="B451" s="196" t="s">
        <v>1120</v>
      </c>
      <c r="C451" s="196" t="s">
        <v>422</v>
      </c>
      <c r="D451" s="232" t="s">
        <v>1122</v>
      </c>
      <c r="E451" s="233">
        <v>44422.0</v>
      </c>
      <c r="F451" s="234" t="s">
        <v>641</v>
      </c>
      <c r="G451" s="173" t="s">
        <v>194</v>
      </c>
      <c r="H451" s="173">
        <v>1.0</v>
      </c>
      <c r="I451" s="173"/>
      <c r="J451" s="199">
        <v>0.0</v>
      </c>
      <c r="K451" s="206">
        <f>vlookup($D451,Python!$D$2:$F$1000,3,FALSE)</f>
        <v>903.5</v>
      </c>
      <c r="L451" s="199">
        <v>4500000.0</v>
      </c>
      <c r="M451" s="173"/>
      <c r="N451" s="199" t="s">
        <v>585</v>
      </c>
      <c r="O451" s="173"/>
      <c r="P451" s="173" t="s">
        <v>585</v>
      </c>
      <c r="Q451" s="173"/>
      <c r="R451" s="173" t="s">
        <v>585</v>
      </c>
      <c r="S451" s="173"/>
      <c r="T451" s="173" t="s">
        <v>585</v>
      </c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</row>
    <row r="452">
      <c r="A452" s="207">
        <v>285.0</v>
      </c>
      <c r="B452" s="196" t="s">
        <v>1120</v>
      </c>
      <c r="C452" s="196" t="s">
        <v>422</v>
      </c>
      <c r="D452" s="232" t="s">
        <v>1123</v>
      </c>
      <c r="E452" s="233">
        <v>44424.0</v>
      </c>
      <c r="F452" s="234" t="s">
        <v>641</v>
      </c>
      <c r="G452" s="173" t="s">
        <v>194</v>
      </c>
      <c r="H452" s="173">
        <v>1.0</v>
      </c>
      <c r="I452" s="173"/>
      <c r="J452" s="199">
        <v>0.0</v>
      </c>
      <c r="K452" s="206">
        <f>vlookup($D452,Python!$D$2:$F$1000,3,FALSE)</f>
        <v>551.3</v>
      </c>
      <c r="L452" s="199">
        <v>2500000.0</v>
      </c>
      <c r="M452" s="173"/>
      <c r="N452" s="199" t="s">
        <v>585</v>
      </c>
      <c r="O452" s="173"/>
      <c r="P452" s="173" t="s">
        <v>585</v>
      </c>
      <c r="Q452" s="173"/>
      <c r="R452" s="173" t="s">
        <v>585</v>
      </c>
      <c r="S452" s="173"/>
      <c r="T452" s="173" t="s">
        <v>585</v>
      </c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</row>
    <row r="453">
      <c r="A453" s="207">
        <v>286.0</v>
      </c>
      <c r="B453" s="196" t="s">
        <v>499</v>
      </c>
      <c r="C453" s="196" t="s">
        <v>422</v>
      </c>
      <c r="D453" s="232" t="s">
        <v>1124</v>
      </c>
      <c r="E453" s="233">
        <v>44407.0</v>
      </c>
      <c r="F453" s="234" t="s">
        <v>641</v>
      </c>
      <c r="G453" s="173" t="s">
        <v>194</v>
      </c>
      <c r="H453" s="173">
        <v>1.0</v>
      </c>
      <c r="I453" s="173"/>
      <c r="J453" s="199">
        <v>0.0</v>
      </c>
      <c r="K453" s="206">
        <f>vlookup($D453,Python!$D$2:$F$1000,3,FALSE)</f>
        <v>501.7</v>
      </c>
      <c r="L453" s="199">
        <v>2500000.0</v>
      </c>
      <c r="M453" s="173"/>
      <c r="N453" s="199" t="s">
        <v>585</v>
      </c>
      <c r="O453" s="173"/>
      <c r="P453" s="173" t="s">
        <v>585</v>
      </c>
      <c r="Q453" s="173"/>
      <c r="R453" s="173" t="s">
        <v>585</v>
      </c>
      <c r="S453" s="173"/>
      <c r="T453" s="173" t="s">
        <v>585</v>
      </c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</row>
    <row r="454">
      <c r="A454" s="207">
        <v>287.0</v>
      </c>
      <c r="B454" s="196" t="s">
        <v>499</v>
      </c>
      <c r="C454" s="196" t="s">
        <v>422</v>
      </c>
      <c r="D454" s="232" t="s">
        <v>1125</v>
      </c>
      <c r="E454" s="233">
        <v>44414.0</v>
      </c>
      <c r="F454" s="234" t="s">
        <v>641</v>
      </c>
      <c r="G454" s="173" t="s">
        <v>194</v>
      </c>
      <c r="H454" s="173">
        <v>1.0</v>
      </c>
      <c r="I454" s="173"/>
      <c r="J454" s="199">
        <v>0.0</v>
      </c>
      <c r="K454" s="206">
        <f>vlookup($D454,Python!$D$2:$F$1000,3,FALSE)</f>
        <v>803.3</v>
      </c>
      <c r="L454" s="199">
        <v>4000000.0</v>
      </c>
      <c r="M454" s="173"/>
      <c r="N454" s="199" t="s">
        <v>585</v>
      </c>
      <c r="O454" s="173"/>
      <c r="P454" s="173" t="s">
        <v>585</v>
      </c>
      <c r="Q454" s="173"/>
      <c r="R454" s="173" t="s">
        <v>585</v>
      </c>
      <c r="S454" s="173"/>
      <c r="T454" s="173" t="s">
        <v>585</v>
      </c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</row>
    <row r="455">
      <c r="A455" s="207">
        <v>288.0</v>
      </c>
      <c r="B455" s="196" t="s">
        <v>500</v>
      </c>
      <c r="C455" s="196" t="s">
        <v>422</v>
      </c>
      <c r="D455" s="232" t="s">
        <v>1126</v>
      </c>
      <c r="E455" s="233">
        <v>44403.0</v>
      </c>
      <c r="F455" s="234" t="s">
        <v>647</v>
      </c>
      <c r="G455" s="173" t="s">
        <v>194</v>
      </c>
      <c r="H455" s="173">
        <v>1.0</v>
      </c>
      <c r="I455" s="173"/>
      <c r="J455" s="199">
        <v>0.0</v>
      </c>
      <c r="K455" s="206">
        <f>vlookup($D455,Python!$D$2:$F$1000,3,FALSE)</f>
        <v>9.188</v>
      </c>
      <c r="L455" s="199">
        <v>0.0</v>
      </c>
      <c r="M455" s="173"/>
      <c r="N455" s="199" t="s">
        <v>585</v>
      </c>
      <c r="O455" s="173"/>
      <c r="P455" s="173" t="s">
        <v>585</v>
      </c>
      <c r="Q455" s="173"/>
      <c r="R455" s="173" t="s">
        <v>585</v>
      </c>
      <c r="S455" s="173"/>
      <c r="T455" s="173" t="s">
        <v>585</v>
      </c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</row>
    <row r="456">
      <c r="A456" s="207">
        <v>289.0</v>
      </c>
      <c r="B456" s="196" t="s">
        <v>500</v>
      </c>
      <c r="C456" s="196" t="s">
        <v>422</v>
      </c>
      <c r="D456" s="232" t="s">
        <v>1127</v>
      </c>
      <c r="E456" s="233">
        <v>44424.0</v>
      </c>
      <c r="F456" s="234" t="s">
        <v>641</v>
      </c>
      <c r="G456" s="173" t="s">
        <v>194</v>
      </c>
      <c r="H456" s="173">
        <v>1.0</v>
      </c>
      <c r="I456" s="173"/>
      <c r="J456" s="199">
        <v>0.0</v>
      </c>
      <c r="K456" s="206">
        <f>vlookup($D456,Python!$D$2:$F$1000,3,FALSE)</f>
        <v>75.2</v>
      </c>
      <c r="L456" s="199">
        <v>0.0</v>
      </c>
      <c r="M456" s="173"/>
      <c r="N456" s="199" t="s">
        <v>585</v>
      </c>
      <c r="O456" s="173"/>
      <c r="P456" s="173" t="s">
        <v>585</v>
      </c>
      <c r="Q456" s="173"/>
      <c r="R456" s="173" t="s">
        <v>585</v>
      </c>
      <c r="S456" s="173"/>
      <c r="T456" s="173" t="s">
        <v>585</v>
      </c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</row>
    <row r="457">
      <c r="A457" s="207">
        <v>290.0</v>
      </c>
      <c r="B457" s="196" t="s">
        <v>1128</v>
      </c>
      <c r="C457" s="196" t="s">
        <v>422</v>
      </c>
      <c r="D457" s="232" t="s">
        <v>1129</v>
      </c>
      <c r="E457" s="233">
        <v>44405.0</v>
      </c>
      <c r="F457" s="234" t="s">
        <v>647</v>
      </c>
      <c r="G457" s="173" t="s">
        <v>194</v>
      </c>
      <c r="H457" s="173">
        <v>1.0</v>
      </c>
      <c r="I457" s="173"/>
      <c r="J457" s="199">
        <v>0.0</v>
      </c>
      <c r="K457" s="206">
        <f>vlookup($D457,Python!$D$2:$F$1000,3,FALSE)</f>
        <v>893</v>
      </c>
      <c r="L457" s="199">
        <v>4000000.0</v>
      </c>
      <c r="M457" s="173"/>
      <c r="N457" s="199" t="s">
        <v>585</v>
      </c>
      <c r="O457" s="173"/>
      <c r="P457" s="173" t="s">
        <v>585</v>
      </c>
      <c r="Q457" s="173"/>
      <c r="R457" s="173" t="s">
        <v>585</v>
      </c>
      <c r="S457" s="173"/>
      <c r="T457" s="173" t="s">
        <v>585</v>
      </c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</row>
    <row r="458">
      <c r="A458" s="207">
        <v>291.0</v>
      </c>
      <c r="B458" s="196" t="s">
        <v>1128</v>
      </c>
      <c r="C458" s="196" t="s">
        <v>422</v>
      </c>
      <c r="D458" s="232" t="s">
        <v>1130</v>
      </c>
      <c r="E458" s="233">
        <v>44406.0</v>
      </c>
      <c r="F458" s="234" t="s">
        <v>647</v>
      </c>
      <c r="G458" s="173" t="s">
        <v>194</v>
      </c>
      <c r="H458" s="173">
        <v>1.0</v>
      </c>
      <c r="I458" s="173"/>
      <c r="J458" s="199">
        <v>0.0</v>
      </c>
      <c r="K458" s="206">
        <f>vlookup($D458,Python!$D$2:$F$1000,3,FALSE)</f>
        <v>161.8</v>
      </c>
      <c r="L458" s="199">
        <v>500000.0</v>
      </c>
      <c r="M458" s="173"/>
      <c r="N458" s="199" t="s">
        <v>585</v>
      </c>
      <c r="O458" s="173"/>
      <c r="P458" s="173" t="s">
        <v>585</v>
      </c>
      <c r="Q458" s="173"/>
      <c r="R458" s="173" t="s">
        <v>585</v>
      </c>
      <c r="S458" s="173"/>
      <c r="T458" s="173" t="s">
        <v>585</v>
      </c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</row>
    <row r="459">
      <c r="A459" s="207">
        <v>292.0</v>
      </c>
      <c r="B459" s="196" t="s">
        <v>1128</v>
      </c>
      <c r="C459" s="196" t="s">
        <v>422</v>
      </c>
      <c r="D459" s="232" t="s">
        <v>1131</v>
      </c>
      <c r="E459" s="233">
        <v>44410.0</v>
      </c>
      <c r="F459" s="234" t="s">
        <v>647</v>
      </c>
      <c r="G459" s="173" t="s">
        <v>194</v>
      </c>
      <c r="H459" s="173">
        <v>1.0</v>
      </c>
      <c r="I459" s="173"/>
      <c r="J459" s="199">
        <v>0.0</v>
      </c>
      <c r="K459" s="206">
        <f>vlookup($D459,Python!$D$2:$F$1000,3,FALSE)</f>
        <v>203.2</v>
      </c>
      <c r="L459" s="199">
        <v>1000000.0</v>
      </c>
      <c r="M459" s="173"/>
      <c r="N459" s="199" t="s">
        <v>585</v>
      </c>
      <c r="O459" s="173"/>
      <c r="P459" s="173" t="s">
        <v>585</v>
      </c>
      <c r="Q459" s="173"/>
      <c r="R459" s="173" t="s">
        <v>585</v>
      </c>
      <c r="S459" s="173"/>
      <c r="T459" s="173" t="s">
        <v>585</v>
      </c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</row>
    <row r="460">
      <c r="A460" s="207">
        <v>293.0</v>
      </c>
      <c r="B460" s="196" t="s">
        <v>1128</v>
      </c>
      <c r="C460" s="196" t="s">
        <v>422</v>
      </c>
      <c r="D460" s="232" t="s">
        <v>1132</v>
      </c>
      <c r="E460" s="233">
        <v>44411.0</v>
      </c>
      <c r="F460" s="234" t="s">
        <v>642</v>
      </c>
      <c r="G460" s="173" t="s">
        <v>194</v>
      </c>
      <c r="H460" s="173">
        <v>1.0</v>
      </c>
      <c r="I460" s="173"/>
      <c r="J460" s="199">
        <v>0.0</v>
      </c>
      <c r="K460" s="206">
        <f>vlookup($D460,Python!$D$2:$F$1000,3,FALSE)</f>
        <v>164.1</v>
      </c>
      <c r="L460" s="199">
        <v>500000.0</v>
      </c>
      <c r="M460" s="173"/>
      <c r="N460" s="199" t="s">
        <v>585</v>
      </c>
      <c r="O460" s="173"/>
      <c r="P460" s="173" t="s">
        <v>585</v>
      </c>
      <c r="Q460" s="173"/>
      <c r="R460" s="173" t="s">
        <v>585</v>
      </c>
      <c r="S460" s="173"/>
      <c r="T460" s="173" t="s">
        <v>585</v>
      </c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</row>
    <row r="461">
      <c r="A461" s="207">
        <v>294.0</v>
      </c>
      <c r="B461" s="196" t="s">
        <v>1128</v>
      </c>
      <c r="C461" s="196" t="s">
        <v>422</v>
      </c>
      <c r="D461" s="232" t="s">
        <v>1133</v>
      </c>
      <c r="E461" s="233">
        <v>44414.0</v>
      </c>
      <c r="F461" s="234" t="s">
        <v>642</v>
      </c>
      <c r="G461" s="173" t="s">
        <v>194</v>
      </c>
      <c r="H461" s="173">
        <v>1.0</v>
      </c>
      <c r="I461" s="173"/>
      <c r="J461" s="199">
        <v>0.0</v>
      </c>
      <c r="K461" s="206">
        <f>vlookup($D461,Python!$D$2:$F$1000,3,FALSE)</f>
        <v>45</v>
      </c>
      <c r="L461" s="199">
        <v>0.0</v>
      </c>
      <c r="M461" s="173"/>
      <c r="N461" s="199" t="s">
        <v>585</v>
      </c>
      <c r="O461" s="173"/>
      <c r="P461" s="173" t="s">
        <v>585</v>
      </c>
      <c r="Q461" s="173"/>
      <c r="R461" s="173" t="s">
        <v>585</v>
      </c>
      <c r="S461" s="173"/>
      <c r="T461" s="173" t="s">
        <v>585</v>
      </c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</row>
    <row r="462">
      <c r="A462" s="207">
        <v>295.0</v>
      </c>
      <c r="B462" s="196" t="s">
        <v>1128</v>
      </c>
      <c r="C462" s="196" t="s">
        <v>422</v>
      </c>
      <c r="D462" s="232" t="s">
        <v>1134</v>
      </c>
      <c r="E462" s="233">
        <v>44424.0</v>
      </c>
      <c r="F462" s="234" t="s">
        <v>642</v>
      </c>
      <c r="G462" s="173" t="s">
        <v>194</v>
      </c>
      <c r="H462" s="173">
        <v>1.0</v>
      </c>
      <c r="I462" s="173"/>
      <c r="J462" s="199">
        <v>0.0</v>
      </c>
      <c r="K462" s="206">
        <f>vlookup($D462,Python!$D$2:$F$1000,3,FALSE)</f>
        <v>22</v>
      </c>
      <c r="L462" s="199">
        <v>0.0</v>
      </c>
      <c r="M462" s="173"/>
      <c r="N462" s="199" t="s">
        <v>585</v>
      </c>
      <c r="O462" s="173"/>
      <c r="P462" s="173" t="s">
        <v>585</v>
      </c>
      <c r="Q462" s="173"/>
      <c r="R462" s="173" t="s">
        <v>585</v>
      </c>
      <c r="S462" s="173"/>
      <c r="T462" s="173" t="s">
        <v>585</v>
      </c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</row>
    <row r="463">
      <c r="A463" s="207">
        <v>296.0</v>
      </c>
      <c r="B463" s="196" t="s">
        <v>521</v>
      </c>
      <c r="C463" s="196" t="s">
        <v>422</v>
      </c>
      <c r="D463" s="232" t="s">
        <v>1135</v>
      </c>
      <c r="E463" s="233">
        <v>44412.0</v>
      </c>
      <c r="F463" s="234" t="s">
        <v>641</v>
      </c>
      <c r="G463" s="173" t="s">
        <v>489</v>
      </c>
      <c r="H463" s="173">
        <v>1.0</v>
      </c>
      <c r="I463" s="173"/>
      <c r="J463" s="199">
        <v>0.0</v>
      </c>
      <c r="K463" s="206">
        <f>vlookup($D463,Python!$D$2:$F$1000,3,FALSE)</f>
        <v>73.6</v>
      </c>
      <c r="L463" s="199">
        <v>0.0</v>
      </c>
      <c r="M463" s="173"/>
      <c r="N463" s="199" t="s">
        <v>585</v>
      </c>
      <c r="O463" s="173"/>
      <c r="P463" s="173" t="s">
        <v>585</v>
      </c>
      <c r="Q463" s="173"/>
      <c r="R463" s="173" t="s">
        <v>585</v>
      </c>
      <c r="S463" s="173"/>
      <c r="T463" s="173" t="s">
        <v>585</v>
      </c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</row>
    <row r="464">
      <c r="A464" s="207">
        <v>297.0</v>
      </c>
      <c r="B464" s="196" t="s">
        <v>1136</v>
      </c>
      <c r="C464" s="196" t="s">
        <v>418</v>
      </c>
      <c r="D464" s="232" t="s">
        <v>1137</v>
      </c>
      <c r="E464" s="233">
        <v>44409.0</v>
      </c>
      <c r="F464" s="234" t="s">
        <v>641</v>
      </c>
      <c r="G464" s="173" t="s">
        <v>194</v>
      </c>
      <c r="H464" s="173">
        <v>1.0</v>
      </c>
      <c r="I464" s="173"/>
      <c r="J464" s="199">
        <v>0.0</v>
      </c>
      <c r="K464" s="206">
        <f>vlookup($D464,Python!$D$2:$F$1000,3,FALSE)</f>
        <v>102</v>
      </c>
      <c r="L464" s="199">
        <v>2000000.0</v>
      </c>
      <c r="M464" s="173"/>
      <c r="N464" s="199" t="s">
        <v>585</v>
      </c>
      <c r="O464" s="173"/>
      <c r="P464" s="173" t="s">
        <v>585</v>
      </c>
      <c r="Q464" s="173"/>
      <c r="R464" s="173" t="s">
        <v>585</v>
      </c>
      <c r="S464" s="173"/>
      <c r="T464" s="173" t="s">
        <v>585</v>
      </c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</row>
    <row r="465">
      <c r="A465" s="207">
        <v>298.0</v>
      </c>
      <c r="B465" s="196" t="s">
        <v>1138</v>
      </c>
      <c r="C465" s="196" t="s">
        <v>422</v>
      </c>
      <c r="D465" s="232" t="s">
        <v>1139</v>
      </c>
      <c r="E465" s="233">
        <v>44434.0</v>
      </c>
      <c r="F465" s="234" t="s">
        <v>647</v>
      </c>
      <c r="G465" s="173" t="s">
        <v>194</v>
      </c>
      <c r="H465" s="173">
        <v>1.0</v>
      </c>
      <c r="I465" s="173"/>
      <c r="J465" s="199">
        <v>0.0</v>
      </c>
      <c r="K465" s="206">
        <f>vlookup($D465,Python!$D$2:$F$1000,3,FALSE)</f>
        <v>156.6</v>
      </c>
      <c r="L465" s="199">
        <v>500000.0</v>
      </c>
      <c r="M465" s="173"/>
      <c r="N465" s="199" t="s">
        <v>585</v>
      </c>
      <c r="O465" s="173"/>
      <c r="P465" s="173" t="s">
        <v>585</v>
      </c>
      <c r="Q465" s="173"/>
      <c r="R465" s="173" t="s">
        <v>585</v>
      </c>
      <c r="S465" s="173"/>
      <c r="T465" s="173" t="s">
        <v>585</v>
      </c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</row>
    <row r="466">
      <c r="A466" s="207">
        <v>299.0</v>
      </c>
      <c r="B466" s="196" t="s">
        <v>1138</v>
      </c>
      <c r="C466" s="196" t="s">
        <v>422</v>
      </c>
      <c r="D466" s="232" t="s">
        <v>1140</v>
      </c>
      <c r="E466" s="233">
        <v>44404.0</v>
      </c>
      <c r="F466" s="234" t="s">
        <v>642</v>
      </c>
      <c r="G466" s="173" t="s">
        <v>194</v>
      </c>
      <c r="H466" s="173">
        <v>1.0</v>
      </c>
      <c r="I466" s="173"/>
      <c r="J466" s="199">
        <v>0.0</v>
      </c>
      <c r="K466" s="206">
        <f>vlookup($D466,Python!$D$2:$F$1000,3,FALSE)</f>
        <v>466.1</v>
      </c>
      <c r="L466" s="199">
        <v>2000000.0</v>
      </c>
      <c r="M466" s="173"/>
      <c r="N466" s="199" t="s">
        <v>585</v>
      </c>
      <c r="O466" s="173"/>
      <c r="P466" s="173" t="s">
        <v>585</v>
      </c>
      <c r="Q466" s="173"/>
      <c r="R466" s="173" t="s">
        <v>585</v>
      </c>
      <c r="S466" s="173"/>
      <c r="T466" s="173" t="s">
        <v>585</v>
      </c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</row>
    <row r="467">
      <c r="A467" s="207">
        <v>300.0</v>
      </c>
      <c r="B467" s="196" t="s">
        <v>1138</v>
      </c>
      <c r="C467" s="196" t="s">
        <v>422</v>
      </c>
      <c r="D467" s="232" t="s">
        <v>1141</v>
      </c>
      <c r="E467" s="233">
        <v>44406.0</v>
      </c>
      <c r="F467" s="234" t="s">
        <v>642</v>
      </c>
      <c r="G467" s="173" t="s">
        <v>194</v>
      </c>
      <c r="H467" s="173">
        <v>1.0</v>
      </c>
      <c r="I467" s="173"/>
      <c r="J467" s="199">
        <v>0.0</v>
      </c>
      <c r="K467" s="206">
        <f>vlookup($D467,Python!$D$2:$F$1000,3,FALSE)</f>
        <v>1200</v>
      </c>
      <c r="L467" s="199">
        <v>6000000.0</v>
      </c>
      <c r="M467" s="173"/>
      <c r="N467" s="199" t="s">
        <v>585</v>
      </c>
      <c r="O467" s="173"/>
      <c r="P467" s="173" t="s">
        <v>585</v>
      </c>
      <c r="Q467" s="173"/>
      <c r="R467" s="173" t="s">
        <v>585</v>
      </c>
      <c r="S467" s="173"/>
      <c r="T467" s="173" t="s">
        <v>585</v>
      </c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</row>
    <row r="468">
      <c r="A468" s="207">
        <v>301.0</v>
      </c>
      <c r="B468" s="196" t="s">
        <v>1138</v>
      </c>
      <c r="C468" s="196" t="s">
        <v>422</v>
      </c>
      <c r="D468" s="232" t="s">
        <v>1142</v>
      </c>
      <c r="E468" s="233">
        <v>44408.0</v>
      </c>
      <c r="F468" s="234" t="s">
        <v>647</v>
      </c>
      <c r="G468" s="173" t="s">
        <v>194</v>
      </c>
      <c r="H468" s="173">
        <v>1.0</v>
      </c>
      <c r="I468" s="173"/>
      <c r="J468" s="199">
        <v>0.0</v>
      </c>
      <c r="K468" s="206">
        <f>vlookup($D468,Python!$D$2:$F$1000,3,FALSE)</f>
        <v>2200</v>
      </c>
      <c r="L468" s="199">
        <v>1.1E7</v>
      </c>
      <c r="M468" s="173"/>
      <c r="N468" s="199" t="s">
        <v>585</v>
      </c>
      <c r="O468" s="173"/>
      <c r="P468" s="173" t="s">
        <v>585</v>
      </c>
      <c r="Q468" s="173"/>
      <c r="R468" s="173" t="s">
        <v>585</v>
      </c>
      <c r="S468" s="173"/>
      <c r="T468" s="173" t="s">
        <v>585</v>
      </c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</row>
    <row r="469">
      <c r="A469" s="207">
        <v>302.0</v>
      </c>
      <c r="B469" s="196" t="s">
        <v>1138</v>
      </c>
      <c r="C469" s="196" t="s">
        <v>422</v>
      </c>
      <c r="D469" s="232" t="s">
        <v>1143</v>
      </c>
      <c r="E469" s="233">
        <v>44412.0</v>
      </c>
      <c r="F469" s="234" t="s">
        <v>647</v>
      </c>
      <c r="G469" s="173" t="s">
        <v>194</v>
      </c>
      <c r="H469" s="173">
        <v>1.0</v>
      </c>
      <c r="I469" s="173"/>
      <c r="J469" s="199">
        <v>0.0</v>
      </c>
      <c r="K469" s="206">
        <f>vlookup($D469,Python!$D$2:$F$1000,3,FALSE)</f>
        <v>135.3</v>
      </c>
      <c r="L469" s="199">
        <v>500000.0</v>
      </c>
      <c r="M469" s="173"/>
      <c r="N469" s="199" t="s">
        <v>585</v>
      </c>
      <c r="O469" s="173"/>
      <c r="P469" s="173" t="s">
        <v>585</v>
      </c>
      <c r="Q469" s="173"/>
      <c r="R469" s="173" t="s">
        <v>585</v>
      </c>
      <c r="S469" s="173"/>
      <c r="T469" s="173" t="s">
        <v>585</v>
      </c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</row>
    <row r="470">
      <c r="A470" s="207">
        <v>303.0</v>
      </c>
      <c r="B470" s="196" t="s">
        <v>1138</v>
      </c>
      <c r="C470" s="196" t="s">
        <v>422</v>
      </c>
      <c r="D470" s="232" t="s">
        <v>1144</v>
      </c>
      <c r="E470" s="233">
        <v>44417.0</v>
      </c>
      <c r="F470" s="234" t="s">
        <v>642</v>
      </c>
      <c r="G470" s="173" t="s">
        <v>194</v>
      </c>
      <c r="H470" s="173">
        <v>1.0</v>
      </c>
      <c r="I470" s="173"/>
      <c r="J470" s="199">
        <v>0.0</v>
      </c>
      <c r="K470" s="206">
        <f>vlookup($D470,Python!$D$2:$F$1000,3,FALSE)</f>
        <v>136</v>
      </c>
      <c r="L470" s="199">
        <v>500000.0</v>
      </c>
      <c r="M470" s="173"/>
      <c r="N470" s="199" t="s">
        <v>585</v>
      </c>
      <c r="O470" s="173"/>
      <c r="P470" s="173" t="s">
        <v>585</v>
      </c>
      <c r="Q470" s="173"/>
      <c r="R470" s="173" t="s">
        <v>585</v>
      </c>
      <c r="S470" s="173"/>
      <c r="T470" s="173" t="s">
        <v>585</v>
      </c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</row>
    <row r="471">
      <c r="A471" s="207">
        <v>304.0</v>
      </c>
      <c r="B471" s="196" t="s">
        <v>1138</v>
      </c>
      <c r="C471" s="196" t="s">
        <v>422</v>
      </c>
      <c r="D471" s="232" t="s">
        <v>1145</v>
      </c>
      <c r="E471" s="233">
        <v>44421.0</v>
      </c>
      <c r="F471" s="234" t="s">
        <v>647</v>
      </c>
      <c r="G471" s="173" t="s">
        <v>194</v>
      </c>
      <c r="H471" s="173">
        <v>1.0</v>
      </c>
      <c r="I471" s="173"/>
      <c r="J471" s="199">
        <v>0.0</v>
      </c>
      <c r="K471" s="206">
        <f>vlookup($D471,Python!$D$2:$F$1000,3,FALSE)</f>
        <v>126.1</v>
      </c>
      <c r="L471" s="199">
        <v>500000.0</v>
      </c>
      <c r="M471" s="173"/>
      <c r="N471" s="199" t="s">
        <v>585</v>
      </c>
      <c r="O471" s="173"/>
      <c r="P471" s="173" t="s">
        <v>585</v>
      </c>
      <c r="Q471" s="173"/>
      <c r="R471" s="173" t="s">
        <v>585</v>
      </c>
      <c r="S471" s="173"/>
      <c r="T471" s="173" t="s">
        <v>585</v>
      </c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</row>
    <row r="472">
      <c r="A472" s="207">
        <v>305.0</v>
      </c>
      <c r="B472" s="196" t="s">
        <v>1146</v>
      </c>
      <c r="C472" s="196" t="s">
        <v>418</v>
      </c>
      <c r="D472" s="232" t="s">
        <v>1147</v>
      </c>
      <c r="E472" s="233">
        <v>44419.0</v>
      </c>
      <c r="F472" s="234" t="s">
        <v>641</v>
      </c>
      <c r="G472" s="173" t="s">
        <v>194</v>
      </c>
      <c r="H472" s="173">
        <v>1.0</v>
      </c>
      <c r="I472" s="173"/>
      <c r="J472" s="199">
        <v>0.0</v>
      </c>
      <c r="K472" s="206">
        <f>vlookup($D472,Python!$D$2:$F$1000,3,FALSE)</f>
        <v>50</v>
      </c>
      <c r="L472" s="199">
        <v>1000000.0</v>
      </c>
      <c r="M472" s="173"/>
      <c r="N472" s="199" t="s">
        <v>585</v>
      </c>
      <c r="O472" s="173"/>
      <c r="P472" s="173" t="s">
        <v>585</v>
      </c>
      <c r="Q472" s="173"/>
      <c r="R472" s="173" t="s">
        <v>585</v>
      </c>
      <c r="S472" s="173"/>
      <c r="T472" s="173" t="s">
        <v>585</v>
      </c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</row>
    <row r="473">
      <c r="A473" s="207">
        <v>306.0</v>
      </c>
      <c r="B473" s="196" t="s">
        <v>1148</v>
      </c>
      <c r="C473" s="196" t="s">
        <v>418</v>
      </c>
      <c r="D473" s="232" t="s">
        <v>1149</v>
      </c>
      <c r="E473" s="233">
        <v>44417.0</v>
      </c>
      <c r="F473" s="234" t="s">
        <v>641</v>
      </c>
      <c r="G473" s="173" t="s">
        <v>194</v>
      </c>
      <c r="H473" s="173">
        <v>1.0</v>
      </c>
      <c r="I473" s="173"/>
      <c r="J473" s="199">
        <v>0.0</v>
      </c>
      <c r="K473" s="206">
        <f>vlookup($D473,Python!$D$2:$F$1000,3,FALSE)</f>
        <v>100</v>
      </c>
      <c r="L473" s="199">
        <v>2000000.0</v>
      </c>
      <c r="M473" s="173"/>
      <c r="N473" s="199" t="s">
        <v>585</v>
      </c>
      <c r="O473" s="173"/>
      <c r="P473" s="173" t="s">
        <v>585</v>
      </c>
      <c r="Q473" s="173"/>
      <c r="R473" s="173" t="s">
        <v>585</v>
      </c>
      <c r="S473" s="173"/>
      <c r="T473" s="173" t="s">
        <v>585</v>
      </c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</row>
    <row r="474">
      <c r="A474" s="207">
        <v>307.0</v>
      </c>
      <c r="B474" s="196" t="s">
        <v>1150</v>
      </c>
      <c r="C474" s="196" t="s">
        <v>422</v>
      </c>
      <c r="D474" s="232" t="s">
        <v>1151</v>
      </c>
      <c r="E474" s="233">
        <v>44407.0</v>
      </c>
      <c r="F474" s="234" t="s">
        <v>641</v>
      </c>
      <c r="G474" s="173" t="s">
        <v>194</v>
      </c>
      <c r="H474" s="173">
        <v>1.0</v>
      </c>
      <c r="I474" s="173"/>
      <c r="J474" s="199">
        <v>0.0</v>
      </c>
      <c r="K474" s="206">
        <f>vlookup($D474,Python!$D$2:$F$1000,3,FALSE)</f>
        <v>105.9</v>
      </c>
      <c r="L474" s="199">
        <v>500000.0</v>
      </c>
      <c r="M474" s="173"/>
      <c r="N474" s="199" t="s">
        <v>585</v>
      </c>
      <c r="O474" s="173"/>
      <c r="P474" s="173" t="s">
        <v>585</v>
      </c>
      <c r="Q474" s="173"/>
      <c r="R474" s="173" t="s">
        <v>585</v>
      </c>
      <c r="S474" s="173"/>
      <c r="T474" s="173" t="s">
        <v>585</v>
      </c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</row>
    <row r="475">
      <c r="A475" s="207">
        <v>308.0</v>
      </c>
      <c r="B475" s="196" t="s">
        <v>1152</v>
      </c>
      <c r="C475" s="196" t="s">
        <v>418</v>
      </c>
      <c r="D475" s="232" t="s">
        <v>1153</v>
      </c>
      <c r="E475" s="233">
        <v>44415.0</v>
      </c>
      <c r="F475" s="234" t="s">
        <v>641</v>
      </c>
      <c r="G475" s="173" t="s">
        <v>194</v>
      </c>
      <c r="H475" s="173">
        <v>1.0</v>
      </c>
      <c r="I475" s="173"/>
      <c r="J475" s="199">
        <v>0.0</v>
      </c>
      <c r="K475" s="206">
        <f>vlookup($D475,Python!$D$2:$F$1000,3,FALSE)</f>
        <v>53</v>
      </c>
      <c r="L475" s="199">
        <v>1000000.0</v>
      </c>
      <c r="M475" s="173"/>
      <c r="N475" s="199" t="s">
        <v>585</v>
      </c>
      <c r="O475" s="173"/>
      <c r="P475" s="173" t="s">
        <v>585</v>
      </c>
      <c r="Q475" s="173"/>
      <c r="R475" s="173" t="s">
        <v>585</v>
      </c>
      <c r="S475" s="173"/>
      <c r="T475" s="173" t="s">
        <v>585</v>
      </c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</row>
    <row r="476">
      <c r="A476" s="207">
        <v>309.0</v>
      </c>
      <c r="B476" s="196" t="s">
        <v>1154</v>
      </c>
      <c r="C476" s="196" t="s">
        <v>422</v>
      </c>
      <c r="D476" s="232" t="s">
        <v>1155</v>
      </c>
      <c r="E476" s="233">
        <v>44421.0</v>
      </c>
      <c r="F476" s="234" t="s">
        <v>642</v>
      </c>
      <c r="G476" s="173" t="s">
        <v>194</v>
      </c>
      <c r="H476" s="173">
        <v>1.0</v>
      </c>
      <c r="I476" s="173"/>
      <c r="J476" s="199">
        <v>0.0</v>
      </c>
      <c r="K476" s="206">
        <f>vlookup($D476,Python!$D$2:$F$1000,3,FALSE)</f>
        <v>51.5</v>
      </c>
      <c r="L476" s="199">
        <v>0.0</v>
      </c>
      <c r="M476" s="173"/>
      <c r="N476" s="199" t="s">
        <v>585</v>
      </c>
      <c r="O476" s="173"/>
      <c r="P476" s="173" t="s">
        <v>585</v>
      </c>
      <c r="Q476" s="173"/>
      <c r="R476" s="173" t="s">
        <v>585</v>
      </c>
      <c r="S476" s="173"/>
      <c r="T476" s="173" t="s">
        <v>585</v>
      </c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</row>
    <row r="477">
      <c r="A477" s="207">
        <v>310.0</v>
      </c>
      <c r="B477" s="196" t="s">
        <v>1156</v>
      </c>
      <c r="C477" s="196" t="s">
        <v>418</v>
      </c>
      <c r="D477" s="232" t="s">
        <v>1157</v>
      </c>
      <c r="E477" s="233">
        <v>44404.0</v>
      </c>
      <c r="F477" s="234" t="s">
        <v>647</v>
      </c>
      <c r="G477" s="173" t="s">
        <v>194</v>
      </c>
      <c r="H477" s="173">
        <v>1.0</v>
      </c>
      <c r="I477" s="173"/>
      <c r="J477" s="199">
        <v>0.0</v>
      </c>
      <c r="K477" s="206">
        <f>vlookup($D477,Python!$D$2:$F$1000,3,FALSE)</f>
        <v>2.8</v>
      </c>
      <c r="L477" s="199">
        <v>0.0</v>
      </c>
      <c r="M477" s="173"/>
      <c r="N477" s="199" t="s">
        <v>585</v>
      </c>
      <c r="O477" s="173"/>
      <c r="P477" s="173" t="s">
        <v>585</v>
      </c>
      <c r="Q477" s="173"/>
      <c r="R477" s="173" t="s">
        <v>585</v>
      </c>
      <c r="S477" s="173"/>
      <c r="T477" s="173" t="s">
        <v>585</v>
      </c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</row>
    <row r="478">
      <c r="A478" s="207">
        <v>311.0</v>
      </c>
      <c r="B478" s="196" t="s">
        <v>1158</v>
      </c>
      <c r="C478" s="196" t="s">
        <v>418</v>
      </c>
      <c r="D478" s="232" t="s">
        <v>1159</v>
      </c>
      <c r="E478" s="233">
        <v>44388.0</v>
      </c>
      <c r="F478" s="234" t="s">
        <v>647</v>
      </c>
      <c r="G478" s="173" t="s">
        <v>194</v>
      </c>
      <c r="H478" s="173">
        <v>1.0</v>
      </c>
      <c r="I478" s="173"/>
      <c r="J478" s="199">
        <v>0.0</v>
      </c>
      <c r="K478" s="206">
        <f>vlookup($D478,Python!$D$2:$F$1000,3,FALSE)</f>
        <v>51</v>
      </c>
      <c r="L478" s="199">
        <v>1000000.0</v>
      </c>
      <c r="M478" s="173"/>
      <c r="N478" s="199" t="s">
        <v>585</v>
      </c>
      <c r="O478" s="173"/>
      <c r="P478" s="173" t="s">
        <v>585</v>
      </c>
      <c r="Q478" s="173"/>
      <c r="R478" s="173" t="s">
        <v>585</v>
      </c>
      <c r="S478" s="173"/>
      <c r="T478" s="173" t="s">
        <v>585</v>
      </c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</row>
    <row r="479">
      <c r="A479" s="207">
        <v>312.0</v>
      </c>
      <c r="B479" s="196" t="s">
        <v>1160</v>
      </c>
      <c r="C479" s="196" t="s">
        <v>422</v>
      </c>
      <c r="D479" s="232" t="s">
        <v>1161</v>
      </c>
      <c r="E479" s="233">
        <v>44388.0</v>
      </c>
      <c r="F479" s="234" t="s">
        <v>642</v>
      </c>
      <c r="G479" s="173" t="s">
        <v>194</v>
      </c>
      <c r="H479" s="173">
        <v>1.0</v>
      </c>
      <c r="I479" s="173"/>
      <c r="J479" s="199">
        <v>0.0</v>
      </c>
      <c r="K479" s="206">
        <f>vlookup($D479,Python!$D$2:$F$1000,3,FALSE)</f>
        <v>1000</v>
      </c>
      <c r="L479" s="199">
        <v>5000000.0</v>
      </c>
      <c r="M479" s="173"/>
      <c r="N479" s="199" t="s">
        <v>585</v>
      </c>
      <c r="O479" s="173"/>
      <c r="P479" s="173" t="s">
        <v>585</v>
      </c>
      <c r="Q479" s="173"/>
      <c r="R479" s="173" t="s">
        <v>585</v>
      </c>
      <c r="S479" s="173"/>
      <c r="T479" s="173" t="s">
        <v>585</v>
      </c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</row>
    <row r="480">
      <c r="A480" s="207">
        <v>313.0</v>
      </c>
      <c r="B480" s="196" t="s">
        <v>1162</v>
      </c>
      <c r="C480" s="196" t="s">
        <v>422</v>
      </c>
      <c r="D480" s="232" t="s">
        <v>1163</v>
      </c>
      <c r="E480" s="233">
        <v>44390.0</v>
      </c>
      <c r="F480" s="234" t="s">
        <v>647</v>
      </c>
      <c r="G480" s="173" t="s">
        <v>194</v>
      </c>
      <c r="H480" s="173">
        <v>1.0</v>
      </c>
      <c r="I480" s="173"/>
      <c r="J480" s="199">
        <v>0.0</v>
      </c>
      <c r="K480" s="206">
        <f>vlookup($D480,Python!$D$2:$F$1000,3,FALSE)</f>
        <v>188.8</v>
      </c>
      <c r="L480" s="199">
        <v>500000.0</v>
      </c>
      <c r="M480" s="173"/>
      <c r="N480" s="199" t="s">
        <v>585</v>
      </c>
      <c r="O480" s="173"/>
      <c r="P480" s="173" t="s">
        <v>585</v>
      </c>
      <c r="Q480" s="173"/>
      <c r="R480" s="173" t="s">
        <v>585</v>
      </c>
      <c r="S480" s="173"/>
      <c r="T480" s="173" t="s">
        <v>585</v>
      </c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</row>
    <row r="481">
      <c r="A481" s="207">
        <v>314.0</v>
      </c>
      <c r="B481" s="196" t="s">
        <v>1162</v>
      </c>
      <c r="C481" s="196" t="s">
        <v>422</v>
      </c>
      <c r="D481" s="232" t="s">
        <v>1164</v>
      </c>
      <c r="E481" s="233">
        <v>44394.0</v>
      </c>
      <c r="F481" s="234" t="s">
        <v>642</v>
      </c>
      <c r="G481" s="173" t="s">
        <v>194</v>
      </c>
      <c r="H481" s="173">
        <v>1.0</v>
      </c>
      <c r="I481" s="173"/>
      <c r="J481" s="199">
        <v>0.0</v>
      </c>
      <c r="K481" s="206">
        <f>vlookup($D481,Python!$D$2:$F$1000,3,FALSE)</f>
        <v>2100</v>
      </c>
      <c r="L481" s="199">
        <v>1.05E7</v>
      </c>
      <c r="M481" s="173"/>
      <c r="N481" s="199" t="s">
        <v>585</v>
      </c>
      <c r="O481" s="173"/>
      <c r="P481" s="173" t="s">
        <v>585</v>
      </c>
      <c r="Q481" s="173"/>
      <c r="R481" s="173" t="s">
        <v>585</v>
      </c>
      <c r="S481" s="173"/>
      <c r="T481" s="173" t="s">
        <v>585</v>
      </c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</row>
    <row r="482">
      <c r="A482" s="207">
        <v>315.0</v>
      </c>
      <c r="B482" s="196" t="s">
        <v>1165</v>
      </c>
      <c r="C482" s="196" t="s">
        <v>418</v>
      </c>
      <c r="D482" s="232" t="s">
        <v>1166</v>
      </c>
      <c r="E482" s="233">
        <v>44390.0</v>
      </c>
      <c r="F482" s="234" t="s">
        <v>641</v>
      </c>
      <c r="G482" s="173" t="s">
        <v>194</v>
      </c>
      <c r="H482" s="173">
        <v>1.0</v>
      </c>
      <c r="I482" s="173"/>
      <c r="J482" s="199">
        <v>0.0</v>
      </c>
      <c r="K482" s="206">
        <f>vlookup($D482,Python!$D$2:$F$1000,3,FALSE)</f>
        <v>11</v>
      </c>
      <c r="L482" s="199">
        <v>0.0</v>
      </c>
      <c r="M482" s="173"/>
      <c r="N482" s="199" t="s">
        <v>585</v>
      </c>
      <c r="O482" s="173"/>
      <c r="P482" s="173" t="s">
        <v>585</v>
      </c>
      <c r="Q482" s="173"/>
      <c r="R482" s="173" t="s">
        <v>585</v>
      </c>
      <c r="S482" s="173"/>
      <c r="T482" s="173" t="s">
        <v>585</v>
      </c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</row>
    <row r="483">
      <c r="A483" s="207">
        <v>316.0</v>
      </c>
      <c r="B483" s="196" t="s">
        <v>1167</v>
      </c>
      <c r="C483" s="196" t="s">
        <v>422</v>
      </c>
      <c r="D483" s="232" t="s">
        <v>1168</v>
      </c>
      <c r="E483" s="233">
        <v>44394.0</v>
      </c>
      <c r="F483" s="234" t="s">
        <v>647</v>
      </c>
      <c r="G483" s="173" t="s">
        <v>194</v>
      </c>
      <c r="H483" s="173">
        <v>1.0</v>
      </c>
      <c r="I483" s="173"/>
      <c r="J483" s="199">
        <v>0.0</v>
      </c>
      <c r="K483" s="206" t="str">
        <f>vlookup($D483,Python!$D$2:$F$1000,3,FALSE)</f>
        <v/>
      </c>
      <c r="L483" s="199" t="s">
        <v>585</v>
      </c>
      <c r="M483" s="173"/>
      <c r="N483" s="199" t="s">
        <v>585</v>
      </c>
      <c r="O483" s="173"/>
      <c r="P483" s="173" t="s">
        <v>585</v>
      </c>
      <c r="Q483" s="173"/>
      <c r="R483" s="173" t="s">
        <v>585</v>
      </c>
      <c r="S483" s="173"/>
      <c r="T483" s="173" t="s">
        <v>585</v>
      </c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</row>
    <row r="484">
      <c r="A484" s="207">
        <v>317.0</v>
      </c>
      <c r="B484" s="196" t="s">
        <v>1169</v>
      </c>
      <c r="C484" s="196" t="s">
        <v>418</v>
      </c>
      <c r="D484" s="232" t="s">
        <v>1170</v>
      </c>
      <c r="E484" s="233">
        <v>44411.0</v>
      </c>
      <c r="F484" s="234" t="s">
        <v>641</v>
      </c>
      <c r="G484" s="173" t="s">
        <v>194</v>
      </c>
      <c r="H484" s="173">
        <v>1.0</v>
      </c>
      <c r="I484" s="173"/>
      <c r="J484" s="199">
        <v>0.0</v>
      </c>
      <c r="K484" s="206">
        <f>vlookup($D484,Python!$D$2:$F$1000,3,FALSE)</f>
        <v>5.8</v>
      </c>
      <c r="L484" s="199">
        <v>0.0</v>
      </c>
      <c r="M484" s="173"/>
      <c r="N484" s="199" t="s">
        <v>585</v>
      </c>
      <c r="O484" s="173"/>
      <c r="P484" s="173" t="s">
        <v>585</v>
      </c>
      <c r="Q484" s="173"/>
      <c r="R484" s="173" t="s">
        <v>585</v>
      </c>
      <c r="S484" s="173"/>
      <c r="T484" s="173" t="s">
        <v>585</v>
      </c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</row>
    <row r="485">
      <c r="A485" s="207">
        <v>318.0</v>
      </c>
      <c r="B485" s="196" t="s">
        <v>1171</v>
      </c>
      <c r="C485" s="196" t="s">
        <v>418</v>
      </c>
      <c r="D485" s="232" t="s">
        <v>1172</v>
      </c>
      <c r="E485" s="233">
        <v>44419.0</v>
      </c>
      <c r="F485" s="234" t="s">
        <v>641</v>
      </c>
      <c r="G485" s="173" t="s">
        <v>194</v>
      </c>
      <c r="H485" s="173">
        <v>1.0</v>
      </c>
      <c r="I485" s="173"/>
      <c r="J485" s="199">
        <v>0.0</v>
      </c>
      <c r="K485" s="206">
        <f>vlookup($D485,Python!$D$2:$F$1000,3,FALSE)</f>
        <v>4.1</v>
      </c>
      <c r="L485" s="199">
        <v>0.0</v>
      </c>
      <c r="M485" s="173"/>
      <c r="N485" s="199" t="s">
        <v>585</v>
      </c>
      <c r="O485" s="173"/>
      <c r="P485" s="173" t="s">
        <v>585</v>
      </c>
      <c r="Q485" s="173"/>
      <c r="R485" s="173" t="s">
        <v>585</v>
      </c>
      <c r="S485" s="173"/>
      <c r="T485" s="173" t="s">
        <v>585</v>
      </c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</row>
    <row r="486">
      <c r="A486" s="207">
        <v>319.0</v>
      </c>
      <c r="B486" s="196" t="s">
        <v>1173</v>
      </c>
      <c r="C486" s="196" t="s">
        <v>422</v>
      </c>
      <c r="D486" s="232" t="s">
        <v>1174</v>
      </c>
      <c r="E486" s="233">
        <v>44424.0</v>
      </c>
      <c r="F486" s="234" t="s">
        <v>647</v>
      </c>
      <c r="G486" s="173" t="s">
        <v>194</v>
      </c>
      <c r="H486" s="173">
        <v>1.0</v>
      </c>
      <c r="I486" s="173"/>
      <c r="J486" s="199">
        <v>0.0</v>
      </c>
      <c r="K486" s="206">
        <f>vlookup($D486,Python!$D$2:$F$1000,3,FALSE)</f>
        <v>26.1</v>
      </c>
      <c r="L486" s="199">
        <v>0.0</v>
      </c>
      <c r="M486" s="173"/>
      <c r="N486" s="199" t="s">
        <v>585</v>
      </c>
      <c r="O486" s="173"/>
      <c r="P486" s="173" t="s">
        <v>585</v>
      </c>
      <c r="Q486" s="173"/>
      <c r="R486" s="173" t="s">
        <v>585</v>
      </c>
      <c r="S486" s="173"/>
      <c r="T486" s="173" t="s">
        <v>585</v>
      </c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</row>
    <row r="487">
      <c r="A487" s="207">
        <v>320.0</v>
      </c>
      <c r="B487" s="196" t="s">
        <v>1175</v>
      </c>
      <c r="C487" s="196" t="s">
        <v>418</v>
      </c>
      <c r="D487" s="232" t="s">
        <v>1176</v>
      </c>
      <c r="E487" s="233">
        <v>44424.0</v>
      </c>
      <c r="F487" s="234" t="s">
        <v>647</v>
      </c>
      <c r="G487" s="173" t="s">
        <v>194</v>
      </c>
      <c r="H487" s="173">
        <v>1.0</v>
      </c>
      <c r="I487" s="173"/>
      <c r="J487" s="199">
        <v>0.0</v>
      </c>
      <c r="K487" s="206">
        <f>vlookup($D487,Python!$D$2:$F$1000,3,FALSE)</f>
        <v>102</v>
      </c>
      <c r="L487" s="199">
        <v>2000000.0</v>
      </c>
      <c r="M487" s="173"/>
      <c r="N487" s="199" t="s">
        <v>585</v>
      </c>
      <c r="O487" s="173"/>
      <c r="P487" s="173" t="s">
        <v>585</v>
      </c>
      <c r="Q487" s="173"/>
      <c r="R487" s="173" t="s">
        <v>585</v>
      </c>
      <c r="S487" s="173"/>
      <c r="T487" s="173" t="s">
        <v>585</v>
      </c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</row>
    <row r="488">
      <c r="A488" s="207">
        <v>321.0</v>
      </c>
      <c r="B488" s="196" t="s">
        <v>1177</v>
      </c>
      <c r="C488" s="196" t="s">
        <v>422</v>
      </c>
      <c r="D488" s="232" t="s">
        <v>1178</v>
      </c>
      <c r="E488" s="233">
        <v>44424.0</v>
      </c>
      <c r="F488" s="234" t="s">
        <v>647</v>
      </c>
      <c r="G488" s="173" t="s">
        <v>194</v>
      </c>
      <c r="H488" s="173">
        <v>1.0</v>
      </c>
      <c r="I488" s="173"/>
      <c r="J488" s="199">
        <v>0.0</v>
      </c>
      <c r="K488" s="206">
        <f>vlookup($D488,Python!$D$2:$F$1000,3,FALSE)</f>
        <v>200</v>
      </c>
      <c r="L488" s="199">
        <v>1000000.0</v>
      </c>
      <c r="M488" s="173"/>
      <c r="N488" s="199" t="s">
        <v>585</v>
      </c>
      <c r="O488" s="173"/>
      <c r="P488" s="173" t="s">
        <v>585</v>
      </c>
      <c r="Q488" s="173"/>
      <c r="R488" s="173" t="s">
        <v>585</v>
      </c>
      <c r="S488" s="173"/>
      <c r="T488" s="173" t="s">
        <v>585</v>
      </c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</row>
    <row r="489">
      <c r="A489" s="207">
        <v>322.0</v>
      </c>
      <c r="B489" s="196" t="s">
        <v>1179</v>
      </c>
      <c r="C489" s="196" t="s">
        <v>422</v>
      </c>
      <c r="D489" s="232" t="s">
        <v>1180</v>
      </c>
      <c r="E489" s="233">
        <v>44414.0</v>
      </c>
      <c r="F489" s="234" t="s">
        <v>647</v>
      </c>
      <c r="G489" s="173" t="s">
        <v>194</v>
      </c>
      <c r="H489" s="173">
        <v>1.0</v>
      </c>
      <c r="I489" s="173"/>
      <c r="J489" s="199">
        <v>0.0</v>
      </c>
      <c r="K489" s="293"/>
      <c r="L489" s="173" t="s">
        <v>585</v>
      </c>
      <c r="M489" s="173"/>
      <c r="N489" s="199" t="s">
        <v>585</v>
      </c>
      <c r="O489" s="173"/>
      <c r="P489" s="173" t="s">
        <v>585</v>
      </c>
      <c r="Q489" s="173"/>
      <c r="R489" s="173" t="s">
        <v>585</v>
      </c>
      <c r="S489" s="173"/>
      <c r="T489" s="173" t="s">
        <v>585</v>
      </c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</row>
    <row r="490">
      <c r="A490" s="207">
        <v>323.0</v>
      </c>
      <c r="B490" s="196" t="s">
        <v>1179</v>
      </c>
      <c r="C490" s="196" t="s">
        <v>422</v>
      </c>
      <c r="D490" s="232" t="s">
        <v>1181</v>
      </c>
      <c r="E490" s="233">
        <v>44424.0</v>
      </c>
      <c r="F490" s="234" t="s">
        <v>647</v>
      </c>
      <c r="G490" s="173" t="s">
        <v>194</v>
      </c>
      <c r="H490" s="173">
        <v>1.0</v>
      </c>
      <c r="I490" s="173"/>
      <c r="J490" s="199">
        <v>0.0</v>
      </c>
      <c r="K490" s="293"/>
      <c r="L490" s="173" t="s">
        <v>585</v>
      </c>
      <c r="M490" s="173"/>
      <c r="N490" s="199" t="s">
        <v>585</v>
      </c>
      <c r="O490" s="173"/>
      <c r="P490" s="173" t="s">
        <v>585</v>
      </c>
      <c r="Q490" s="173"/>
      <c r="R490" s="173" t="s">
        <v>585</v>
      </c>
      <c r="S490" s="173"/>
      <c r="T490" s="173" t="s">
        <v>585</v>
      </c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</row>
    <row r="491">
      <c r="A491" s="207">
        <v>324.0</v>
      </c>
      <c r="B491" s="196" t="s">
        <v>1179</v>
      </c>
      <c r="C491" s="196" t="s">
        <v>422</v>
      </c>
      <c r="D491" s="232" t="s">
        <v>1182</v>
      </c>
      <c r="E491" s="233">
        <v>44425.0</v>
      </c>
      <c r="F491" s="234" t="s">
        <v>647</v>
      </c>
      <c r="G491" s="173" t="s">
        <v>194</v>
      </c>
      <c r="H491" s="173">
        <v>1.0</v>
      </c>
      <c r="I491" s="173"/>
      <c r="J491" s="199">
        <v>0.0</v>
      </c>
      <c r="K491" s="293"/>
      <c r="L491" s="173" t="s">
        <v>585</v>
      </c>
      <c r="M491" s="173"/>
      <c r="N491" s="199" t="s">
        <v>585</v>
      </c>
      <c r="O491" s="173"/>
      <c r="P491" s="173" t="s">
        <v>585</v>
      </c>
      <c r="Q491" s="173"/>
      <c r="R491" s="173" t="s">
        <v>585</v>
      </c>
      <c r="S491" s="173"/>
      <c r="T491" s="173" t="s">
        <v>585</v>
      </c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</row>
    <row r="492">
      <c r="A492" s="207">
        <v>325.0</v>
      </c>
      <c r="B492" s="196" t="s">
        <v>428</v>
      </c>
      <c r="C492" s="196" t="s">
        <v>422</v>
      </c>
      <c r="D492" s="208" t="s">
        <v>1183</v>
      </c>
      <c r="E492" s="233">
        <v>44425.0</v>
      </c>
      <c r="F492" s="234" t="s">
        <v>641</v>
      </c>
      <c r="G492" s="173" t="s">
        <v>92</v>
      </c>
      <c r="H492" s="173">
        <v>1.0</v>
      </c>
      <c r="I492" s="173"/>
      <c r="J492" s="199">
        <v>0.0</v>
      </c>
      <c r="K492" s="293"/>
      <c r="L492" s="173" t="s">
        <v>585</v>
      </c>
      <c r="M492" s="173"/>
      <c r="N492" s="199" t="s">
        <v>585</v>
      </c>
      <c r="O492" s="173"/>
      <c r="P492" s="173" t="s">
        <v>585</v>
      </c>
      <c r="Q492" s="173"/>
      <c r="R492" s="173" t="s">
        <v>585</v>
      </c>
      <c r="S492" s="173"/>
      <c r="T492" s="173" t="s">
        <v>585</v>
      </c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</row>
    <row r="493">
      <c r="A493" s="207">
        <v>326.0</v>
      </c>
      <c r="B493" s="196" t="s">
        <v>1184</v>
      </c>
      <c r="C493" s="196" t="s">
        <v>418</v>
      </c>
      <c r="D493" s="208" t="s">
        <v>1185</v>
      </c>
      <c r="E493" s="233">
        <v>44425.0</v>
      </c>
      <c r="F493" s="234" t="s">
        <v>647</v>
      </c>
      <c r="G493" s="173" t="s">
        <v>92</v>
      </c>
      <c r="H493" s="173">
        <v>1.0</v>
      </c>
      <c r="I493" s="173"/>
      <c r="J493" s="199">
        <v>0.0</v>
      </c>
      <c r="K493" s="293"/>
      <c r="L493" s="173" t="s">
        <v>585</v>
      </c>
      <c r="M493" s="173"/>
      <c r="N493" s="199" t="s">
        <v>585</v>
      </c>
      <c r="O493" s="173"/>
      <c r="P493" s="173" t="s">
        <v>585</v>
      </c>
      <c r="Q493" s="173"/>
      <c r="R493" s="173" t="s">
        <v>585</v>
      </c>
      <c r="S493" s="173"/>
      <c r="T493" s="173" t="s">
        <v>585</v>
      </c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</row>
    <row r="494">
      <c r="A494" s="207">
        <v>327.0</v>
      </c>
      <c r="B494" s="195" t="s">
        <v>464</v>
      </c>
      <c r="C494" s="196" t="s">
        <v>422</v>
      </c>
      <c r="D494" s="208" t="s">
        <v>1186</v>
      </c>
      <c r="E494" s="209">
        <v>44403.0</v>
      </c>
      <c r="F494" s="210" t="s">
        <v>642</v>
      </c>
      <c r="G494" s="173" t="s">
        <v>466</v>
      </c>
      <c r="H494" s="173">
        <v>1.0</v>
      </c>
      <c r="I494" s="207">
        <v>11.0</v>
      </c>
      <c r="J494" s="199">
        <v>0.0</v>
      </c>
      <c r="K494" s="206">
        <f>vlookup($D494,Python!$D$2:$F$1000,3,FALSE)</f>
        <v>25.7</v>
      </c>
      <c r="L494" s="199">
        <v>0.0</v>
      </c>
      <c r="M494" s="173"/>
      <c r="N494" s="199" t="s">
        <v>585</v>
      </c>
      <c r="O494" s="173"/>
      <c r="P494" s="199" t="s">
        <v>585</v>
      </c>
      <c r="Q494" s="173"/>
      <c r="R494" s="199" t="s">
        <v>585</v>
      </c>
      <c r="S494" s="173"/>
      <c r="T494" s="199" t="s">
        <v>585</v>
      </c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</row>
    <row r="495">
      <c r="A495" s="207">
        <v>328.0</v>
      </c>
      <c r="B495" s="195" t="s">
        <v>464</v>
      </c>
      <c r="C495" s="196" t="s">
        <v>422</v>
      </c>
      <c r="D495" s="208" t="s">
        <v>1187</v>
      </c>
      <c r="E495" s="209">
        <v>44405.0</v>
      </c>
      <c r="F495" s="210" t="s">
        <v>642</v>
      </c>
      <c r="G495" s="173" t="s">
        <v>466</v>
      </c>
      <c r="H495" s="173">
        <v>1.0</v>
      </c>
      <c r="I495" s="207">
        <v>52.0</v>
      </c>
      <c r="J495" s="199">
        <v>0.0</v>
      </c>
      <c r="K495" s="206">
        <f>vlookup($D495,Python!$D$2:$F$1000,3,FALSE)</f>
        <v>311.9</v>
      </c>
      <c r="L495" s="199">
        <v>1500000.0</v>
      </c>
      <c r="M495" s="173"/>
      <c r="N495" s="199" t="s">
        <v>585</v>
      </c>
      <c r="O495" s="173"/>
      <c r="P495" s="199" t="s">
        <v>585</v>
      </c>
      <c r="Q495" s="173"/>
      <c r="R495" s="199" t="s">
        <v>585</v>
      </c>
      <c r="S495" s="173"/>
      <c r="T495" s="199" t="s">
        <v>585</v>
      </c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</row>
    <row r="496">
      <c r="A496" s="207">
        <v>329.0</v>
      </c>
      <c r="B496" s="195" t="s">
        <v>467</v>
      </c>
      <c r="C496" s="196" t="s">
        <v>422</v>
      </c>
      <c r="D496" s="208" t="s">
        <v>1188</v>
      </c>
      <c r="E496" s="209">
        <v>44404.0</v>
      </c>
      <c r="F496" s="210" t="s">
        <v>642</v>
      </c>
      <c r="G496" s="173" t="s">
        <v>92</v>
      </c>
      <c r="H496" s="173">
        <v>1.0</v>
      </c>
      <c r="I496" s="207">
        <v>46.0</v>
      </c>
      <c r="J496" s="199">
        <v>0.0</v>
      </c>
      <c r="K496" s="206">
        <f>vlookup($D496,Python!$D$2:$F$1000,3,FALSE)</f>
        <v>110.1</v>
      </c>
      <c r="L496" s="199">
        <v>500000.0</v>
      </c>
      <c r="M496" s="173"/>
      <c r="N496" s="199" t="s">
        <v>585</v>
      </c>
      <c r="O496" s="173"/>
      <c r="P496" s="199" t="s">
        <v>585</v>
      </c>
      <c r="Q496" s="173"/>
      <c r="R496" s="199" t="s">
        <v>585</v>
      </c>
      <c r="S496" s="173"/>
      <c r="T496" s="199" t="s">
        <v>585</v>
      </c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</row>
    <row r="497">
      <c r="A497" s="207">
        <v>330.0</v>
      </c>
      <c r="B497" s="195" t="s">
        <v>490</v>
      </c>
      <c r="C497" s="196" t="s">
        <v>422</v>
      </c>
      <c r="D497" s="208" t="s">
        <v>1189</v>
      </c>
      <c r="E497" s="209">
        <v>44403.0</v>
      </c>
      <c r="F497" s="210" t="s">
        <v>647</v>
      </c>
      <c r="G497" s="173" t="s">
        <v>92</v>
      </c>
      <c r="H497" s="173">
        <v>1.0</v>
      </c>
      <c r="I497" s="207">
        <v>426.0</v>
      </c>
      <c r="J497" s="199">
        <v>2000000.0</v>
      </c>
      <c r="K497" s="206">
        <f>vlookup($D497,Python!$D$2:$F$1000,3,FALSE)</f>
        <v>1700</v>
      </c>
      <c r="L497" s="199">
        <v>6500000.0</v>
      </c>
      <c r="M497" s="173"/>
      <c r="N497" s="199" t="s">
        <v>585</v>
      </c>
      <c r="O497" s="173"/>
      <c r="P497" s="199" t="s">
        <v>585</v>
      </c>
      <c r="Q497" s="173"/>
      <c r="R497" s="199" t="s">
        <v>585</v>
      </c>
      <c r="S497" s="173"/>
      <c r="T497" s="199" t="s">
        <v>585</v>
      </c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</row>
    <row r="498">
      <c r="A498" s="207">
        <v>331.0</v>
      </c>
      <c r="B498" s="195" t="s">
        <v>490</v>
      </c>
      <c r="C498" s="196" t="s">
        <v>422</v>
      </c>
      <c r="D498" s="208" t="s">
        <v>1190</v>
      </c>
      <c r="E498" s="209">
        <v>44404.0</v>
      </c>
      <c r="F498" s="210" t="s">
        <v>642</v>
      </c>
      <c r="G498" s="173" t="s">
        <v>92</v>
      </c>
      <c r="H498" s="173">
        <v>1.0</v>
      </c>
      <c r="I498" s="207">
        <v>72.0</v>
      </c>
      <c r="J498" s="199">
        <v>0.0</v>
      </c>
      <c r="K498" s="206">
        <f>vlookup($D498,Python!$D$2:$F$1000,3,FALSE)</f>
        <v>909.8</v>
      </c>
      <c r="L498" s="199">
        <v>4500000.0</v>
      </c>
      <c r="M498" s="173"/>
      <c r="N498" s="199" t="s">
        <v>585</v>
      </c>
      <c r="O498" s="173"/>
      <c r="P498" s="199" t="s">
        <v>585</v>
      </c>
      <c r="Q498" s="173"/>
      <c r="R498" s="199" t="s">
        <v>585</v>
      </c>
      <c r="S498" s="173"/>
      <c r="T498" s="199" t="s">
        <v>585</v>
      </c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</row>
    <row r="499">
      <c r="A499" s="207">
        <v>332.0</v>
      </c>
      <c r="B499" s="223" t="s">
        <v>490</v>
      </c>
      <c r="C499" s="224" t="s">
        <v>422</v>
      </c>
      <c r="D499" s="225" t="s">
        <v>1191</v>
      </c>
      <c r="E499" s="226">
        <v>44403.0</v>
      </c>
      <c r="F499" s="227" t="s">
        <v>647</v>
      </c>
      <c r="G499" s="228" t="s">
        <v>92</v>
      </c>
      <c r="H499" s="228">
        <v>1.0</v>
      </c>
      <c r="I499" s="229">
        <v>362.0</v>
      </c>
      <c r="J499" s="230">
        <v>1500000.0</v>
      </c>
      <c r="K499" s="206">
        <f>vlookup($D499,Python!$D$2:$F$1000,3,FALSE)</f>
        <v>1492.215</v>
      </c>
      <c r="L499" s="230">
        <v>5500000.0</v>
      </c>
      <c r="M499" s="173"/>
      <c r="N499" s="230" t="s">
        <v>585</v>
      </c>
      <c r="O499" s="231"/>
      <c r="P499" s="230" t="s">
        <v>585</v>
      </c>
      <c r="Q499" s="231"/>
      <c r="R499" s="230" t="s">
        <v>585</v>
      </c>
      <c r="S499" s="231"/>
      <c r="T499" s="230" t="s">
        <v>585</v>
      </c>
      <c r="U499" s="231"/>
      <c r="V499" s="231"/>
      <c r="W499" s="231"/>
      <c r="X499" s="231"/>
      <c r="Y499" s="231"/>
      <c r="Z499" s="231"/>
      <c r="AA499" s="231"/>
      <c r="AB499" s="231"/>
      <c r="AC499" s="231"/>
      <c r="AD499" s="231"/>
      <c r="AE499" s="231"/>
      <c r="AF499" s="231"/>
    </row>
    <row r="500">
      <c r="A500" s="207">
        <v>333.0</v>
      </c>
      <c r="B500" s="223" t="s">
        <v>490</v>
      </c>
      <c r="C500" s="224" t="s">
        <v>422</v>
      </c>
      <c r="D500" s="225" t="s">
        <v>1192</v>
      </c>
      <c r="E500" s="226">
        <v>44404.0</v>
      </c>
      <c r="F500" s="227" t="s">
        <v>642</v>
      </c>
      <c r="G500" s="228" t="s">
        <v>92</v>
      </c>
      <c r="H500" s="228">
        <v>1.0</v>
      </c>
      <c r="I500" s="229">
        <v>56.0</v>
      </c>
      <c r="J500" s="230">
        <v>0.0</v>
      </c>
      <c r="K500" s="206">
        <f>vlookup($D500,Python!$D$2:$F$1000,3,FALSE)</f>
        <v>568.08</v>
      </c>
      <c r="L500" s="230">
        <v>2500000.0</v>
      </c>
      <c r="M500" s="173"/>
      <c r="N500" s="230" t="s">
        <v>585</v>
      </c>
      <c r="O500" s="231"/>
      <c r="P500" s="230" t="s">
        <v>585</v>
      </c>
      <c r="Q500" s="231"/>
      <c r="R500" s="230" t="s">
        <v>585</v>
      </c>
      <c r="S500" s="231"/>
      <c r="T500" s="230" t="s">
        <v>585</v>
      </c>
      <c r="U500" s="231"/>
      <c r="V500" s="231"/>
      <c r="W500" s="231"/>
      <c r="X500" s="231"/>
      <c r="Y500" s="231"/>
      <c r="Z500" s="231"/>
      <c r="AA500" s="231"/>
      <c r="AB500" s="231"/>
      <c r="AC500" s="231"/>
      <c r="AD500" s="231"/>
      <c r="AE500" s="231"/>
      <c r="AF500" s="231"/>
    </row>
    <row r="501">
      <c r="A501" s="207">
        <v>334.0</v>
      </c>
      <c r="B501" s="196" t="s">
        <v>606</v>
      </c>
      <c r="C501" s="196" t="s">
        <v>418</v>
      </c>
      <c r="D501" s="208" t="s">
        <v>1193</v>
      </c>
      <c r="E501" s="233">
        <v>44418.0</v>
      </c>
      <c r="F501" s="234" t="s">
        <v>642</v>
      </c>
      <c r="G501" s="173" t="s">
        <v>92</v>
      </c>
      <c r="H501" s="173">
        <v>1.0</v>
      </c>
      <c r="I501" s="173"/>
      <c r="J501" s="199">
        <v>0.0</v>
      </c>
      <c r="K501" s="293"/>
      <c r="L501" s="173" t="s">
        <v>585</v>
      </c>
      <c r="M501" s="173"/>
      <c r="N501" s="199" t="s">
        <v>585</v>
      </c>
      <c r="O501" s="173"/>
      <c r="P501" s="173" t="s">
        <v>585</v>
      </c>
      <c r="Q501" s="173"/>
      <c r="R501" s="173" t="s">
        <v>585</v>
      </c>
      <c r="S501" s="173"/>
      <c r="T501" s="173" t="s">
        <v>585</v>
      </c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</row>
    <row r="502">
      <c r="A502" s="207">
        <v>335.0</v>
      </c>
      <c r="B502" s="195" t="s">
        <v>571</v>
      </c>
      <c r="C502" s="196" t="s">
        <v>422</v>
      </c>
      <c r="D502" s="208" t="s">
        <v>1194</v>
      </c>
      <c r="E502" s="209">
        <v>44403.0</v>
      </c>
      <c r="F502" s="210" t="s">
        <v>642</v>
      </c>
      <c r="G502" s="173" t="s">
        <v>21</v>
      </c>
      <c r="H502" s="173">
        <v>1.0</v>
      </c>
      <c r="I502" s="207">
        <v>292.0</v>
      </c>
      <c r="J502" s="199">
        <v>1000000.0</v>
      </c>
      <c r="K502" s="206">
        <f>vlookup($D502,Python!$D$2:$F$1000,3,FALSE)</f>
        <v>480.6</v>
      </c>
      <c r="L502" s="199">
        <v>1000000.0</v>
      </c>
      <c r="M502" s="173"/>
      <c r="N502" s="199" t="s">
        <v>585</v>
      </c>
      <c r="O502" s="173"/>
      <c r="P502" s="173" t="s">
        <v>585</v>
      </c>
      <c r="Q502" s="173"/>
      <c r="R502" s="173" t="s">
        <v>585</v>
      </c>
      <c r="S502" s="173"/>
      <c r="T502" s="173" t="s">
        <v>585</v>
      </c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</row>
    <row r="503">
      <c r="A503" s="207"/>
      <c r="B503" s="294"/>
      <c r="C503" s="294"/>
      <c r="D503" s="295"/>
      <c r="E503" s="296"/>
      <c r="F503" s="297"/>
      <c r="G503" s="294" t="s">
        <v>585</v>
      </c>
      <c r="H503" s="298">
        <v>0.0</v>
      </c>
      <c r="I503" s="299"/>
      <c r="J503" s="300">
        <v>0.0</v>
      </c>
      <c r="K503" s="301"/>
      <c r="L503" s="300" t="s">
        <v>585</v>
      </c>
      <c r="M503" s="302"/>
      <c r="N503" s="303" t="s">
        <v>585</v>
      </c>
      <c r="O503" s="302"/>
      <c r="P503" s="294" t="s">
        <v>585</v>
      </c>
      <c r="Q503" s="302"/>
      <c r="R503" s="294" t="s">
        <v>585</v>
      </c>
      <c r="S503" s="302"/>
      <c r="T503" s="294" t="s">
        <v>585</v>
      </c>
      <c r="U503" s="302"/>
      <c r="V503" s="302"/>
      <c r="W503" s="302"/>
      <c r="X503" s="302"/>
      <c r="Y503" s="302"/>
      <c r="Z503" s="302"/>
      <c r="AA503" s="302"/>
      <c r="AB503" s="302"/>
      <c r="AC503" s="302"/>
      <c r="AD503" s="302"/>
      <c r="AE503" s="302"/>
      <c r="AF503" s="302"/>
    </row>
    <row r="504">
      <c r="A504" s="207"/>
      <c r="B504" s="294"/>
      <c r="C504" s="294"/>
      <c r="D504" s="295"/>
      <c r="E504" s="296"/>
      <c r="F504" s="297"/>
      <c r="G504" s="294" t="s">
        <v>585</v>
      </c>
      <c r="H504" s="298">
        <v>0.0</v>
      </c>
      <c r="I504" s="299"/>
      <c r="J504" s="300">
        <v>0.0</v>
      </c>
      <c r="K504" s="301"/>
      <c r="L504" s="300" t="s">
        <v>585</v>
      </c>
      <c r="M504" s="302"/>
      <c r="N504" s="303" t="s">
        <v>585</v>
      </c>
      <c r="O504" s="302"/>
      <c r="P504" s="294" t="s">
        <v>585</v>
      </c>
      <c r="Q504" s="302"/>
      <c r="R504" s="294" t="s">
        <v>585</v>
      </c>
      <c r="S504" s="302"/>
      <c r="T504" s="294" t="s">
        <v>585</v>
      </c>
      <c r="U504" s="302"/>
      <c r="V504" s="302"/>
      <c r="W504" s="302"/>
      <c r="X504" s="302"/>
      <c r="Y504" s="302"/>
      <c r="Z504" s="302"/>
      <c r="AA504" s="302"/>
      <c r="AB504" s="302"/>
      <c r="AC504" s="302"/>
      <c r="AD504" s="302"/>
      <c r="AE504" s="302"/>
      <c r="AF504" s="302"/>
    </row>
    <row r="505">
      <c r="A505" s="207"/>
      <c r="B505" s="294"/>
      <c r="C505" s="294"/>
      <c r="D505" s="295"/>
      <c r="E505" s="296"/>
      <c r="F505" s="297"/>
      <c r="G505" s="294" t="s">
        <v>585</v>
      </c>
      <c r="H505" s="298">
        <v>0.0</v>
      </c>
      <c r="I505" s="299"/>
      <c r="J505" s="300">
        <v>0.0</v>
      </c>
      <c r="K505" s="301"/>
      <c r="L505" s="300" t="s">
        <v>585</v>
      </c>
      <c r="M505" s="302"/>
      <c r="N505" s="303" t="s">
        <v>585</v>
      </c>
      <c r="O505" s="302"/>
      <c r="P505" s="294" t="s">
        <v>585</v>
      </c>
      <c r="Q505" s="302"/>
      <c r="R505" s="294" t="s">
        <v>585</v>
      </c>
      <c r="S505" s="302"/>
      <c r="T505" s="294" t="s">
        <v>585</v>
      </c>
      <c r="U505" s="302"/>
      <c r="V505" s="302"/>
      <c r="W505" s="302"/>
      <c r="X505" s="302"/>
      <c r="Y505" s="302"/>
      <c r="Z505" s="302"/>
      <c r="AA505" s="302"/>
      <c r="AB505" s="302"/>
      <c r="AC505" s="302"/>
      <c r="AD505" s="302"/>
      <c r="AE505" s="302"/>
      <c r="AF505" s="302"/>
    </row>
    <row r="506">
      <c r="A506" s="207"/>
      <c r="B506" s="294"/>
      <c r="C506" s="294"/>
      <c r="D506" s="295"/>
      <c r="E506" s="296"/>
      <c r="F506" s="297"/>
      <c r="G506" s="294" t="s">
        <v>585</v>
      </c>
      <c r="H506" s="298">
        <v>0.0</v>
      </c>
      <c r="I506" s="299"/>
      <c r="J506" s="300">
        <v>0.0</v>
      </c>
      <c r="K506" s="301"/>
      <c r="L506" s="300" t="s">
        <v>585</v>
      </c>
      <c r="M506" s="302"/>
      <c r="N506" s="303" t="s">
        <v>585</v>
      </c>
      <c r="O506" s="302"/>
      <c r="P506" s="294" t="s">
        <v>585</v>
      </c>
      <c r="Q506" s="302"/>
      <c r="R506" s="294" t="s">
        <v>585</v>
      </c>
      <c r="S506" s="302"/>
      <c r="T506" s="294" t="s">
        <v>585</v>
      </c>
      <c r="U506" s="302"/>
      <c r="V506" s="302"/>
      <c r="W506" s="302"/>
      <c r="X506" s="302"/>
      <c r="Y506" s="302"/>
      <c r="Z506" s="302"/>
      <c r="AA506" s="302"/>
      <c r="AB506" s="302"/>
      <c r="AC506" s="302"/>
      <c r="AD506" s="302"/>
      <c r="AE506" s="302"/>
      <c r="AF506" s="302"/>
    </row>
    <row r="507">
      <c r="A507" s="207"/>
      <c r="B507" s="294"/>
      <c r="C507" s="294"/>
      <c r="D507" s="295"/>
      <c r="E507" s="296"/>
      <c r="F507" s="297"/>
      <c r="G507" s="294" t="s">
        <v>585</v>
      </c>
      <c r="H507" s="298">
        <v>0.0</v>
      </c>
      <c r="I507" s="299"/>
      <c r="J507" s="300">
        <v>0.0</v>
      </c>
      <c r="K507" s="301"/>
      <c r="L507" s="300" t="s">
        <v>585</v>
      </c>
      <c r="M507" s="302"/>
      <c r="N507" s="303" t="s">
        <v>585</v>
      </c>
      <c r="O507" s="302"/>
      <c r="P507" s="294" t="s">
        <v>585</v>
      </c>
      <c r="Q507" s="302"/>
      <c r="R507" s="294" t="s">
        <v>585</v>
      </c>
      <c r="S507" s="302"/>
      <c r="T507" s="294" t="s">
        <v>585</v>
      </c>
      <c r="U507" s="302"/>
      <c r="V507" s="302"/>
      <c r="W507" s="302"/>
      <c r="X507" s="302"/>
      <c r="Y507" s="302"/>
      <c r="Z507" s="302"/>
      <c r="AA507" s="302"/>
      <c r="AB507" s="302"/>
      <c r="AC507" s="302"/>
      <c r="AD507" s="302"/>
      <c r="AE507" s="302"/>
      <c r="AF507" s="302"/>
    </row>
    <row r="508">
      <c r="A508" s="207"/>
      <c r="B508" s="294"/>
      <c r="C508" s="294"/>
      <c r="D508" s="295"/>
      <c r="E508" s="296"/>
      <c r="F508" s="297"/>
      <c r="G508" s="294" t="s">
        <v>585</v>
      </c>
      <c r="H508" s="298">
        <v>0.0</v>
      </c>
      <c r="I508" s="299"/>
      <c r="J508" s="300">
        <v>0.0</v>
      </c>
      <c r="K508" s="301"/>
      <c r="L508" s="300" t="s">
        <v>585</v>
      </c>
      <c r="M508" s="302"/>
      <c r="N508" s="303" t="s">
        <v>585</v>
      </c>
      <c r="O508" s="302"/>
      <c r="P508" s="294" t="s">
        <v>585</v>
      </c>
      <c r="Q508" s="302"/>
      <c r="R508" s="294" t="s">
        <v>585</v>
      </c>
      <c r="S508" s="302"/>
      <c r="T508" s="294" t="s">
        <v>585</v>
      </c>
      <c r="U508" s="302"/>
      <c r="V508" s="302"/>
      <c r="W508" s="302"/>
      <c r="X508" s="302"/>
      <c r="Y508" s="302"/>
      <c r="Z508" s="302"/>
      <c r="AA508" s="302"/>
      <c r="AB508" s="302"/>
      <c r="AC508" s="302"/>
      <c r="AD508" s="302"/>
      <c r="AE508" s="302"/>
      <c r="AF508" s="302"/>
    </row>
    <row r="509">
      <c r="A509" s="207"/>
      <c r="B509" s="294"/>
      <c r="C509" s="294"/>
      <c r="D509" s="295"/>
      <c r="E509" s="296"/>
      <c r="F509" s="297"/>
      <c r="G509" s="294" t="s">
        <v>585</v>
      </c>
      <c r="H509" s="298">
        <v>0.0</v>
      </c>
      <c r="I509" s="299"/>
      <c r="J509" s="300">
        <v>0.0</v>
      </c>
      <c r="K509" s="301"/>
      <c r="L509" s="300" t="s">
        <v>585</v>
      </c>
      <c r="M509" s="302"/>
      <c r="N509" s="303" t="s">
        <v>585</v>
      </c>
      <c r="O509" s="302"/>
      <c r="P509" s="294" t="s">
        <v>585</v>
      </c>
      <c r="Q509" s="302"/>
      <c r="R509" s="294" t="s">
        <v>585</v>
      </c>
      <c r="S509" s="302"/>
      <c r="T509" s="294" t="s">
        <v>585</v>
      </c>
      <c r="U509" s="302"/>
      <c r="V509" s="302"/>
      <c r="W509" s="302"/>
      <c r="X509" s="302"/>
      <c r="Y509" s="302"/>
      <c r="Z509" s="302"/>
      <c r="AA509" s="302"/>
      <c r="AB509" s="302"/>
      <c r="AC509" s="302"/>
      <c r="AD509" s="302"/>
      <c r="AE509" s="302"/>
      <c r="AF509" s="302"/>
    </row>
    <row r="510">
      <c r="A510" s="207"/>
      <c r="B510" s="294"/>
      <c r="C510" s="294"/>
      <c r="D510" s="295"/>
      <c r="E510" s="296"/>
      <c r="F510" s="297"/>
      <c r="G510" s="294" t="s">
        <v>585</v>
      </c>
      <c r="H510" s="298">
        <v>0.0</v>
      </c>
      <c r="I510" s="299"/>
      <c r="J510" s="300">
        <v>0.0</v>
      </c>
      <c r="K510" s="301"/>
      <c r="L510" s="300" t="s">
        <v>585</v>
      </c>
      <c r="M510" s="302"/>
      <c r="N510" s="303" t="s">
        <v>585</v>
      </c>
      <c r="O510" s="302"/>
      <c r="P510" s="294" t="s">
        <v>585</v>
      </c>
      <c r="Q510" s="302"/>
      <c r="R510" s="294" t="s">
        <v>585</v>
      </c>
      <c r="S510" s="302"/>
      <c r="T510" s="294" t="s">
        <v>585</v>
      </c>
      <c r="U510" s="302"/>
      <c r="V510" s="302"/>
      <c r="W510" s="302"/>
      <c r="X510" s="302"/>
      <c r="Y510" s="302"/>
      <c r="Z510" s="302"/>
      <c r="AA510" s="302"/>
      <c r="AB510" s="302"/>
      <c r="AC510" s="302"/>
      <c r="AD510" s="302"/>
      <c r="AE510" s="302"/>
      <c r="AF510" s="302"/>
    </row>
    <row r="511">
      <c r="A511" s="173"/>
      <c r="B511" s="173"/>
      <c r="C511" s="173"/>
      <c r="D511" s="174"/>
      <c r="E511" s="175"/>
      <c r="F511" s="175"/>
      <c r="G511" s="173" t="s">
        <v>585</v>
      </c>
      <c r="H511" s="173">
        <v>0.0</v>
      </c>
      <c r="I511" s="173"/>
      <c r="J511" s="199">
        <v>0.0</v>
      </c>
      <c r="K511" s="293"/>
      <c r="L511" s="173" t="s">
        <v>585</v>
      </c>
      <c r="M511" s="173"/>
      <c r="N511" s="199" t="s">
        <v>585</v>
      </c>
      <c r="O511" s="173"/>
      <c r="P511" s="173" t="s">
        <v>585</v>
      </c>
      <c r="Q511" s="173"/>
      <c r="R511" s="173" t="s">
        <v>585</v>
      </c>
      <c r="S511" s="173"/>
      <c r="T511" s="173" t="s">
        <v>585</v>
      </c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</row>
    <row r="512">
      <c r="A512" s="173"/>
      <c r="B512" s="173"/>
      <c r="C512" s="173"/>
      <c r="D512" s="174"/>
      <c r="E512" s="175"/>
      <c r="F512" s="175"/>
      <c r="G512" s="173" t="s">
        <v>585</v>
      </c>
      <c r="H512" s="173">
        <v>0.0</v>
      </c>
      <c r="I512" s="173"/>
      <c r="J512" s="199">
        <v>0.0</v>
      </c>
      <c r="K512" s="293"/>
      <c r="L512" s="173" t="s">
        <v>585</v>
      </c>
      <c r="M512" s="173"/>
      <c r="N512" s="199" t="s">
        <v>585</v>
      </c>
      <c r="O512" s="173"/>
      <c r="P512" s="173" t="s">
        <v>585</v>
      </c>
      <c r="Q512" s="173"/>
      <c r="R512" s="173" t="s">
        <v>585</v>
      </c>
      <c r="S512" s="173"/>
      <c r="T512" s="173" t="s">
        <v>585</v>
      </c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</row>
    <row r="513">
      <c r="A513" s="173"/>
      <c r="B513" s="173"/>
      <c r="C513" s="173"/>
      <c r="D513" s="174"/>
      <c r="E513" s="175"/>
      <c r="F513" s="175"/>
      <c r="G513" s="173" t="s">
        <v>585</v>
      </c>
      <c r="H513" s="173">
        <v>0.0</v>
      </c>
      <c r="I513" s="173"/>
      <c r="J513" s="199">
        <v>0.0</v>
      </c>
      <c r="K513" s="293"/>
      <c r="L513" s="173" t="s">
        <v>585</v>
      </c>
      <c r="M513" s="173"/>
      <c r="N513" s="199" t="s">
        <v>585</v>
      </c>
      <c r="O513" s="173"/>
      <c r="P513" s="173" t="s">
        <v>585</v>
      </c>
      <c r="Q513" s="173"/>
      <c r="R513" s="173" t="s">
        <v>585</v>
      </c>
      <c r="S513" s="173"/>
      <c r="T513" s="173" t="s">
        <v>585</v>
      </c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</row>
    <row r="514">
      <c r="A514" s="173"/>
      <c r="B514" s="173"/>
      <c r="C514" s="173"/>
      <c r="D514" s="174"/>
      <c r="E514" s="175"/>
      <c r="F514" s="175"/>
      <c r="G514" s="173" t="s">
        <v>585</v>
      </c>
      <c r="H514" s="173">
        <v>0.0</v>
      </c>
      <c r="I514" s="173"/>
      <c r="J514" s="199">
        <v>0.0</v>
      </c>
      <c r="K514" s="293"/>
      <c r="L514" s="173" t="s">
        <v>585</v>
      </c>
      <c r="M514" s="173"/>
      <c r="N514" s="199" t="s">
        <v>585</v>
      </c>
      <c r="O514" s="173"/>
      <c r="P514" s="173" t="s">
        <v>585</v>
      </c>
      <c r="Q514" s="173"/>
      <c r="R514" s="173" t="s">
        <v>585</v>
      </c>
      <c r="S514" s="173"/>
      <c r="T514" s="173" t="s">
        <v>585</v>
      </c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</row>
    <row r="515">
      <c r="A515" s="173"/>
      <c r="B515" s="173"/>
      <c r="C515" s="173"/>
      <c r="D515" s="174"/>
      <c r="E515" s="175"/>
      <c r="F515" s="175"/>
      <c r="G515" s="173" t="s">
        <v>585</v>
      </c>
      <c r="H515" s="173">
        <v>0.0</v>
      </c>
      <c r="I515" s="173"/>
      <c r="J515" s="199">
        <v>0.0</v>
      </c>
      <c r="K515" s="293"/>
      <c r="L515" s="173" t="s">
        <v>585</v>
      </c>
      <c r="M515" s="173"/>
      <c r="N515" s="199" t="s">
        <v>585</v>
      </c>
      <c r="O515" s="173"/>
      <c r="P515" s="173" t="s">
        <v>585</v>
      </c>
      <c r="Q515" s="173"/>
      <c r="R515" s="173" t="s">
        <v>585</v>
      </c>
      <c r="S515" s="173"/>
      <c r="T515" s="173" t="s">
        <v>585</v>
      </c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</row>
    <row r="516">
      <c r="A516" s="173"/>
      <c r="B516" s="173"/>
      <c r="C516" s="173"/>
      <c r="D516" s="174"/>
      <c r="E516" s="175"/>
      <c r="F516" s="175"/>
      <c r="G516" s="173" t="s">
        <v>585</v>
      </c>
      <c r="H516" s="173">
        <v>0.0</v>
      </c>
      <c r="I516" s="173"/>
      <c r="J516" s="199">
        <v>0.0</v>
      </c>
      <c r="K516" s="293"/>
      <c r="L516" s="173" t="s">
        <v>585</v>
      </c>
      <c r="M516" s="173"/>
      <c r="N516" s="199" t="s">
        <v>585</v>
      </c>
      <c r="O516" s="173"/>
      <c r="P516" s="173" t="s">
        <v>585</v>
      </c>
      <c r="Q516" s="173"/>
      <c r="R516" s="173" t="s">
        <v>585</v>
      </c>
      <c r="S516" s="173"/>
      <c r="T516" s="173" t="s">
        <v>585</v>
      </c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</row>
    <row r="517">
      <c r="A517" s="173"/>
      <c r="B517" s="173"/>
      <c r="C517" s="173"/>
      <c r="D517" s="174"/>
      <c r="E517" s="175"/>
      <c r="F517" s="175"/>
      <c r="G517" s="173" t="s">
        <v>585</v>
      </c>
      <c r="H517" s="173">
        <v>0.0</v>
      </c>
      <c r="I517" s="173"/>
      <c r="J517" s="199">
        <v>0.0</v>
      </c>
      <c r="K517" s="293"/>
      <c r="L517" s="173" t="s">
        <v>585</v>
      </c>
      <c r="M517" s="173"/>
      <c r="N517" s="199" t="s">
        <v>585</v>
      </c>
      <c r="O517" s="173"/>
      <c r="P517" s="173" t="s">
        <v>585</v>
      </c>
      <c r="Q517" s="173"/>
      <c r="R517" s="173" t="s">
        <v>585</v>
      </c>
      <c r="S517" s="173"/>
      <c r="T517" s="173" t="s">
        <v>585</v>
      </c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</row>
    <row r="518">
      <c r="A518" s="173"/>
      <c r="B518" s="173"/>
      <c r="C518" s="173"/>
      <c r="D518" s="174"/>
      <c r="E518" s="175"/>
      <c r="F518" s="175"/>
      <c r="G518" s="173" t="s">
        <v>585</v>
      </c>
      <c r="H518" s="173">
        <v>0.0</v>
      </c>
      <c r="I518" s="173"/>
      <c r="J518" s="199">
        <v>0.0</v>
      </c>
      <c r="K518" s="293"/>
      <c r="L518" s="173" t="s">
        <v>585</v>
      </c>
      <c r="M518" s="173"/>
      <c r="N518" s="199" t="s">
        <v>585</v>
      </c>
      <c r="O518" s="173"/>
      <c r="P518" s="173" t="s">
        <v>585</v>
      </c>
      <c r="Q518" s="173"/>
      <c r="R518" s="173" t="s">
        <v>585</v>
      </c>
      <c r="S518" s="173"/>
      <c r="T518" s="173" t="s">
        <v>585</v>
      </c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</row>
    <row r="519">
      <c r="A519" s="173"/>
      <c r="B519" s="173"/>
      <c r="C519" s="173"/>
      <c r="D519" s="174"/>
      <c r="E519" s="175"/>
      <c r="F519" s="175"/>
      <c r="G519" s="173" t="s">
        <v>585</v>
      </c>
      <c r="H519" s="173">
        <v>0.0</v>
      </c>
      <c r="I519" s="173"/>
      <c r="J519" s="199">
        <v>0.0</v>
      </c>
      <c r="K519" s="293"/>
      <c r="L519" s="173" t="s">
        <v>585</v>
      </c>
      <c r="M519" s="173"/>
      <c r="N519" s="199" t="s">
        <v>585</v>
      </c>
      <c r="O519" s="173"/>
      <c r="P519" s="173" t="s">
        <v>585</v>
      </c>
      <c r="Q519" s="173"/>
      <c r="R519" s="173" t="s">
        <v>585</v>
      </c>
      <c r="S519" s="173"/>
      <c r="T519" s="173" t="s">
        <v>585</v>
      </c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</row>
    <row r="520">
      <c r="A520" s="173"/>
      <c r="B520" s="173"/>
      <c r="C520" s="173"/>
      <c r="D520" s="174"/>
      <c r="E520" s="175"/>
      <c r="F520" s="175"/>
      <c r="G520" s="173" t="s">
        <v>585</v>
      </c>
      <c r="H520" s="173">
        <v>0.0</v>
      </c>
      <c r="I520" s="173"/>
      <c r="J520" s="199">
        <v>0.0</v>
      </c>
      <c r="K520" s="293"/>
      <c r="L520" s="173" t="s">
        <v>585</v>
      </c>
      <c r="M520" s="173"/>
      <c r="N520" s="199" t="s">
        <v>585</v>
      </c>
      <c r="O520" s="173"/>
      <c r="P520" s="173" t="s">
        <v>585</v>
      </c>
      <c r="Q520" s="173"/>
      <c r="R520" s="173" t="s">
        <v>585</v>
      </c>
      <c r="S520" s="173"/>
      <c r="T520" s="173" t="s">
        <v>585</v>
      </c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</row>
    <row r="521">
      <c r="A521" s="173"/>
      <c r="B521" s="173"/>
      <c r="C521" s="173"/>
      <c r="D521" s="174"/>
      <c r="E521" s="175"/>
      <c r="F521" s="175"/>
      <c r="G521" s="173" t="s">
        <v>585</v>
      </c>
      <c r="H521" s="173">
        <v>0.0</v>
      </c>
      <c r="I521" s="173"/>
      <c r="J521" s="199">
        <v>0.0</v>
      </c>
      <c r="K521" s="293"/>
      <c r="L521" s="173" t="s">
        <v>585</v>
      </c>
      <c r="M521" s="173"/>
      <c r="N521" s="199" t="s">
        <v>585</v>
      </c>
      <c r="O521" s="173"/>
      <c r="P521" s="173" t="s">
        <v>585</v>
      </c>
      <c r="Q521" s="173"/>
      <c r="R521" s="173" t="s">
        <v>585</v>
      </c>
      <c r="S521" s="173"/>
      <c r="T521" s="173" t="s">
        <v>585</v>
      </c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</row>
    <row r="522">
      <c r="A522" s="173"/>
      <c r="B522" s="173"/>
      <c r="C522" s="173"/>
      <c r="D522" s="174"/>
      <c r="E522" s="175"/>
      <c r="F522" s="175"/>
      <c r="G522" s="173" t="s">
        <v>585</v>
      </c>
      <c r="H522" s="173">
        <v>0.0</v>
      </c>
      <c r="I522" s="173"/>
      <c r="J522" s="199">
        <v>0.0</v>
      </c>
      <c r="K522" s="293"/>
      <c r="L522" s="173" t="s">
        <v>585</v>
      </c>
      <c r="M522" s="173"/>
      <c r="N522" s="199" t="s">
        <v>585</v>
      </c>
      <c r="O522" s="173"/>
      <c r="P522" s="173" t="s">
        <v>585</v>
      </c>
      <c r="Q522" s="173"/>
      <c r="R522" s="173" t="s">
        <v>585</v>
      </c>
      <c r="S522" s="173"/>
      <c r="T522" s="173" t="s">
        <v>585</v>
      </c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</row>
    <row r="523">
      <c r="A523" s="173"/>
      <c r="B523" s="173"/>
      <c r="C523" s="173"/>
      <c r="D523" s="174"/>
      <c r="E523" s="175"/>
      <c r="F523" s="175"/>
      <c r="G523" s="173" t="s">
        <v>585</v>
      </c>
      <c r="H523" s="173">
        <v>0.0</v>
      </c>
      <c r="I523" s="173"/>
      <c r="J523" s="199">
        <v>0.0</v>
      </c>
      <c r="K523" s="293"/>
      <c r="L523" s="173" t="s">
        <v>585</v>
      </c>
      <c r="M523" s="173"/>
      <c r="N523" s="199" t="s">
        <v>585</v>
      </c>
      <c r="O523" s="173"/>
      <c r="P523" s="173" t="s">
        <v>585</v>
      </c>
      <c r="Q523" s="173"/>
      <c r="R523" s="173" t="s">
        <v>585</v>
      </c>
      <c r="S523" s="173"/>
      <c r="T523" s="173" t="s">
        <v>585</v>
      </c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</row>
    <row r="524">
      <c r="A524" s="173"/>
      <c r="B524" s="173"/>
      <c r="C524" s="173"/>
      <c r="D524" s="174"/>
      <c r="E524" s="175"/>
      <c r="F524" s="175"/>
      <c r="G524" s="173" t="s">
        <v>585</v>
      </c>
      <c r="H524" s="173">
        <v>0.0</v>
      </c>
      <c r="I524" s="173"/>
      <c r="J524" s="199">
        <v>0.0</v>
      </c>
      <c r="K524" s="293"/>
      <c r="L524" s="173" t="s">
        <v>585</v>
      </c>
      <c r="M524" s="173"/>
      <c r="N524" s="199" t="s">
        <v>585</v>
      </c>
      <c r="O524" s="173"/>
      <c r="P524" s="173" t="s">
        <v>585</v>
      </c>
      <c r="Q524" s="173"/>
      <c r="R524" s="173" t="s">
        <v>585</v>
      </c>
      <c r="S524" s="173"/>
      <c r="T524" s="173" t="s">
        <v>585</v>
      </c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</row>
    <row r="525">
      <c r="A525" s="173"/>
      <c r="B525" s="173"/>
      <c r="C525" s="173"/>
      <c r="D525" s="174"/>
      <c r="E525" s="175"/>
      <c r="F525" s="175"/>
      <c r="G525" s="173" t="s">
        <v>585</v>
      </c>
      <c r="H525" s="173">
        <v>0.0</v>
      </c>
      <c r="I525" s="173"/>
      <c r="J525" s="199">
        <v>0.0</v>
      </c>
      <c r="K525" s="293"/>
      <c r="L525" s="173" t="s">
        <v>585</v>
      </c>
      <c r="M525" s="173"/>
      <c r="N525" s="199" t="s">
        <v>585</v>
      </c>
      <c r="O525" s="173"/>
      <c r="P525" s="173" t="s">
        <v>585</v>
      </c>
      <c r="Q525" s="173"/>
      <c r="R525" s="173" t="s">
        <v>585</v>
      </c>
      <c r="S525" s="173"/>
      <c r="T525" s="173" t="s">
        <v>585</v>
      </c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</row>
    <row r="526">
      <c r="A526" s="173"/>
      <c r="B526" s="173"/>
      <c r="C526" s="173"/>
      <c r="D526" s="174"/>
      <c r="E526" s="175"/>
      <c r="F526" s="175"/>
      <c r="G526" s="173" t="s">
        <v>585</v>
      </c>
      <c r="H526" s="173">
        <v>0.0</v>
      </c>
      <c r="I526" s="173"/>
      <c r="J526" s="199">
        <v>0.0</v>
      </c>
      <c r="K526" s="293"/>
      <c r="L526" s="173" t="s">
        <v>585</v>
      </c>
      <c r="M526" s="173"/>
      <c r="N526" s="199" t="s">
        <v>585</v>
      </c>
      <c r="O526" s="173"/>
      <c r="P526" s="173" t="s">
        <v>585</v>
      </c>
      <c r="Q526" s="173"/>
      <c r="R526" s="173" t="s">
        <v>585</v>
      </c>
      <c r="S526" s="173"/>
      <c r="T526" s="173" t="s">
        <v>585</v>
      </c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</row>
    <row r="527">
      <c r="A527" s="173"/>
      <c r="B527" s="173"/>
      <c r="C527" s="173"/>
      <c r="D527" s="174"/>
      <c r="E527" s="175"/>
      <c r="F527" s="175"/>
      <c r="G527" s="173" t="s">
        <v>585</v>
      </c>
      <c r="H527" s="173">
        <v>0.0</v>
      </c>
      <c r="I527" s="173"/>
      <c r="J527" s="199">
        <v>0.0</v>
      </c>
      <c r="K527" s="293"/>
      <c r="L527" s="173" t="s">
        <v>585</v>
      </c>
      <c r="M527" s="173"/>
      <c r="N527" s="199" t="s">
        <v>585</v>
      </c>
      <c r="O527" s="173"/>
      <c r="P527" s="173" t="s">
        <v>585</v>
      </c>
      <c r="Q527" s="173"/>
      <c r="R527" s="173" t="s">
        <v>585</v>
      </c>
      <c r="S527" s="173"/>
      <c r="T527" s="173" t="s">
        <v>585</v>
      </c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</row>
    <row r="528">
      <c r="A528" s="173"/>
      <c r="B528" s="173"/>
      <c r="C528" s="173"/>
      <c r="D528" s="174"/>
      <c r="E528" s="175"/>
      <c r="F528" s="175"/>
      <c r="G528" s="173" t="s">
        <v>585</v>
      </c>
      <c r="H528" s="173">
        <v>0.0</v>
      </c>
      <c r="I528" s="173"/>
      <c r="J528" s="199">
        <v>0.0</v>
      </c>
      <c r="K528" s="293"/>
      <c r="L528" s="173" t="s">
        <v>585</v>
      </c>
      <c r="M528" s="173"/>
      <c r="N528" s="199" t="s">
        <v>585</v>
      </c>
      <c r="O528" s="173"/>
      <c r="P528" s="173" t="s">
        <v>585</v>
      </c>
      <c r="Q528" s="173"/>
      <c r="R528" s="173" t="s">
        <v>585</v>
      </c>
      <c r="S528" s="173"/>
      <c r="T528" s="173" t="s">
        <v>585</v>
      </c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</row>
    <row r="529">
      <c r="A529" s="173"/>
      <c r="B529" s="173"/>
      <c r="C529" s="173"/>
      <c r="D529" s="174"/>
      <c r="E529" s="175"/>
      <c r="F529" s="175"/>
      <c r="G529" s="173" t="s">
        <v>585</v>
      </c>
      <c r="H529" s="173">
        <v>0.0</v>
      </c>
      <c r="I529" s="173"/>
      <c r="J529" s="199">
        <v>0.0</v>
      </c>
      <c r="K529" s="293"/>
      <c r="L529" s="173" t="s">
        <v>585</v>
      </c>
      <c r="M529" s="173"/>
      <c r="N529" s="199" t="s">
        <v>585</v>
      </c>
      <c r="O529" s="173"/>
      <c r="P529" s="173" t="s">
        <v>585</v>
      </c>
      <c r="Q529" s="173"/>
      <c r="R529" s="173" t="s">
        <v>585</v>
      </c>
      <c r="S529" s="173"/>
      <c r="T529" s="173" t="s">
        <v>585</v>
      </c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</row>
    <row r="530">
      <c r="A530" s="173"/>
      <c r="B530" s="173"/>
      <c r="C530" s="173"/>
      <c r="D530" s="174"/>
      <c r="E530" s="175"/>
      <c r="F530" s="175"/>
      <c r="G530" s="173" t="s">
        <v>585</v>
      </c>
      <c r="H530" s="173">
        <v>0.0</v>
      </c>
      <c r="I530" s="173"/>
      <c r="J530" s="199">
        <v>0.0</v>
      </c>
      <c r="K530" s="293"/>
      <c r="L530" s="173" t="s">
        <v>585</v>
      </c>
      <c r="M530" s="173"/>
      <c r="N530" s="199" t="s">
        <v>585</v>
      </c>
      <c r="O530" s="173"/>
      <c r="P530" s="173" t="s">
        <v>585</v>
      </c>
      <c r="Q530" s="173"/>
      <c r="R530" s="173" t="s">
        <v>585</v>
      </c>
      <c r="S530" s="173"/>
      <c r="T530" s="173" t="s">
        <v>585</v>
      </c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</row>
    <row r="531">
      <c r="A531" s="173"/>
      <c r="B531" s="173"/>
      <c r="C531" s="173"/>
      <c r="D531" s="174"/>
      <c r="E531" s="175"/>
      <c r="F531" s="175"/>
      <c r="G531" s="173" t="s">
        <v>585</v>
      </c>
      <c r="H531" s="173">
        <v>0.0</v>
      </c>
      <c r="I531" s="173"/>
      <c r="J531" s="199">
        <v>0.0</v>
      </c>
      <c r="K531" s="293"/>
      <c r="L531" s="173" t="s">
        <v>585</v>
      </c>
      <c r="M531" s="173"/>
      <c r="N531" s="199" t="s">
        <v>585</v>
      </c>
      <c r="O531" s="173"/>
      <c r="P531" s="173" t="s">
        <v>585</v>
      </c>
      <c r="Q531" s="173"/>
      <c r="R531" s="173" t="s">
        <v>585</v>
      </c>
      <c r="S531" s="173"/>
      <c r="T531" s="173" t="s">
        <v>585</v>
      </c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</row>
    <row r="532">
      <c r="A532" s="173"/>
      <c r="B532" s="173"/>
      <c r="C532" s="173"/>
      <c r="D532" s="174"/>
      <c r="E532" s="175"/>
      <c r="F532" s="175"/>
      <c r="G532" s="173" t="s">
        <v>585</v>
      </c>
      <c r="H532" s="173">
        <v>0.0</v>
      </c>
      <c r="I532" s="173"/>
      <c r="J532" s="199">
        <v>0.0</v>
      </c>
      <c r="K532" s="293"/>
      <c r="L532" s="173" t="s">
        <v>585</v>
      </c>
      <c r="M532" s="173"/>
      <c r="N532" s="199" t="s">
        <v>585</v>
      </c>
      <c r="O532" s="173"/>
      <c r="P532" s="173" t="s">
        <v>585</v>
      </c>
      <c r="Q532" s="173"/>
      <c r="R532" s="173" t="s">
        <v>585</v>
      </c>
      <c r="S532" s="173"/>
      <c r="T532" s="173" t="s">
        <v>585</v>
      </c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</row>
    <row r="533">
      <c r="A533" s="173"/>
      <c r="B533" s="173"/>
      <c r="C533" s="173"/>
      <c r="D533" s="174"/>
      <c r="E533" s="175"/>
      <c r="F533" s="175"/>
      <c r="G533" s="173" t="s">
        <v>585</v>
      </c>
      <c r="H533" s="173">
        <v>0.0</v>
      </c>
      <c r="I533" s="173"/>
      <c r="J533" s="199">
        <v>0.0</v>
      </c>
      <c r="K533" s="293"/>
      <c r="L533" s="173" t="s">
        <v>585</v>
      </c>
      <c r="M533" s="173"/>
      <c r="N533" s="199" t="s">
        <v>585</v>
      </c>
      <c r="O533" s="173"/>
      <c r="P533" s="173" t="s">
        <v>585</v>
      </c>
      <c r="Q533" s="173"/>
      <c r="R533" s="173" t="s">
        <v>585</v>
      </c>
      <c r="S533" s="173"/>
      <c r="T533" s="173" t="s">
        <v>585</v>
      </c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</row>
    <row r="534">
      <c r="A534" s="173"/>
      <c r="B534" s="173"/>
      <c r="C534" s="173"/>
      <c r="D534" s="174"/>
      <c r="E534" s="175"/>
      <c r="F534" s="175"/>
      <c r="G534" s="173" t="s">
        <v>585</v>
      </c>
      <c r="H534" s="173">
        <v>0.0</v>
      </c>
      <c r="I534" s="173"/>
      <c r="J534" s="199">
        <v>0.0</v>
      </c>
      <c r="K534" s="293"/>
      <c r="L534" s="173" t="s">
        <v>585</v>
      </c>
      <c r="M534" s="173"/>
      <c r="N534" s="199" t="s">
        <v>585</v>
      </c>
      <c r="O534" s="173"/>
      <c r="P534" s="173" t="s">
        <v>585</v>
      </c>
      <c r="Q534" s="173"/>
      <c r="R534" s="173" t="s">
        <v>585</v>
      </c>
      <c r="S534" s="173"/>
      <c r="T534" s="173" t="s">
        <v>585</v>
      </c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</row>
    <row r="535">
      <c r="A535" s="173"/>
      <c r="B535" s="173"/>
      <c r="C535" s="173"/>
      <c r="D535" s="174"/>
      <c r="E535" s="175"/>
      <c r="F535" s="175"/>
      <c r="G535" s="173" t="s">
        <v>585</v>
      </c>
      <c r="H535" s="173">
        <v>0.0</v>
      </c>
      <c r="I535" s="173"/>
      <c r="J535" s="199">
        <v>0.0</v>
      </c>
      <c r="K535" s="293"/>
      <c r="L535" s="173" t="s">
        <v>585</v>
      </c>
      <c r="M535" s="173"/>
      <c r="N535" s="199" t="s">
        <v>585</v>
      </c>
      <c r="O535" s="173"/>
      <c r="P535" s="173" t="s">
        <v>585</v>
      </c>
      <c r="Q535" s="173"/>
      <c r="R535" s="173" t="s">
        <v>585</v>
      </c>
      <c r="S535" s="173"/>
      <c r="T535" s="173" t="s">
        <v>585</v>
      </c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</row>
    <row r="536">
      <c r="A536" s="173"/>
      <c r="B536" s="173"/>
      <c r="C536" s="173"/>
      <c r="D536" s="174"/>
      <c r="E536" s="175"/>
      <c r="F536" s="175"/>
      <c r="G536" s="173" t="s">
        <v>585</v>
      </c>
      <c r="H536" s="173">
        <v>0.0</v>
      </c>
      <c r="I536" s="173"/>
      <c r="J536" s="199">
        <v>0.0</v>
      </c>
      <c r="K536" s="293"/>
      <c r="L536" s="173" t="s">
        <v>585</v>
      </c>
      <c r="M536" s="173"/>
      <c r="N536" s="199" t="s">
        <v>585</v>
      </c>
      <c r="O536" s="173"/>
      <c r="P536" s="173" t="s">
        <v>585</v>
      </c>
      <c r="Q536" s="173"/>
      <c r="R536" s="173" t="s">
        <v>585</v>
      </c>
      <c r="S536" s="173"/>
      <c r="T536" s="173" t="s">
        <v>585</v>
      </c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</row>
    <row r="537">
      <c r="A537" s="173"/>
      <c r="B537" s="173"/>
      <c r="C537" s="173"/>
      <c r="D537" s="174"/>
      <c r="E537" s="175"/>
      <c r="F537" s="175"/>
      <c r="G537" s="173" t="s">
        <v>585</v>
      </c>
      <c r="H537" s="173">
        <v>0.0</v>
      </c>
      <c r="I537" s="173"/>
      <c r="J537" s="199">
        <v>0.0</v>
      </c>
      <c r="K537" s="293"/>
      <c r="L537" s="173" t="s">
        <v>585</v>
      </c>
      <c r="M537" s="173"/>
      <c r="N537" s="199" t="s">
        <v>585</v>
      </c>
      <c r="O537" s="173"/>
      <c r="P537" s="173" t="s">
        <v>585</v>
      </c>
      <c r="Q537" s="173"/>
      <c r="R537" s="173" t="s">
        <v>585</v>
      </c>
      <c r="S537" s="173"/>
      <c r="T537" s="173" t="s">
        <v>585</v>
      </c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</row>
    <row r="538">
      <c r="A538" s="173"/>
      <c r="B538" s="173"/>
      <c r="C538" s="173"/>
      <c r="D538" s="174"/>
      <c r="E538" s="175"/>
      <c r="F538" s="175"/>
      <c r="G538" s="173" t="s">
        <v>585</v>
      </c>
      <c r="H538" s="173">
        <v>0.0</v>
      </c>
      <c r="I538" s="173"/>
      <c r="J538" s="199">
        <v>0.0</v>
      </c>
      <c r="K538" s="293"/>
      <c r="L538" s="173" t="s">
        <v>585</v>
      </c>
      <c r="M538" s="173"/>
      <c r="N538" s="199" t="s">
        <v>585</v>
      </c>
      <c r="O538" s="173"/>
      <c r="P538" s="173" t="s">
        <v>585</v>
      </c>
      <c r="Q538" s="173"/>
      <c r="R538" s="173" t="s">
        <v>585</v>
      </c>
      <c r="S538" s="173"/>
      <c r="T538" s="173" t="s">
        <v>585</v>
      </c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</row>
    <row r="539">
      <c r="A539" s="173"/>
      <c r="B539" s="173"/>
      <c r="C539" s="173"/>
      <c r="D539" s="174"/>
      <c r="E539" s="175"/>
      <c r="F539" s="175"/>
      <c r="G539" s="173" t="s">
        <v>585</v>
      </c>
      <c r="H539" s="173">
        <v>0.0</v>
      </c>
      <c r="I539" s="173"/>
      <c r="J539" s="199">
        <v>0.0</v>
      </c>
      <c r="K539" s="293"/>
      <c r="L539" s="173" t="s">
        <v>585</v>
      </c>
      <c r="M539" s="173"/>
      <c r="N539" s="199" t="s">
        <v>585</v>
      </c>
      <c r="O539" s="173"/>
      <c r="P539" s="173" t="s">
        <v>585</v>
      </c>
      <c r="Q539" s="173"/>
      <c r="R539" s="173" t="s">
        <v>585</v>
      </c>
      <c r="S539" s="173"/>
      <c r="T539" s="173" t="s">
        <v>585</v>
      </c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</row>
    <row r="540">
      <c r="A540" s="173"/>
      <c r="B540" s="173"/>
      <c r="C540" s="173"/>
      <c r="D540" s="174"/>
      <c r="E540" s="175"/>
      <c r="F540" s="175"/>
      <c r="G540" s="173" t="s">
        <v>585</v>
      </c>
      <c r="H540" s="173">
        <v>0.0</v>
      </c>
      <c r="I540" s="173"/>
      <c r="J540" s="199">
        <v>0.0</v>
      </c>
      <c r="K540" s="293"/>
      <c r="L540" s="173" t="s">
        <v>585</v>
      </c>
      <c r="M540" s="173"/>
      <c r="N540" s="199" t="s">
        <v>585</v>
      </c>
      <c r="O540" s="173"/>
      <c r="P540" s="173" t="s">
        <v>585</v>
      </c>
      <c r="Q540" s="173"/>
      <c r="R540" s="173" t="s">
        <v>585</v>
      </c>
      <c r="S540" s="173"/>
      <c r="T540" s="173" t="s">
        <v>585</v>
      </c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</row>
    <row r="541">
      <c r="A541" s="173"/>
      <c r="B541" s="173"/>
      <c r="C541" s="173"/>
      <c r="D541" s="174"/>
      <c r="E541" s="175"/>
      <c r="F541" s="175"/>
      <c r="G541" s="173" t="s">
        <v>585</v>
      </c>
      <c r="H541" s="173">
        <v>0.0</v>
      </c>
      <c r="I541" s="173"/>
      <c r="J541" s="199">
        <v>0.0</v>
      </c>
      <c r="K541" s="293"/>
      <c r="L541" s="173" t="s">
        <v>585</v>
      </c>
      <c r="M541" s="173"/>
      <c r="N541" s="199" t="s">
        <v>585</v>
      </c>
      <c r="O541" s="173"/>
      <c r="P541" s="173" t="s">
        <v>585</v>
      </c>
      <c r="Q541" s="173"/>
      <c r="R541" s="173" t="s">
        <v>585</v>
      </c>
      <c r="S541" s="173"/>
      <c r="T541" s="173" t="s">
        <v>585</v>
      </c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</row>
    <row r="542">
      <c r="A542" s="173"/>
      <c r="B542" s="173"/>
      <c r="C542" s="173"/>
      <c r="D542" s="174"/>
      <c r="E542" s="175"/>
      <c r="F542" s="175"/>
      <c r="G542" s="173" t="s">
        <v>585</v>
      </c>
      <c r="H542" s="173">
        <v>0.0</v>
      </c>
      <c r="I542" s="173"/>
      <c r="J542" s="199">
        <v>0.0</v>
      </c>
      <c r="K542" s="293"/>
      <c r="L542" s="173" t="s">
        <v>585</v>
      </c>
      <c r="M542" s="173"/>
      <c r="N542" s="199" t="s">
        <v>585</v>
      </c>
      <c r="O542" s="173"/>
      <c r="P542" s="173" t="s">
        <v>585</v>
      </c>
      <c r="Q542" s="173"/>
      <c r="R542" s="173" t="s">
        <v>585</v>
      </c>
      <c r="S542" s="173"/>
      <c r="T542" s="173" t="s">
        <v>585</v>
      </c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</row>
    <row r="543">
      <c r="A543" s="173"/>
      <c r="B543" s="173"/>
      <c r="C543" s="173"/>
      <c r="D543" s="174"/>
      <c r="E543" s="175"/>
      <c r="F543" s="175"/>
      <c r="G543" s="173" t="s">
        <v>585</v>
      </c>
      <c r="H543" s="173">
        <v>0.0</v>
      </c>
      <c r="I543" s="173"/>
      <c r="J543" s="199">
        <v>0.0</v>
      </c>
      <c r="K543" s="293"/>
      <c r="L543" s="173" t="s">
        <v>585</v>
      </c>
      <c r="M543" s="173"/>
      <c r="N543" s="199" t="s">
        <v>585</v>
      </c>
      <c r="O543" s="173"/>
      <c r="P543" s="173" t="s">
        <v>585</v>
      </c>
      <c r="Q543" s="173"/>
      <c r="R543" s="173" t="s">
        <v>585</v>
      </c>
      <c r="S543" s="173"/>
      <c r="T543" s="173" t="s">
        <v>585</v>
      </c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</row>
    <row r="544">
      <c r="A544" s="173"/>
      <c r="B544" s="173"/>
      <c r="C544" s="173"/>
      <c r="D544" s="174"/>
      <c r="E544" s="175"/>
      <c r="F544" s="175"/>
      <c r="G544" s="173" t="s">
        <v>585</v>
      </c>
      <c r="H544" s="173">
        <v>0.0</v>
      </c>
      <c r="I544" s="173"/>
      <c r="J544" s="199">
        <v>0.0</v>
      </c>
      <c r="K544" s="293"/>
      <c r="L544" s="173" t="s">
        <v>585</v>
      </c>
      <c r="M544" s="173"/>
      <c r="N544" s="199" t="s">
        <v>585</v>
      </c>
      <c r="O544" s="173"/>
      <c r="P544" s="173" t="s">
        <v>585</v>
      </c>
      <c r="Q544" s="173"/>
      <c r="R544" s="173" t="s">
        <v>585</v>
      </c>
      <c r="S544" s="173"/>
      <c r="T544" s="173" t="s">
        <v>585</v>
      </c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</row>
    <row r="545">
      <c r="A545" s="173"/>
      <c r="B545" s="173"/>
      <c r="C545" s="173"/>
      <c r="D545" s="174"/>
      <c r="E545" s="175"/>
      <c r="F545" s="175"/>
      <c r="G545" s="173" t="s">
        <v>585</v>
      </c>
      <c r="H545" s="173">
        <v>0.0</v>
      </c>
      <c r="I545" s="173"/>
      <c r="J545" s="199">
        <v>0.0</v>
      </c>
      <c r="K545" s="293"/>
      <c r="L545" s="173" t="s">
        <v>585</v>
      </c>
      <c r="M545" s="173"/>
      <c r="N545" s="199" t="s">
        <v>585</v>
      </c>
      <c r="O545" s="173"/>
      <c r="P545" s="173" t="s">
        <v>585</v>
      </c>
      <c r="Q545" s="173"/>
      <c r="R545" s="173" t="s">
        <v>585</v>
      </c>
      <c r="S545" s="173"/>
      <c r="T545" s="173" t="s">
        <v>585</v>
      </c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</row>
    <row r="546">
      <c r="A546" s="173"/>
      <c r="B546" s="173"/>
      <c r="C546" s="173"/>
      <c r="D546" s="174"/>
      <c r="E546" s="175"/>
      <c r="F546" s="175"/>
      <c r="G546" s="173" t="s">
        <v>585</v>
      </c>
      <c r="H546" s="173">
        <v>0.0</v>
      </c>
      <c r="I546" s="173"/>
      <c r="J546" s="199">
        <v>0.0</v>
      </c>
      <c r="K546" s="293"/>
      <c r="L546" s="173" t="s">
        <v>585</v>
      </c>
      <c r="M546" s="173"/>
      <c r="N546" s="199" t="s">
        <v>585</v>
      </c>
      <c r="O546" s="173"/>
      <c r="P546" s="173" t="s">
        <v>585</v>
      </c>
      <c r="Q546" s="173"/>
      <c r="R546" s="173" t="s">
        <v>585</v>
      </c>
      <c r="S546" s="173"/>
      <c r="T546" s="173" t="s">
        <v>585</v>
      </c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</row>
    <row r="547">
      <c r="A547" s="173"/>
      <c r="B547" s="173"/>
      <c r="C547" s="173"/>
      <c r="D547" s="174"/>
      <c r="E547" s="175"/>
      <c r="F547" s="175"/>
      <c r="G547" s="173" t="s">
        <v>585</v>
      </c>
      <c r="H547" s="173">
        <v>0.0</v>
      </c>
      <c r="I547" s="173"/>
      <c r="J547" s="199">
        <v>0.0</v>
      </c>
      <c r="K547" s="293"/>
      <c r="L547" s="173" t="s">
        <v>585</v>
      </c>
      <c r="M547" s="173"/>
      <c r="N547" s="199" t="s">
        <v>585</v>
      </c>
      <c r="O547" s="173"/>
      <c r="P547" s="173" t="s">
        <v>585</v>
      </c>
      <c r="Q547" s="173"/>
      <c r="R547" s="173" t="s">
        <v>585</v>
      </c>
      <c r="S547" s="173"/>
      <c r="T547" s="173" t="s">
        <v>585</v>
      </c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</row>
    <row r="548">
      <c r="A548" s="173"/>
      <c r="B548" s="173"/>
      <c r="C548" s="173"/>
      <c r="D548" s="174"/>
      <c r="E548" s="175"/>
      <c r="F548" s="175"/>
      <c r="G548" s="173" t="s">
        <v>585</v>
      </c>
      <c r="H548" s="173">
        <v>0.0</v>
      </c>
      <c r="I548" s="173"/>
      <c r="J548" s="199">
        <v>0.0</v>
      </c>
      <c r="K548" s="293"/>
      <c r="L548" s="173" t="s">
        <v>585</v>
      </c>
      <c r="M548" s="173"/>
      <c r="N548" s="199" t="s">
        <v>585</v>
      </c>
      <c r="O548" s="173"/>
      <c r="P548" s="173" t="s">
        <v>585</v>
      </c>
      <c r="Q548" s="173"/>
      <c r="R548" s="173" t="s">
        <v>585</v>
      </c>
      <c r="S548" s="173"/>
      <c r="T548" s="173" t="s">
        <v>585</v>
      </c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</row>
    <row r="549">
      <c r="A549" s="173"/>
      <c r="B549" s="173"/>
      <c r="C549" s="173"/>
      <c r="D549" s="174"/>
      <c r="E549" s="175"/>
      <c r="F549" s="175"/>
      <c r="G549" s="173" t="s">
        <v>585</v>
      </c>
      <c r="H549" s="173">
        <v>0.0</v>
      </c>
      <c r="I549" s="173"/>
      <c r="J549" s="199">
        <v>0.0</v>
      </c>
      <c r="K549" s="293"/>
      <c r="L549" s="173" t="s">
        <v>585</v>
      </c>
      <c r="M549" s="173"/>
      <c r="N549" s="199" t="s">
        <v>585</v>
      </c>
      <c r="O549" s="173"/>
      <c r="P549" s="173" t="s">
        <v>585</v>
      </c>
      <c r="Q549" s="173"/>
      <c r="R549" s="173" t="s">
        <v>585</v>
      </c>
      <c r="S549" s="173"/>
      <c r="T549" s="173" t="s">
        <v>585</v>
      </c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</row>
    <row r="550">
      <c r="A550" s="173"/>
      <c r="B550" s="173"/>
      <c r="C550" s="173"/>
      <c r="D550" s="174"/>
      <c r="E550" s="175"/>
      <c r="F550" s="175"/>
      <c r="G550" s="173" t="s">
        <v>585</v>
      </c>
      <c r="H550" s="173">
        <v>0.0</v>
      </c>
      <c r="I550" s="173"/>
      <c r="J550" s="199">
        <v>0.0</v>
      </c>
      <c r="K550" s="293"/>
      <c r="L550" s="173" t="s">
        <v>585</v>
      </c>
      <c r="M550" s="173"/>
      <c r="N550" s="199" t="s">
        <v>585</v>
      </c>
      <c r="O550" s="173"/>
      <c r="P550" s="173" t="s">
        <v>585</v>
      </c>
      <c r="Q550" s="173"/>
      <c r="R550" s="173" t="s">
        <v>585</v>
      </c>
      <c r="S550" s="173"/>
      <c r="T550" s="173" t="s">
        <v>585</v>
      </c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</row>
    <row r="551">
      <c r="A551" s="173"/>
      <c r="B551" s="173"/>
      <c r="C551" s="173"/>
      <c r="D551" s="174"/>
      <c r="E551" s="175"/>
      <c r="F551" s="175"/>
      <c r="G551" s="173" t="s">
        <v>585</v>
      </c>
      <c r="H551" s="173">
        <v>0.0</v>
      </c>
      <c r="I551" s="173"/>
      <c r="J551" s="199">
        <v>0.0</v>
      </c>
      <c r="K551" s="293"/>
      <c r="L551" s="173" t="s">
        <v>585</v>
      </c>
      <c r="M551" s="173"/>
      <c r="N551" s="199" t="s">
        <v>585</v>
      </c>
      <c r="O551" s="173"/>
      <c r="P551" s="173" t="s">
        <v>585</v>
      </c>
      <c r="Q551" s="173"/>
      <c r="R551" s="173" t="s">
        <v>585</v>
      </c>
      <c r="S551" s="173"/>
      <c r="T551" s="173" t="s">
        <v>585</v>
      </c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</row>
    <row r="552">
      <c r="A552" s="173"/>
      <c r="B552" s="173"/>
      <c r="C552" s="173"/>
      <c r="D552" s="174"/>
      <c r="E552" s="175"/>
      <c r="F552" s="175"/>
      <c r="G552" s="173" t="s">
        <v>585</v>
      </c>
      <c r="H552" s="173">
        <v>0.0</v>
      </c>
      <c r="I552" s="173"/>
      <c r="J552" s="199">
        <v>0.0</v>
      </c>
      <c r="K552" s="293"/>
      <c r="L552" s="173" t="s">
        <v>585</v>
      </c>
      <c r="M552" s="173"/>
      <c r="N552" s="199" t="s">
        <v>585</v>
      </c>
      <c r="O552" s="173"/>
      <c r="P552" s="173" t="s">
        <v>585</v>
      </c>
      <c r="Q552" s="173"/>
      <c r="R552" s="173" t="s">
        <v>585</v>
      </c>
      <c r="S552" s="173"/>
      <c r="T552" s="173" t="s">
        <v>585</v>
      </c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</row>
    <row r="553">
      <c r="A553" s="173"/>
      <c r="B553" s="173"/>
      <c r="C553" s="173"/>
      <c r="D553" s="174"/>
      <c r="E553" s="175"/>
      <c r="F553" s="175"/>
      <c r="G553" s="173" t="s">
        <v>585</v>
      </c>
      <c r="H553" s="173">
        <v>0.0</v>
      </c>
      <c r="I553" s="173"/>
      <c r="J553" s="199">
        <v>0.0</v>
      </c>
      <c r="K553" s="293"/>
      <c r="L553" s="173" t="s">
        <v>585</v>
      </c>
      <c r="M553" s="173"/>
      <c r="N553" s="199" t="s">
        <v>585</v>
      </c>
      <c r="O553" s="173"/>
      <c r="P553" s="173" t="s">
        <v>585</v>
      </c>
      <c r="Q553" s="173"/>
      <c r="R553" s="173" t="s">
        <v>585</v>
      </c>
      <c r="S553" s="173"/>
      <c r="T553" s="173" t="s">
        <v>585</v>
      </c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</row>
    <row r="554">
      <c r="A554" s="173"/>
      <c r="B554" s="173"/>
      <c r="C554" s="173"/>
      <c r="D554" s="174"/>
      <c r="E554" s="175"/>
      <c r="F554" s="175"/>
      <c r="G554" s="173" t="s">
        <v>585</v>
      </c>
      <c r="H554" s="173">
        <v>0.0</v>
      </c>
      <c r="I554" s="173"/>
      <c r="J554" s="199">
        <v>0.0</v>
      </c>
      <c r="K554" s="293"/>
      <c r="L554" s="173" t="s">
        <v>585</v>
      </c>
      <c r="M554" s="173"/>
      <c r="N554" s="199" t="s">
        <v>585</v>
      </c>
      <c r="O554" s="173"/>
      <c r="P554" s="173" t="s">
        <v>585</v>
      </c>
      <c r="Q554" s="173"/>
      <c r="R554" s="173" t="s">
        <v>585</v>
      </c>
      <c r="S554" s="173"/>
      <c r="T554" s="173" t="s">
        <v>585</v>
      </c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</row>
    <row r="555">
      <c r="A555" s="173"/>
      <c r="B555" s="173"/>
      <c r="C555" s="173"/>
      <c r="D555" s="174"/>
      <c r="E555" s="175"/>
      <c r="F555" s="175"/>
      <c r="G555" s="173" t="s">
        <v>585</v>
      </c>
      <c r="H555" s="173">
        <v>0.0</v>
      </c>
      <c r="I555" s="173"/>
      <c r="J555" s="199">
        <v>0.0</v>
      </c>
      <c r="K555" s="293"/>
      <c r="L555" s="173" t="s">
        <v>585</v>
      </c>
      <c r="M555" s="173"/>
      <c r="N555" s="199" t="s">
        <v>585</v>
      </c>
      <c r="O555" s="173"/>
      <c r="P555" s="173" t="s">
        <v>585</v>
      </c>
      <c r="Q555" s="173"/>
      <c r="R555" s="173" t="s">
        <v>585</v>
      </c>
      <c r="S555" s="173"/>
      <c r="T555" s="173" t="s">
        <v>585</v>
      </c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</row>
    <row r="556">
      <c r="A556" s="173"/>
      <c r="B556" s="173"/>
      <c r="C556" s="173"/>
      <c r="D556" s="174"/>
      <c r="E556" s="175"/>
      <c r="F556" s="175"/>
      <c r="G556" s="173" t="s">
        <v>585</v>
      </c>
      <c r="H556" s="173">
        <v>0.0</v>
      </c>
      <c r="I556" s="173"/>
      <c r="J556" s="199">
        <v>0.0</v>
      </c>
      <c r="K556" s="293"/>
      <c r="L556" s="173" t="s">
        <v>585</v>
      </c>
      <c r="M556" s="173"/>
      <c r="N556" s="199" t="s">
        <v>585</v>
      </c>
      <c r="O556" s="173"/>
      <c r="P556" s="173" t="s">
        <v>585</v>
      </c>
      <c r="Q556" s="173"/>
      <c r="R556" s="173" t="s">
        <v>585</v>
      </c>
      <c r="S556" s="173"/>
      <c r="T556" s="173" t="s">
        <v>585</v>
      </c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</row>
    <row r="557">
      <c r="A557" s="173"/>
      <c r="B557" s="173"/>
      <c r="C557" s="173"/>
      <c r="D557" s="174"/>
      <c r="E557" s="175"/>
      <c r="F557" s="175"/>
      <c r="G557" s="173" t="s">
        <v>585</v>
      </c>
      <c r="H557" s="173">
        <v>0.0</v>
      </c>
      <c r="I557" s="173"/>
      <c r="J557" s="199">
        <v>0.0</v>
      </c>
      <c r="K557" s="293"/>
      <c r="L557" s="173" t="s">
        <v>585</v>
      </c>
      <c r="M557" s="173"/>
      <c r="N557" s="199" t="s">
        <v>585</v>
      </c>
      <c r="O557" s="173"/>
      <c r="P557" s="173" t="s">
        <v>585</v>
      </c>
      <c r="Q557" s="173"/>
      <c r="R557" s="173" t="s">
        <v>585</v>
      </c>
      <c r="S557" s="173"/>
      <c r="T557" s="173" t="s">
        <v>585</v>
      </c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</row>
    <row r="558">
      <c r="A558" s="173"/>
      <c r="B558" s="173"/>
      <c r="C558" s="173"/>
      <c r="D558" s="174"/>
      <c r="E558" s="175"/>
      <c r="F558" s="175"/>
      <c r="G558" s="173" t="s">
        <v>585</v>
      </c>
      <c r="H558" s="173">
        <v>0.0</v>
      </c>
      <c r="I558" s="173"/>
      <c r="J558" s="199">
        <v>0.0</v>
      </c>
      <c r="K558" s="293"/>
      <c r="L558" s="173" t="s">
        <v>585</v>
      </c>
      <c r="M558" s="173"/>
      <c r="N558" s="199" t="s">
        <v>585</v>
      </c>
      <c r="O558" s="173"/>
      <c r="P558" s="173" t="s">
        <v>585</v>
      </c>
      <c r="Q558" s="173"/>
      <c r="R558" s="173" t="s">
        <v>585</v>
      </c>
      <c r="S558" s="173"/>
      <c r="T558" s="173" t="s">
        <v>585</v>
      </c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</row>
    <row r="559">
      <c r="A559" s="173"/>
      <c r="B559" s="173"/>
      <c r="C559" s="173"/>
      <c r="D559" s="174"/>
      <c r="E559" s="175"/>
      <c r="F559" s="175"/>
      <c r="G559" s="173" t="s">
        <v>585</v>
      </c>
      <c r="H559" s="173">
        <v>0.0</v>
      </c>
      <c r="I559" s="173"/>
      <c r="J559" s="199">
        <v>0.0</v>
      </c>
      <c r="K559" s="293"/>
      <c r="L559" s="173" t="s">
        <v>585</v>
      </c>
      <c r="M559" s="173"/>
      <c r="N559" s="199" t="s">
        <v>585</v>
      </c>
      <c r="O559" s="173"/>
      <c r="P559" s="173" t="s">
        <v>585</v>
      </c>
      <c r="Q559" s="173"/>
      <c r="R559" s="173" t="s">
        <v>585</v>
      </c>
      <c r="S559" s="173"/>
      <c r="T559" s="173" t="s">
        <v>585</v>
      </c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</row>
    <row r="560">
      <c r="A560" s="173"/>
      <c r="B560" s="173"/>
      <c r="C560" s="173"/>
      <c r="D560" s="174"/>
      <c r="E560" s="175"/>
      <c r="F560" s="175"/>
      <c r="G560" s="173" t="s">
        <v>585</v>
      </c>
      <c r="H560" s="173">
        <v>0.0</v>
      </c>
      <c r="I560" s="173"/>
      <c r="J560" s="199">
        <v>0.0</v>
      </c>
      <c r="K560" s="293"/>
      <c r="L560" s="173" t="s">
        <v>585</v>
      </c>
      <c r="M560" s="173"/>
      <c r="N560" s="199" t="s">
        <v>585</v>
      </c>
      <c r="O560" s="173"/>
      <c r="P560" s="173" t="s">
        <v>585</v>
      </c>
      <c r="Q560" s="173"/>
      <c r="R560" s="173" t="s">
        <v>585</v>
      </c>
      <c r="S560" s="173"/>
      <c r="T560" s="173" t="s">
        <v>585</v>
      </c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</row>
    <row r="561">
      <c r="A561" s="173"/>
      <c r="B561" s="173"/>
      <c r="C561" s="173"/>
      <c r="D561" s="174"/>
      <c r="E561" s="175"/>
      <c r="F561" s="175"/>
      <c r="G561" s="173" t="s">
        <v>585</v>
      </c>
      <c r="H561" s="173">
        <v>0.0</v>
      </c>
      <c r="I561" s="173"/>
      <c r="J561" s="199">
        <v>0.0</v>
      </c>
      <c r="K561" s="293"/>
      <c r="L561" s="173" t="s">
        <v>585</v>
      </c>
      <c r="M561" s="173"/>
      <c r="N561" s="199" t="s">
        <v>585</v>
      </c>
      <c r="O561" s="173"/>
      <c r="P561" s="173" t="s">
        <v>585</v>
      </c>
      <c r="Q561" s="173"/>
      <c r="R561" s="173" t="s">
        <v>585</v>
      </c>
      <c r="S561" s="173"/>
      <c r="T561" s="173" t="s">
        <v>585</v>
      </c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</row>
    <row r="562">
      <c r="A562" s="173"/>
      <c r="B562" s="173"/>
      <c r="C562" s="173"/>
      <c r="D562" s="174"/>
      <c r="E562" s="175"/>
      <c r="F562" s="175"/>
      <c r="G562" s="173" t="s">
        <v>585</v>
      </c>
      <c r="H562" s="173">
        <v>0.0</v>
      </c>
      <c r="I562" s="173"/>
      <c r="J562" s="199">
        <v>0.0</v>
      </c>
      <c r="K562" s="293"/>
      <c r="L562" s="173" t="s">
        <v>585</v>
      </c>
      <c r="M562" s="173"/>
      <c r="N562" s="199" t="s">
        <v>585</v>
      </c>
      <c r="O562" s="173"/>
      <c r="P562" s="173" t="s">
        <v>585</v>
      </c>
      <c r="Q562" s="173"/>
      <c r="R562" s="173" t="s">
        <v>585</v>
      </c>
      <c r="S562" s="173"/>
      <c r="T562" s="173" t="s">
        <v>585</v>
      </c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</row>
    <row r="563">
      <c r="A563" s="173"/>
      <c r="B563" s="173"/>
      <c r="C563" s="173"/>
      <c r="D563" s="174"/>
      <c r="E563" s="175"/>
      <c r="F563" s="175"/>
      <c r="G563" s="173" t="s">
        <v>585</v>
      </c>
      <c r="H563" s="173">
        <v>0.0</v>
      </c>
      <c r="I563" s="173"/>
      <c r="J563" s="199">
        <v>0.0</v>
      </c>
      <c r="K563" s="293"/>
      <c r="L563" s="173" t="s">
        <v>585</v>
      </c>
      <c r="M563" s="173"/>
      <c r="N563" s="199" t="s">
        <v>585</v>
      </c>
      <c r="O563" s="173"/>
      <c r="P563" s="173" t="s">
        <v>585</v>
      </c>
      <c r="Q563" s="173"/>
      <c r="R563" s="173" t="s">
        <v>585</v>
      </c>
      <c r="S563" s="173"/>
      <c r="T563" s="173" t="s">
        <v>585</v>
      </c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</row>
    <row r="564">
      <c r="A564" s="173"/>
      <c r="B564" s="173"/>
      <c r="C564" s="173"/>
      <c r="D564" s="174"/>
      <c r="E564" s="175"/>
      <c r="F564" s="175"/>
      <c r="G564" s="173" t="s">
        <v>585</v>
      </c>
      <c r="H564" s="173">
        <v>0.0</v>
      </c>
      <c r="I564" s="173"/>
      <c r="J564" s="199">
        <v>0.0</v>
      </c>
      <c r="K564" s="293"/>
      <c r="L564" s="173" t="s">
        <v>585</v>
      </c>
      <c r="M564" s="173"/>
      <c r="N564" s="199" t="s">
        <v>585</v>
      </c>
      <c r="O564" s="173"/>
      <c r="P564" s="173" t="s">
        <v>585</v>
      </c>
      <c r="Q564" s="173"/>
      <c r="R564" s="173" t="s">
        <v>585</v>
      </c>
      <c r="S564" s="173"/>
      <c r="T564" s="173" t="s">
        <v>585</v>
      </c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</row>
    <row r="565">
      <c r="A565" s="173"/>
      <c r="B565" s="173"/>
      <c r="C565" s="173"/>
      <c r="D565" s="174"/>
      <c r="E565" s="175"/>
      <c r="F565" s="175"/>
      <c r="G565" s="173" t="s">
        <v>585</v>
      </c>
      <c r="H565" s="173">
        <v>0.0</v>
      </c>
      <c r="I565" s="173"/>
      <c r="J565" s="199">
        <v>0.0</v>
      </c>
      <c r="K565" s="293"/>
      <c r="L565" s="173" t="s">
        <v>585</v>
      </c>
      <c r="M565" s="173"/>
      <c r="N565" s="199" t="s">
        <v>585</v>
      </c>
      <c r="O565" s="173"/>
      <c r="P565" s="173" t="s">
        <v>585</v>
      </c>
      <c r="Q565" s="173"/>
      <c r="R565" s="173" t="s">
        <v>585</v>
      </c>
      <c r="S565" s="173"/>
      <c r="T565" s="173" t="s">
        <v>585</v>
      </c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</row>
    <row r="566">
      <c r="A566" s="173"/>
      <c r="B566" s="173"/>
      <c r="C566" s="173"/>
      <c r="D566" s="174"/>
      <c r="E566" s="175"/>
      <c r="F566" s="175"/>
      <c r="G566" s="173" t="s">
        <v>585</v>
      </c>
      <c r="H566" s="173">
        <v>0.0</v>
      </c>
      <c r="I566" s="173"/>
      <c r="J566" s="199">
        <v>0.0</v>
      </c>
      <c r="K566" s="293"/>
      <c r="L566" s="173" t="s">
        <v>585</v>
      </c>
      <c r="M566" s="173"/>
      <c r="N566" s="199" t="s">
        <v>585</v>
      </c>
      <c r="O566" s="173"/>
      <c r="P566" s="173" t="s">
        <v>585</v>
      </c>
      <c r="Q566" s="173"/>
      <c r="R566" s="173" t="s">
        <v>585</v>
      </c>
      <c r="S566" s="173"/>
      <c r="T566" s="173" t="s">
        <v>585</v>
      </c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</row>
    <row r="567">
      <c r="A567" s="173"/>
      <c r="B567" s="173"/>
      <c r="C567" s="173"/>
      <c r="D567" s="174"/>
      <c r="E567" s="175"/>
      <c r="F567" s="175"/>
      <c r="G567" s="173" t="s">
        <v>585</v>
      </c>
      <c r="H567" s="173">
        <v>0.0</v>
      </c>
      <c r="I567" s="173"/>
      <c r="J567" s="199">
        <v>0.0</v>
      </c>
      <c r="K567" s="293"/>
      <c r="L567" s="173" t="s">
        <v>585</v>
      </c>
      <c r="M567" s="173"/>
      <c r="N567" s="199" t="s">
        <v>585</v>
      </c>
      <c r="O567" s="173"/>
      <c r="P567" s="173" t="s">
        <v>585</v>
      </c>
      <c r="Q567" s="173"/>
      <c r="R567" s="173" t="s">
        <v>585</v>
      </c>
      <c r="S567" s="173"/>
      <c r="T567" s="173" t="s">
        <v>585</v>
      </c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</row>
    <row r="568">
      <c r="A568" s="173"/>
      <c r="B568" s="173"/>
      <c r="C568" s="173"/>
      <c r="D568" s="174"/>
      <c r="E568" s="175"/>
      <c r="F568" s="175"/>
      <c r="G568" s="173" t="s">
        <v>585</v>
      </c>
      <c r="H568" s="173">
        <v>0.0</v>
      </c>
      <c r="I568" s="173"/>
      <c r="J568" s="199">
        <v>0.0</v>
      </c>
      <c r="K568" s="293"/>
      <c r="L568" s="173" t="s">
        <v>585</v>
      </c>
      <c r="M568" s="173"/>
      <c r="N568" s="199" t="s">
        <v>585</v>
      </c>
      <c r="O568" s="173"/>
      <c r="P568" s="173" t="s">
        <v>585</v>
      </c>
      <c r="Q568" s="173"/>
      <c r="R568" s="173" t="s">
        <v>585</v>
      </c>
      <c r="S568" s="173"/>
      <c r="T568" s="173" t="s">
        <v>585</v>
      </c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</row>
    <row r="569">
      <c r="A569" s="173"/>
      <c r="B569" s="173"/>
      <c r="C569" s="173"/>
      <c r="D569" s="174"/>
      <c r="E569" s="175"/>
      <c r="F569" s="175"/>
      <c r="G569" s="173" t="s">
        <v>585</v>
      </c>
      <c r="H569" s="173">
        <v>0.0</v>
      </c>
      <c r="I569" s="173"/>
      <c r="J569" s="199">
        <v>0.0</v>
      </c>
      <c r="K569" s="293"/>
      <c r="L569" s="173" t="s">
        <v>585</v>
      </c>
      <c r="M569" s="173"/>
      <c r="N569" s="199" t="s">
        <v>585</v>
      </c>
      <c r="O569" s="173"/>
      <c r="P569" s="173" t="s">
        <v>585</v>
      </c>
      <c r="Q569" s="173"/>
      <c r="R569" s="173" t="s">
        <v>585</v>
      </c>
      <c r="S569" s="173"/>
      <c r="T569" s="173" t="s">
        <v>585</v>
      </c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</row>
    <row r="570">
      <c r="A570" s="173"/>
      <c r="B570" s="173"/>
      <c r="C570" s="173"/>
      <c r="D570" s="174"/>
      <c r="E570" s="175"/>
      <c r="F570" s="175"/>
      <c r="G570" s="173" t="s">
        <v>585</v>
      </c>
      <c r="H570" s="173">
        <v>0.0</v>
      </c>
      <c r="I570" s="173"/>
      <c r="J570" s="199">
        <v>0.0</v>
      </c>
      <c r="K570" s="293"/>
      <c r="L570" s="173" t="s">
        <v>585</v>
      </c>
      <c r="M570" s="173"/>
      <c r="N570" s="199" t="s">
        <v>585</v>
      </c>
      <c r="O570" s="173"/>
      <c r="P570" s="173" t="s">
        <v>585</v>
      </c>
      <c r="Q570" s="173"/>
      <c r="R570" s="173" t="s">
        <v>585</v>
      </c>
      <c r="S570" s="173"/>
      <c r="T570" s="173" t="s">
        <v>585</v>
      </c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</row>
    <row r="571">
      <c r="A571" s="173"/>
      <c r="B571" s="173"/>
      <c r="C571" s="173"/>
      <c r="D571" s="174"/>
      <c r="E571" s="175"/>
      <c r="F571" s="175"/>
      <c r="G571" s="173" t="s">
        <v>585</v>
      </c>
      <c r="H571" s="173">
        <v>0.0</v>
      </c>
      <c r="I571" s="173"/>
      <c r="J571" s="199">
        <v>0.0</v>
      </c>
      <c r="K571" s="293"/>
      <c r="L571" s="173" t="s">
        <v>585</v>
      </c>
      <c r="M571" s="173"/>
      <c r="N571" s="199" t="s">
        <v>585</v>
      </c>
      <c r="O571" s="173"/>
      <c r="P571" s="173" t="s">
        <v>585</v>
      </c>
      <c r="Q571" s="173"/>
      <c r="R571" s="173" t="s">
        <v>585</v>
      </c>
      <c r="S571" s="173"/>
      <c r="T571" s="173" t="s">
        <v>585</v>
      </c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</row>
    <row r="572">
      <c r="A572" s="173"/>
      <c r="B572" s="173"/>
      <c r="C572" s="173"/>
      <c r="D572" s="174"/>
      <c r="E572" s="175"/>
      <c r="F572" s="175"/>
      <c r="G572" s="173" t="s">
        <v>585</v>
      </c>
      <c r="H572" s="173">
        <v>0.0</v>
      </c>
      <c r="I572" s="173"/>
      <c r="J572" s="199">
        <v>0.0</v>
      </c>
      <c r="K572" s="293"/>
      <c r="L572" s="173" t="s">
        <v>585</v>
      </c>
      <c r="M572" s="173"/>
      <c r="N572" s="199" t="s">
        <v>585</v>
      </c>
      <c r="O572" s="173"/>
      <c r="P572" s="173" t="s">
        <v>585</v>
      </c>
      <c r="Q572" s="173"/>
      <c r="R572" s="173" t="s">
        <v>585</v>
      </c>
      <c r="S572" s="173"/>
      <c r="T572" s="173" t="s">
        <v>585</v>
      </c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</row>
    <row r="573">
      <c r="A573" s="173"/>
      <c r="B573" s="173"/>
      <c r="C573" s="173"/>
      <c r="D573" s="174"/>
      <c r="E573" s="175"/>
      <c r="F573" s="175"/>
      <c r="G573" s="173" t="s">
        <v>585</v>
      </c>
      <c r="H573" s="173">
        <v>0.0</v>
      </c>
      <c r="I573" s="173"/>
      <c r="J573" s="199">
        <v>0.0</v>
      </c>
      <c r="K573" s="293"/>
      <c r="L573" s="173" t="s">
        <v>585</v>
      </c>
      <c r="M573" s="173"/>
      <c r="N573" s="199" t="s">
        <v>585</v>
      </c>
      <c r="O573" s="173"/>
      <c r="P573" s="173" t="s">
        <v>585</v>
      </c>
      <c r="Q573" s="173"/>
      <c r="R573" s="173" t="s">
        <v>585</v>
      </c>
      <c r="S573" s="173"/>
      <c r="T573" s="173" t="s">
        <v>585</v>
      </c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</row>
    <row r="574">
      <c r="A574" s="173"/>
      <c r="B574" s="173"/>
      <c r="C574" s="173"/>
      <c r="D574" s="174"/>
      <c r="E574" s="175"/>
      <c r="F574" s="175"/>
      <c r="G574" s="173" t="s">
        <v>585</v>
      </c>
      <c r="H574" s="173">
        <v>0.0</v>
      </c>
      <c r="I574" s="173"/>
      <c r="J574" s="199">
        <v>0.0</v>
      </c>
      <c r="K574" s="293"/>
      <c r="L574" s="173" t="s">
        <v>585</v>
      </c>
      <c r="M574" s="173"/>
      <c r="N574" s="199" t="s">
        <v>585</v>
      </c>
      <c r="O574" s="173"/>
      <c r="P574" s="173" t="s">
        <v>585</v>
      </c>
      <c r="Q574" s="173"/>
      <c r="R574" s="173" t="s">
        <v>585</v>
      </c>
      <c r="S574" s="173"/>
      <c r="T574" s="173" t="s">
        <v>585</v>
      </c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</row>
    <row r="575">
      <c r="A575" s="173"/>
      <c r="B575" s="173"/>
      <c r="C575" s="173"/>
      <c r="D575" s="174"/>
      <c r="E575" s="175"/>
      <c r="F575" s="175"/>
      <c r="G575" s="173" t="s">
        <v>585</v>
      </c>
      <c r="H575" s="173">
        <v>0.0</v>
      </c>
      <c r="I575" s="173"/>
      <c r="J575" s="199">
        <v>0.0</v>
      </c>
      <c r="K575" s="293"/>
      <c r="L575" s="173" t="s">
        <v>585</v>
      </c>
      <c r="M575" s="173"/>
      <c r="N575" s="199" t="s">
        <v>585</v>
      </c>
      <c r="O575" s="173"/>
      <c r="P575" s="173" t="s">
        <v>585</v>
      </c>
      <c r="Q575" s="173"/>
      <c r="R575" s="173" t="s">
        <v>585</v>
      </c>
      <c r="S575" s="173"/>
      <c r="T575" s="173" t="s">
        <v>585</v>
      </c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</row>
    <row r="576">
      <c r="A576" s="173"/>
      <c r="B576" s="173"/>
      <c r="C576" s="173"/>
      <c r="D576" s="174"/>
      <c r="E576" s="175"/>
      <c r="F576" s="175"/>
      <c r="G576" s="173" t="s">
        <v>585</v>
      </c>
      <c r="H576" s="173">
        <v>0.0</v>
      </c>
      <c r="I576" s="173"/>
      <c r="J576" s="199">
        <v>0.0</v>
      </c>
      <c r="K576" s="293"/>
      <c r="L576" s="173" t="s">
        <v>585</v>
      </c>
      <c r="M576" s="173"/>
      <c r="N576" s="199" t="s">
        <v>585</v>
      </c>
      <c r="O576" s="173"/>
      <c r="P576" s="173" t="s">
        <v>585</v>
      </c>
      <c r="Q576" s="173"/>
      <c r="R576" s="173" t="s">
        <v>585</v>
      </c>
      <c r="S576" s="173"/>
      <c r="T576" s="173" t="s">
        <v>585</v>
      </c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</row>
    <row r="577">
      <c r="A577" s="173"/>
      <c r="B577" s="173"/>
      <c r="C577" s="173"/>
      <c r="D577" s="174"/>
      <c r="E577" s="175"/>
      <c r="F577" s="175"/>
      <c r="G577" s="173" t="s">
        <v>585</v>
      </c>
      <c r="H577" s="173">
        <v>0.0</v>
      </c>
      <c r="I577" s="173"/>
      <c r="J577" s="199">
        <v>0.0</v>
      </c>
      <c r="K577" s="293"/>
      <c r="L577" s="173" t="s">
        <v>585</v>
      </c>
      <c r="M577" s="173"/>
      <c r="N577" s="199" t="s">
        <v>585</v>
      </c>
      <c r="O577" s="173"/>
      <c r="P577" s="173" t="s">
        <v>585</v>
      </c>
      <c r="Q577" s="173"/>
      <c r="R577" s="173" t="s">
        <v>585</v>
      </c>
      <c r="S577" s="173"/>
      <c r="T577" s="173" t="s">
        <v>585</v>
      </c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</row>
    <row r="578">
      <c r="A578" s="173"/>
      <c r="B578" s="173"/>
      <c r="C578" s="173"/>
      <c r="D578" s="174"/>
      <c r="E578" s="175"/>
      <c r="F578" s="175"/>
      <c r="G578" s="173" t="s">
        <v>585</v>
      </c>
      <c r="H578" s="173">
        <v>0.0</v>
      </c>
      <c r="I578" s="173"/>
      <c r="J578" s="199">
        <v>0.0</v>
      </c>
      <c r="K578" s="293"/>
      <c r="L578" s="173" t="s">
        <v>585</v>
      </c>
      <c r="M578" s="173"/>
      <c r="N578" s="199" t="s">
        <v>585</v>
      </c>
      <c r="O578" s="173"/>
      <c r="P578" s="173" t="s">
        <v>585</v>
      </c>
      <c r="Q578" s="173"/>
      <c r="R578" s="173" t="s">
        <v>585</v>
      </c>
      <c r="S578" s="173"/>
      <c r="T578" s="173" t="s">
        <v>585</v>
      </c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</row>
    <row r="579">
      <c r="A579" s="173"/>
      <c r="B579" s="173"/>
      <c r="C579" s="173"/>
      <c r="D579" s="174"/>
      <c r="E579" s="175"/>
      <c r="F579" s="175"/>
      <c r="G579" s="173" t="s">
        <v>585</v>
      </c>
      <c r="H579" s="173">
        <v>0.0</v>
      </c>
      <c r="I579" s="173"/>
      <c r="J579" s="199">
        <v>0.0</v>
      </c>
      <c r="K579" s="293"/>
      <c r="L579" s="173" t="s">
        <v>585</v>
      </c>
      <c r="M579" s="173"/>
      <c r="N579" s="199" t="s">
        <v>585</v>
      </c>
      <c r="O579" s="173"/>
      <c r="P579" s="173" t="s">
        <v>585</v>
      </c>
      <c r="Q579" s="173"/>
      <c r="R579" s="173" t="s">
        <v>585</v>
      </c>
      <c r="S579" s="173"/>
      <c r="T579" s="173" t="s">
        <v>585</v>
      </c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</row>
    <row r="580">
      <c r="A580" s="173"/>
      <c r="B580" s="173"/>
      <c r="C580" s="173"/>
      <c r="D580" s="174"/>
      <c r="E580" s="175"/>
      <c r="F580" s="175"/>
      <c r="G580" s="173" t="s">
        <v>585</v>
      </c>
      <c r="H580" s="173">
        <v>0.0</v>
      </c>
      <c r="I580" s="173"/>
      <c r="J580" s="199">
        <v>0.0</v>
      </c>
      <c r="K580" s="293"/>
      <c r="L580" s="173" t="s">
        <v>585</v>
      </c>
      <c r="M580" s="173"/>
      <c r="N580" s="199" t="s">
        <v>585</v>
      </c>
      <c r="O580" s="173"/>
      <c r="P580" s="173" t="s">
        <v>585</v>
      </c>
      <c r="Q580" s="173"/>
      <c r="R580" s="173" t="s">
        <v>585</v>
      </c>
      <c r="S580" s="173"/>
      <c r="T580" s="173" t="s">
        <v>585</v>
      </c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</row>
    <row r="581">
      <c r="A581" s="173"/>
      <c r="B581" s="173"/>
      <c r="C581" s="173"/>
      <c r="D581" s="174"/>
      <c r="E581" s="175"/>
      <c r="F581" s="175"/>
      <c r="G581" s="173" t="s">
        <v>585</v>
      </c>
      <c r="H581" s="173">
        <v>0.0</v>
      </c>
      <c r="I581" s="173"/>
      <c r="J581" s="199">
        <v>0.0</v>
      </c>
      <c r="K581" s="293"/>
      <c r="L581" s="173" t="s">
        <v>585</v>
      </c>
      <c r="M581" s="173"/>
      <c r="N581" s="199" t="s">
        <v>585</v>
      </c>
      <c r="O581" s="173"/>
      <c r="P581" s="173" t="s">
        <v>585</v>
      </c>
      <c r="Q581" s="173"/>
      <c r="R581" s="173" t="s">
        <v>585</v>
      </c>
      <c r="S581" s="173"/>
      <c r="T581" s="173" t="s">
        <v>585</v>
      </c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</row>
    <row r="582">
      <c r="A582" s="173"/>
      <c r="B582" s="173"/>
      <c r="C582" s="173"/>
      <c r="D582" s="174"/>
      <c r="E582" s="175"/>
      <c r="F582" s="175"/>
      <c r="G582" s="173" t="s">
        <v>585</v>
      </c>
      <c r="H582" s="173">
        <v>0.0</v>
      </c>
      <c r="I582" s="173"/>
      <c r="J582" s="199">
        <v>0.0</v>
      </c>
      <c r="K582" s="293"/>
      <c r="L582" s="173" t="s">
        <v>585</v>
      </c>
      <c r="M582" s="173"/>
      <c r="N582" s="199" t="s">
        <v>585</v>
      </c>
      <c r="O582" s="173"/>
      <c r="P582" s="173" t="s">
        <v>585</v>
      </c>
      <c r="Q582" s="173"/>
      <c r="R582" s="173" t="s">
        <v>585</v>
      </c>
      <c r="S582" s="173"/>
      <c r="T582" s="173" t="s">
        <v>585</v>
      </c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</row>
    <row r="583">
      <c r="A583" s="173"/>
      <c r="B583" s="173"/>
      <c r="C583" s="173"/>
      <c r="D583" s="174"/>
      <c r="E583" s="175"/>
      <c r="F583" s="175"/>
      <c r="G583" s="173" t="s">
        <v>585</v>
      </c>
      <c r="H583" s="173">
        <v>0.0</v>
      </c>
      <c r="I583" s="173"/>
      <c r="J583" s="199">
        <v>0.0</v>
      </c>
      <c r="K583" s="293"/>
      <c r="L583" s="173" t="s">
        <v>585</v>
      </c>
      <c r="M583" s="173"/>
      <c r="N583" s="199" t="s">
        <v>585</v>
      </c>
      <c r="O583" s="173"/>
      <c r="P583" s="173" t="s">
        <v>585</v>
      </c>
      <c r="Q583" s="173"/>
      <c r="R583" s="173" t="s">
        <v>585</v>
      </c>
      <c r="S583" s="173"/>
      <c r="T583" s="173" t="s">
        <v>585</v>
      </c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</row>
    <row r="584">
      <c r="A584" s="173"/>
      <c r="B584" s="173"/>
      <c r="C584" s="173"/>
      <c r="D584" s="174"/>
      <c r="E584" s="175"/>
      <c r="F584" s="175"/>
      <c r="G584" s="173" t="s">
        <v>585</v>
      </c>
      <c r="H584" s="173">
        <v>0.0</v>
      </c>
      <c r="I584" s="173"/>
      <c r="J584" s="199">
        <v>0.0</v>
      </c>
      <c r="K584" s="293"/>
      <c r="L584" s="173" t="s">
        <v>585</v>
      </c>
      <c r="M584" s="173"/>
      <c r="N584" s="199" t="s">
        <v>585</v>
      </c>
      <c r="O584" s="173"/>
      <c r="P584" s="173" t="s">
        <v>585</v>
      </c>
      <c r="Q584" s="173"/>
      <c r="R584" s="173" t="s">
        <v>585</v>
      </c>
      <c r="S584" s="173"/>
      <c r="T584" s="173" t="s">
        <v>585</v>
      </c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</row>
    <row r="585">
      <c r="A585" s="173"/>
      <c r="B585" s="173"/>
      <c r="C585" s="173"/>
      <c r="D585" s="174"/>
      <c r="E585" s="175"/>
      <c r="F585" s="175"/>
      <c r="G585" s="173" t="s">
        <v>585</v>
      </c>
      <c r="H585" s="173">
        <v>0.0</v>
      </c>
      <c r="I585" s="173"/>
      <c r="J585" s="199">
        <v>0.0</v>
      </c>
      <c r="K585" s="293"/>
      <c r="L585" s="173" t="s">
        <v>585</v>
      </c>
      <c r="M585" s="173"/>
      <c r="N585" s="199" t="s">
        <v>585</v>
      </c>
      <c r="O585" s="173"/>
      <c r="P585" s="173" t="s">
        <v>585</v>
      </c>
      <c r="Q585" s="173"/>
      <c r="R585" s="173" t="s">
        <v>585</v>
      </c>
      <c r="S585" s="173"/>
      <c r="T585" s="173" t="s">
        <v>585</v>
      </c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</row>
    <row r="586">
      <c r="A586" s="173"/>
      <c r="B586" s="173"/>
      <c r="C586" s="173"/>
      <c r="D586" s="174"/>
      <c r="E586" s="175"/>
      <c r="F586" s="175"/>
      <c r="G586" s="173" t="s">
        <v>585</v>
      </c>
      <c r="H586" s="173">
        <v>0.0</v>
      </c>
      <c r="I586" s="173"/>
      <c r="J586" s="199">
        <v>0.0</v>
      </c>
      <c r="K586" s="293"/>
      <c r="L586" s="173" t="s">
        <v>585</v>
      </c>
      <c r="M586" s="173"/>
      <c r="N586" s="199" t="s">
        <v>585</v>
      </c>
      <c r="O586" s="173"/>
      <c r="P586" s="173" t="s">
        <v>585</v>
      </c>
      <c r="Q586" s="173"/>
      <c r="R586" s="173" t="s">
        <v>585</v>
      </c>
      <c r="S586" s="173"/>
      <c r="T586" s="173" t="s">
        <v>585</v>
      </c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</row>
    <row r="587">
      <c r="A587" s="173"/>
      <c r="B587" s="173"/>
      <c r="C587" s="173"/>
      <c r="D587" s="174"/>
      <c r="E587" s="175"/>
      <c r="F587" s="175"/>
      <c r="G587" s="173" t="s">
        <v>585</v>
      </c>
      <c r="H587" s="173">
        <v>0.0</v>
      </c>
      <c r="I587" s="173"/>
      <c r="J587" s="199">
        <v>0.0</v>
      </c>
      <c r="K587" s="293"/>
      <c r="L587" s="173" t="s">
        <v>585</v>
      </c>
      <c r="M587" s="173"/>
      <c r="N587" s="199" t="s">
        <v>585</v>
      </c>
      <c r="O587" s="173"/>
      <c r="P587" s="173" t="s">
        <v>585</v>
      </c>
      <c r="Q587" s="173"/>
      <c r="R587" s="173" t="s">
        <v>585</v>
      </c>
      <c r="S587" s="173"/>
      <c r="T587" s="173" t="s">
        <v>585</v>
      </c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</row>
    <row r="588">
      <c r="A588" s="173"/>
      <c r="B588" s="173"/>
      <c r="C588" s="173"/>
      <c r="D588" s="174"/>
      <c r="E588" s="175"/>
      <c r="F588" s="175"/>
      <c r="G588" s="173" t="s">
        <v>585</v>
      </c>
      <c r="H588" s="173">
        <v>0.0</v>
      </c>
      <c r="I588" s="173"/>
      <c r="J588" s="199">
        <v>0.0</v>
      </c>
      <c r="K588" s="293"/>
      <c r="L588" s="173" t="s">
        <v>585</v>
      </c>
      <c r="M588" s="173"/>
      <c r="N588" s="199" t="s">
        <v>585</v>
      </c>
      <c r="O588" s="173"/>
      <c r="P588" s="173" t="s">
        <v>585</v>
      </c>
      <c r="Q588" s="173"/>
      <c r="R588" s="173" t="s">
        <v>585</v>
      </c>
      <c r="S588" s="173"/>
      <c r="T588" s="173" t="s">
        <v>585</v>
      </c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</row>
    <row r="589">
      <c r="A589" s="173"/>
      <c r="B589" s="173"/>
      <c r="C589" s="173"/>
      <c r="D589" s="174"/>
      <c r="E589" s="175"/>
      <c r="F589" s="175"/>
      <c r="G589" s="173" t="s">
        <v>585</v>
      </c>
      <c r="H589" s="173">
        <v>0.0</v>
      </c>
      <c r="I589" s="173"/>
      <c r="J589" s="199">
        <v>0.0</v>
      </c>
      <c r="K589" s="293"/>
      <c r="L589" s="173" t="s">
        <v>585</v>
      </c>
      <c r="M589" s="173"/>
      <c r="N589" s="199" t="s">
        <v>585</v>
      </c>
      <c r="O589" s="173"/>
      <c r="P589" s="173" t="s">
        <v>585</v>
      </c>
      <c r="Q589" s="173"/>
      <c r="R589" s="173" t="s">
        <v>585</v>
      </c>
      <c r="S589" s="173"/>
      <c r="T589" s="173" t="s">
        <v>585</v>
      </c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</row>
    <row r="590">
      <c r="A590" s="173"/>
      <c r="B590" s="173"/>
      <c r="C590" s="173"/>
      <c r="D590" s="174"/>
      <c r="E590" s="175"/>
      <c r="F590" s="175"/>
      <c r="G590" s="173" t="s">
        <v>585</v>
      </c>
      <c r="H590" s="173">
        <v>0.0</v>
      </c>
      <c r="I590" s="173"/>
      <c r="J590" s="199">
        <v>0.0</v>
      </c>
      <c r="K590" s="293"/>
      <c r="L590" s="173" t="s">
        <v>585</v>
      </c>
      <c r="M590" s="173"/>
      <c r="N590" s="199" t="s">
        <v>585</v>
      </c>
      <c r="O590" s="173"/>
      <c r="P590" s="173" t="s">
        <v>585</v>
      </c>
      <c r="Q590" s="173"/>
      <c r="R590" s="173" t="s">
        <v>585</v>
      </c>
      <c r="S590" s="173"/>
      <c r="T590" s="173" t="s">
        <v>585</v>
      </c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</row>
    <row r="591">
      <c r="A591" s="173"/>
      <c r="B591" s="173"/>
      <c r="C591" s="173"/>
      <c r="D591" s="174"/>
      <c r="E591" s="175"/>
      <c r="F591" s="175"/>
      <c r="G591" s="173" t="s">
        <v>585</v>
      </c>
      <c r="H591" s="173">
        <v>0.0</v>
      </c>
      <c r="I591" s="173"/>
      <c r="J591" s="199">
        <v>0.0</v>
      </c>
      <c r="K591" s="293"/>
      <c r="L591" s="173" t="s">
        <v>585</v>
      </c>
      <c r="M591" s="173"/>
      <c r="N591" s="199" t="s">
        <v>585</v>
      </c>
      <c r="O591" s="173"/>
      <c r="P591" s="173" t="s">
        <v>585</v>
      </c>
      <c r="Q591" s="173"/>
      <c r="R591" s="173" t="s">
        <v>585</v>
      </c>
      <c r="S591" s="173"/>
      <c r="T591" s="173" t="s">
        <v>585</v>
      </c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</row>
    <row r="592">
      <c r="A592" s="173"/>
      <c r="B592" s="173"/>
      <c r="C592" s="173"/>
      <c r="D592" s="174"/>
      <c r="E592" s="175"/>
      <c r="F592" s="175"/>
      <c r="G592" s="173" t="s">
        <v>585</v>
      </c>
      <c r="H592" s="173">
        <v>0.0</v>
      </c>
      <c r="I592" s="173"/>
      <c r="J592" s="199">
        <v>0.0</v>
      </c>
      <c r="K592" s="293"/>
      <c r="L592" s="173" t="s">
        <v>585</v>
      </c>
      <c r="M592" s="173"/>
      <c r="N592" s="199" t="s">
        <v>585</v>
      </c>
      <c r="O592" s="173"/>
      <c r="P592" s="173" t="s">
        <v>585</v>
      </c>
      <c r="Q592" s="173"/>
      <c r="R592" s="173" t="s">
        <v>585</v>
      </c>
      <c r="S592" s="173"/>
      <c r="T592" s="173" t="s">
        <v>585</v>
      </c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</row>
    <row r="593">
      <c r="A593" s="173"/>
      <c r="B593" s="173"/>
      <c r="C593" s="173"/>
      <c r="D593" s="174"/>
      <c r="E593" s="175"/>
      <c r="F593" s="175"/>
      <c r="G593" s="173" t="s">
        <v>585</v>
      </c>
      <c r="H593" s="173">
        <v>0.0</v>
      </c>
      <c r="I593" s="173"/>
      <c r="J593" s="199">
        <v>0.0</v>
      </c>
      <c r="K593" s="293"/>
      <c r="L593" s="173" t="s">
        <v>585</v>
      </c>
      <c r="M593" s="173"/>
      <c r="N593" s="199" t="s">
        <v>585</v>
      </c>
      <c r="O593" s="173"/>
      <c r="P593" s="173" t="s">
        <v>585</v>
      </c>
      <c r="Q593" s="173"/>
      <c r="R593" s="173" t="s">
        <v>585</v>
      </c>
      <c r="S593" s="173"/>
      <c r="T593" s="173" t="s">
        <v>585</v>
      </c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</row>
    <row r="594">
      <c r="A594" s="173"/>
      <c r="B594" s="173"/>
      <c r="C594" s="173"/>
      <c r="D594" s="174"/>
      <c r="E594" s="175"/>
      <c r="F594" s="175"/>
      <c r="G594" s="173" t="s">
        <v>585</v>
      </c>
      <c r="H594" s="173">
        <v>0.0</v>
      </c>
      <c r="I594" s="173"/>
      <c r="J594" s="199">
        <v>0.0</v>
      </c>
      <c r="K594" s="293"/>
      <c r="L594" s="173" t="s">
        <v>585</v>
      </c>
      <c r="M594" s="173"/>
      <c r="N594" s="199" t="s">
        <v>585</v>
      </c>
      <c r="O594" s="173"/>
      <c r="P594" s="173" t="s">
        <v>585</v>
      </c>
      <c r="Q594" s="173"/>
      <c r="R594" s="173" t="s">
        <v>585</v>
      </c>
      <c r="S594" s="173"/>
      <c r="T594" s="173" t="s">
        <v>585</v>
      </c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</row>
    <row r="595">
      <c r="A595" s="173"/>
      <c r="B595" s="173"/>
      <c r="C595" s="173"/>
      <c r="D595" s="174"/>
      <c r="E595" s="175"/>
      <c r="F595" s="175"/>
      <c r="G595" s="173" t="s">
        <v>585</v>
      </c>
      <c r="H595" s="173">
        <v>0.0</v>
      </c>
      <c r="I595" s="173"/>
      <c r="J595" s="199">
        <v>0.0</v>
      </c>
      <c r="K595" s="293"/>
      <c r="L595" s="173" t="s">
        <v>585</v>
      </c>
      <c r="M595" s="173"/>
      <c r="N595" s="199" t="s">
        <v>585</v>
      </c>
      <c r="O595" s="173"/>
      <c r="P595" s="173" t="s">
        <v>585</v>
      </c>
      <c r="Q595" s="173"/>
      <c r="R595" s="173" t="s">
        <v>585</v>
      </c>
      <c r="S595" s="173"/>
      <c r="T595" s="173" t="s">
        <v>585</v>
      </c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</row>
    <row r="596">
      <c r="A596" s="173"/>
      <c r="B596" s="173"/>
      <c r="C596" s="173"/>
      <c r="D596" s="174"/>
      <c r="E596" s="175"/>
      <c r="F596" s="175"/>
      <c r="G596" s="173" t="s">
        <v>585</v>
      </c>
      <c r="H596" s="173">
        <v>0.0</v>
      </c>
      <c r="I596" s="173"/>
      <c r="J596" s="199">
        <v>0.0</v>
      </c>
      <c r="K596" s="293"/>
      <c r="L596" s="173" t="s">
        <v>585</v>
      </c>
      <c r="M596" s="173"/>
      <c r="N596" s="199" t="s">
        <v>585</v>
      </c>
      <c r="O596" s="173"/>
      <c r="P596" s="173" t="s">
        <v>585</v>
      </c>
      <c r="Q596" s="173"/>
      <c r="R596" s="173" t="s">
        <v>585</v>
      </c>
      <c r="S596" s="173"/>
      <c r="T596" s="173" t="s">
        <v>585</v>
      </c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</row>
    <row r="597">
      <c r="A597" s="173"/>
      <c r="B597" s="173"/>
      <c r="C597" s="173"/>
      <c r="D597" s="174"/>
      <c r="E597" s="175"/>
      <c r="F597" s="175"/>
      <c r="G597" s="173" t="s">
        <v>585</v>
      </c>
      <c r="H597" s="173">
        <v>0.0</v>
      </c>
      <c r="I597" s="173"/>
      <c r="J597" s="199">
        <v>0.0</v>
      </c>
      <c r="K597" s="293"/>
      <c r="L597" s="173" t="s">
        <v>585</v>
      </c>
      <c r="M597" s="173"/>
      <c r="N597" s="199" t="s">
        <v>585</v>
      </c>
      <c r="O597" s="173"/>
      <c r="P597" s="173" t="s">
        <v>585</v>
      </c>
      <c r="Q597" s="173"/>
      <c r="R597" s="173" t="s">
        <v>585</v>
      </c>
      <c r="S597" s="173"/>
      <c r="T597" s="173" t="s">
        <v>585</v>
      </c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</row>
    <row r="598">
      <c r="A598" s="173"/>
      <c r="B598" s="173"/>
      <c r="C598" s="173"/>
      <c r="D598" s="174"/>
      <c r="E598" s="175"/>
      <c r="F598" s="175"/>
      <c r="G598" s="173" t="s">
        <v>585</v>
      </c>
      <c r="H598" s="173">
        <v>0.0</v>
      </c>
      <c r="I598" s="173"/>
      <c r="J598" s="199">
        <v>0.0</v>
      </c>
      <c r="K598" s="293"/>
      <c r="L598" s="173" t="s">
        <v>585</v>
      </c>
      <c r="M598" s="173"/>
      <c r="N598" s="199" t="s">
        <v>585</v>
      </c>
      <c r="O598" s="173"/>
      <c r="P598" s="173" t="s">
        <v>585</v>
      </c>
      <c r="Q598" s="173"/>
      <c r="R598" s="173" t="s">
        <v>585</v>
      </c>
      <c r="S598" s="173"/>
      <c r="T598" s="173" t="s">
        <v>585</v>
      </c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</row>
    <row r="599">
      <c r="A599" s="173"/>
      <c r="B599" s="173"/>
      <c r="C599" s="173"/>
      <c r="D599" s="174"/>
      <c r="E599" s="175"/>
      <c r="F599" s="175"/>
      <c r="G599" s="173" t="s">
        <v>585</v>
      </c>
      <c r="H599" s="173">
        <v>0.0</v>
      </c>
      <c r="I599" s="173"/>
      <c r="J599" s="199">
        <v>0.0</v>
      </c>
      <c r="K599" s="293"/>
      <c r="L599" s="173" t="s">
        <v>585</v>
      </c>
      <c r="M599" s="173"/>
      <c r="N599" s="199" t="s">
        <v>585</v>
      </c>
      <c r="O599" s="173"/>
      <c r="P599" s="173" t="s">
        <v>585</v>
      </c>
      <c r="Q599" s="173"/>
      <c r="R599" s="173" t="s">
        <v>585</v>
      </c>
      <c r="S599" s="173"/>
      <c r="T599" s="173" t="s">
        <v>585</v>
      </c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</row>
    <row r="600">
      <c r="A600" s="173"/>
      <c r="B600" s="173"/>
      <c r="C600" s="173"/>
      <c r="D600" s="174"/>
      <c r="E600" s="175"/>
      <c r="F600" s="175"/>
      <c r="G600" s="173" t="s">
        <v>585</v>
      </c>
      <c r="H600" s="173">
        <v>0.0</v>
      </c>
      <c r="I600" s="173"/>
      <c r="J600" s="199">
        <v>0.0</v>
      </c>
      <c r="K600" s="293"/>
      <c r="L600" s="173" t="s">
        <v>585</v>
      </c>
      <c r="M600" s="173"/>
      <c r="N600" s="199" t="s">
        <v>585</v>
      </c>
      <c r="O600" s="173"/>
      <c r="P600" s="173" t="s">
        <v>585</v>
      </c>
      <c r="Q600" s="173"/>
      <c r="R600" s="173" t="s">
        <v>585</v>
      </c>
      <c r="S600" s="173"/>
      <c r="T600" s="173" t="s">
        <v>585</v>
      </c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</row>
    <row r="601">
      <c r="A601" s="173"/>
      <c r="B601" s="173"/>
      <c r="C601" s="173"/>
      <c r="D601" s="174"/>
      <c r="E601" s="175"/>
      <c r="F601" s="175"/>
      <c r="G601" s="173" t="s">
        <v>585</v>
      </c>
      <c r="H601" s="173">
        <v>0.0</v>
      </c>
      <c r="I601" s="173"/>
      <c r="J601" s="199">
        <v>0.0</v>
      </c>
      <c r="K601" s="293"/>
      <c r="L601" s="173" t="s">
        <v>585</v>
      </c>
      <c r="M601" s="173"/>
      <c r="N601" s="199" t="s">
        <v>585</v>
      </c>
      <c r="O601" s="173"/>
      <c r="P601" s="173" t="s">
        <v>585</v>
      </c>
      <c r="Q601" s="173"/>
      <c r="R601" s="173" t="s">
        <v>585</v>
      </c>
      <c r="S601" s="173"/>
      <c r="T601" s="173" t="s">
        <v>585</v>
      </c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</row>
    <row r="602">
      <c r="A602" s="173"/>
      <c r="B602" s="173"/>
      <c r="C602" s="173"/>
      <c r="D602" s="174"/>
      <c r="E602" s="175"/>
      <c r="F602" s="175"/>
      <c r="G602" s="173" t="s">
        <v>585</v>
      </c>
      <c r="H602" s="173">
        <v>0.0</v>
      </c>
      <c r="I602" s="173"/>
      <c r="J602" s="199">
        <v>0.0</v>
      </c>
      <c r="K602" s="293"/>
      <c r="L602" s="173" t="s">
        <v>585</v>
      </c>
      <c r="M602" s="173"/>
      <c r="N602" s="199" t="s">
        <v>585</v>
      </c>
      <c r="O602" s="173"/>
      <c r="P602" s="173" t="s">
        <v>585</v>
      </c>
      <c r="Q602" s="173"/>
      <c r="R602" s="173" t="s">
        <v>585</v>
      </c>
      <c r="S602" s="173"/>
      <c r="T602" s="173" t="s">
        <v>585</v>
      </c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</row>
    <row r="603">
      <c r="A603" s="173"/>
      <c r="B603" s="173"/>
      <c r="C603" s="173"/>
      <c r="D603" s="174"/>
      <c r="E603" s="175"/>
      <c r="F603" s="175"/>
      <c r="G603" s="173" t="s">
        <v>585</v>
      </c>
      <c r="H603" s="173">
        <v>0.0</v>
      </c>
      <c r="I603" s="173"/>
      <c r="J603" s="199">
        <v>0.0</v>
      </c>
      <c r="K603" s="293"/>
      <c r="L603" s="173" t="s">
        <v>585</v>
      </c>
      <c r="M603" s="173"/>
      <c r="N603" s="199" t="s">
        <v>585</v>
      </c>
      <c r="O603" s="173"/>
      <c r="P603" s="173" t="s">
        <v>585</v>
      </c>
      <c r="Q603" s="173"/>
      <c r="R603" s="173" t="s">
        <v>585</v>
      </c>
      <c r="S603" s="173"/>
      <c r="T603" s="173" t="s">
        <v>585</v>
      </c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</row>
    <row r="604">
      <c r="A604" s="173"/>
      <c r="B604" s="173"/>
      <c r="C604" s="173"/>
      <c r="D604" s="174"/>
      <c r="E604" s="175"/>
      <c r="F604" s="175"/>
      <c r="G604" s="173" t="s">
        <v>585</v>
      </c>
      <c r="H604" s="173">
        <v>0.0</v>
      </c>
      <c r="I604" s="173"/>
      <c r="J604" s="199">
        <v>0.0</v>
      </c>
      <c r="K604" s="293"/>
      <c r="L604" s="173" t="s">
        <v>585</v>
      </c>
      <c r="M604" s="173"/>
      <c r="N604" s="199" t="s">
        <v>585</v>
      </c>
      <c r="O604" s="173"/>
      <c r="P604" s="173" t="s">
        <v>585</v>
      </c>
      <c r="Q604" s="173"/>
      <c r="R604" s="173" t="s">
        <v>585</v>
      </c>
      <c r="S604" s="173"/>
      <c r="T604" s="173" t="s">
        <v>585</v>
      </c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</row>
    <row r="605">
      <c r="A605" s="173"/>
      <c r="B605" s="173"/>
      <c r="C605" s="173"/>
      <c r="D605" s="174"/>
      <c r="E605" s="175"/>
      <c r="F605" s="175"/>
      <c r="G605" s="173" t="s">
        <v>585</v>
      </c>
      <c r="H605" s="173">
        <v>0.0</v>
      </c>
      <c r="I605" s="173"/>
      <c r="J605" s="199">
        <v>0.0</v>
      </c>
      <c r="K605" s="293"/>
      <c r="L605" s="173" t="s">
        <v>585</v>
      </c>
      <c r="M605" s="173"/>
      <c r="N605" s="199" t="s">
        <v>585</v>
      </c>
      <c r="O605" s="173"/>
      <c r="P605" s="173" t="s">
        <v>585</v>
      </c>
      <c r="Q605" s="173"/>
      <c r="R605" s="173" t="s">
        <v>585</v>
      </c>
      <c r="S605" s="173"/>
      <c r="T605" s="173" t="s">
        <v>585</v>
      </c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</row>
    <row r="606">
      <c r="A606" s="173"/>
      <c r="B606" s="173"/>
      <c r="C606" s="173"/>
      <c r="D606" s="174"/>
      <c r="E606" s="175"/>
      <c r="F606" s="175"/>
      <c r="G606" s="173" t="s">
        <v>585</v>
      </c>
      <c r="H606" s="173">
        <v>0.0</v>
      </c>
      <c r="I606" s="173"/>
      <c r="J606" s="199">
        <v>0.0</v>
      </c>
      <c r="K606" s="293"/>
      <c r="L606" s="173" t="s">
        <v>585</v>
      </c>
      <c r="M606" s="173"/>
      <c r="N606" s="199" t="s">
        <v>585</v>
      </c>
      <c r="O606" s="173"/>
      <c r="P606" s="173" t="s">
        <v>585</v>
      </c>
      <c r="Q606" s="173"/>
      <c r="R606" s="173" t="s">
        <v>585</v>
      </c>
      <c r="S606" s="173"/>
      <c r="T606" s="173" t="s">
        <v>585</v>
      </c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</row>
    <row r="607">
      <c r="A607" s="173"/>
      <c r="B607" s="173"/>
      <c r="C607" s="173"/>
      <c r="D607" s="174"/>
      <c r="E607" s="175"/>
      <c r="F607" s="175"/>
      <c r="G607" s="173" t="s">
        <v>585</v>
      </c>
      <c r="H607" s="173">
        <v>0.0</v>
      </c>
      <c r="I607" s="173"/>
      <c r="J607" s="199">
        <v>0.0</v>
      </c>
      <c r="K607" s="293"/>
      <c r="L607" s="173" t="s">
        <v>585</v>
      </c>
      <c r="M607" s="173"/>
      <c r="N607" s="199" t="s">
        <v>585</v>
      </c>
      <c r="O607" s="173"/>
      <c r="P607" s="173" t="s">
        <v>585</v>
      </c>
      <c r="Q607" s="173"/>
      <c r="R607" s="173" t="s">
        <v>585</v>
      </c>
      <c r="S607" s="173"/>
      <c r="T607" s="173" t="s">
        <v>585</v>
      </c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</row>
    <row r="608">
      <c r="A608" s="173"/>
      <c r="B608" s="173"/>
      <c r="C608" s="173"/>
      <c r="D608" s="174"/>
      <c r="E608" s="175"/>
      <c r="F608" s="175"/>
      <c r="G608" s="173" t="s">
        <v>585</v>
      </c>
      <c r="H608" s="173">
        <v>0.0</v>
      </c>
      <c r="I608" s="173"/>
      <c r="J608" s="199">
        <v>0.0</v>
      </c>
      <c r="K608" s="293"/>
      <c r="L608" s="173" t="s">
        <v>585</v>
      </c>
      <c r="M608" s="173"/>
      <c r="N608" s="199" t="s">
        <v>585</v>
      </c>
      <c r="O608" s="173"/>
      <c r="P608" s="173" t="s">
        <v>585</v>
      </c>
      <c r="Q608" s="173"/>
      <c r="R608" s="173" t="s">
        <v>585</v>
      </c>
      <c r="S608" s="173"/>
      <c r="T608" s="173" t="s">
        <v>585</v>
      </c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</row>
    <row r="609">
      <c r="A609" s="173"/>
      <c r="B609" s="173"/>
      <c r="C609" s="173"/>
      <c r="D609" s="174"/>
      <c r="E609" s="175"/>
      <c r="F609" s="175"/>
      <c r="G609" s="173" t="s">
        <v>585</v>
      </c>
      <c r="H609" s="173">
        <v>0.0</v>
      </c>
      <c r="I609" s="173"/>
      <c r="J609" s="199">
        <v>0.0</v>
      </c>
      <c r="K609" s="293"/>
      <c r="L609" s="173" t="s">
        <v>585</v>
      </c>
      <c r="M609" s="173"/>
      <c r="N609" s="199" t="s">
        <v>585</v>
      </c>
      <c r="O609" s="173"/>
      <c r="P609" s="173" t="s">
        <v>585</v>
      </c>
      <c r="Q609" s="173"/>
      <c r="R609" s="173" t="s">
        <v>585</v>
      </c>
      <c r="S609" s="173"/>
      <c r="T609" s="173" t="s">
        <v>585</v>
      </c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</row>
    <row r="610">
      <c r="A610" s="173"/>
      <c r="B610" s="173"/>
      <c r="C610" s="173"/>
      <c r="D610" s="174"/>
      <c r="E610" s="175"/>
      <c r="F610" s="175"/>
      <c r="G610" s="173" t="s">
        <v>585</v>
      </c>
      <c r="H610" s="173">
        <v>0.0</v>
      </c>
      <c r="I610" s="173"/>
      <c r="J610" s="199">
        <v>0.0</v>
      </c>
      <c r="K610" s="293"/>
      <c r="L610" s="173" t="s">
        <v>585</v>
      </c>
      <c r="M610" s="173"/>
      <c r="N610" s="199" t="s">
        <v>585</v>
      </c>
      <c r="O610" s="173"/>
      <c r="P610" s="173" t="s">
        <v>585</v>
      </c>
      <c r="Q610" s="173"/>
      <c r="R610" s="173" t="s">
        <v>585</v>
      </c>
      <c r="S610" s="173"/>
      <c r="T610" s="173" t="s">
        <v>585</v>
      </c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</row>
    <row r="611">
      <c r="A611" s="173"/>
      <c r="B611" s="173"/>
      <c r="C611" s="173"/>
      <c r="D611" s="174"/>
      <c r="E611" s="175"/>
      <c r="F611" s="175"/>
      <c r="G611" s="173" t="s">
        <v>585</v>
      </c>
      <c r="H611" s="173">
        <v>0.0</v>
      </c>
      <c r="I611" s="173"/>
      <c r="J611" s="199">
        <v>0.0</v>
      </c>
      <c r="K611" s="293"/>
      <c r="L611" s="173" t="s">
        <v>585</v>
      </c>
      <c r="M611" s="173"/>
      <c r="N611" s="199" t="s">
        <v>585</v>
      </c>
      <c r="O611" s="173"/>
      <c r="P611" s="173" t="s">
        <v>585</v>
      </c>
      <c r="Q611" s="173"/>
      <c r="R611" s="173" t="s">
        <v>585</v>
      </c>
      <c r="S611" s="173"/>
      <c r="T611" s="173" t="s">
        <v>585</v>
      </c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</row>
    <row r="612">
      <c r="A612" s="173"/>
      <c r="B612" s="173"/>
      <c r="C612" s="173"/>
      <c r="D612" s="174"/>
      <c r="E612" s="175"/>
      <c r="F612" s="175"/>
      <c r="G612" s="173" t="s">
        <v>585</v>
      </c>
      <c r="H612" s="173">
        <v>0.0</v>
      </c>
      <c r="I612" s="173"/>
      <c r="J612" s="199">
        <v>0.0</v>
      </c>
      <c r="K612" s="293"/>
      <c r="L612" s="173" t="s">
        <v>585</v>
      </c>
      <c r="M612" s="173"/>
      <c r="N612" s="199" t="s">
        <v>585</v>
      </c>
      <c r="O612" s="173"/>
      <c r="P612" s="173" t="s">
        <v>585</v>
      </c>
      <c r="Q612" s="173"/>
      <c r="R612" s="173" t="s">
        <v>585</v>
      </c>
      <c r="S612" s="173"/>
      <c r="T612" s="173" t="s">
        <v>585</v>
      </c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</row>
    <row r="613">
      <c r="A613" s="173"/>
      <c r="B613" s="173"/>
      <c r="C613" s="173"/>
      <c r="D613" s="174"/>
      <c r="E613" s="175"/>
      <c r="F613" s="175"/>
      <c r="G613" s="173" t="s">
        <v>585</v>
      </c>
      <c r="H613" s="173">
        <v>0.0</v>
      </c>
      <c r="I613" s="173"/>
      <c r="J613" s="199">
        <v>0.0</v>
      </c>
      <c r="K613" s="293"/>
      <c r="L613" s="173" t="s">
        <v>585</v>
      </c>
      <c r="M613" s="173"/>
      <c r="N613" s="199" t="s">
        <v>585</v>
      </c>
      <c r="O613" s="173"/>
      <c r="P613" s="173" t="s">
        <v>585</v>
      </c>
      <c r="Q613" s="173"/>
      <c r="R613" s="173" t="s">
        <v>585</v>
      </c>
      <c r="S613" s="173"/>
      <c r="T613" s="173" t="s">
        <v>585</v>
      </c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</row>
    <row r="614">
      <c r="A614" s="173"/>
      <c r="B614" s="173"/>
      <c r="C614" s="173"/>
      <c r="D614" s="174"/>
      <c r="E614" s="175"/>
      <c r="F614" s="175"/>
      <c r="G614" s="173" t="s">
        <v>585</v>
      </c>
      <c r="H614" s="173">
        <v>0.0</v>
      </c>
      <c r="I614" s="173"/>
      <c r="J614" s="199">
        <v>0.0</v>
      </c>
      <c r="K614" s="293"/>
      <c r="L614" s="173" t="s">
        <v>585</v>
      </c>
      <c r="M614" s="173"/>
      <c r="N614" s="199" t="s">
        <v>585</v>
      </c>
      <c r="O614" s="173"/>
      <c r="P614" s="173" t="s">
        <v>585</v>
      </c>
      <c r="Q614" s="173"/>
      <c r="R614" s="173" t="s">
        <v>585</v>
      </c>
      <c r="S614" s="173"/>
      <c r="T614" s="173" t="s">
        <v>585</v>
      </c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</row>
    <row r="615">
      <c r="A615" s="173"/>
      <c r="B615" s="173"/>
      <c r="C615" s="173"/>
      <c r="D615" s="174"/>
      <c r="E615" s="175"/>
      <c r="F615" s="175"/>
      <c r="G615" s="173" t="s">
        <v>585</v>
      </c>
      <c r="H615" s="173">
        <v>0.0</v>
      </c>
      <c r="I615" s="173"/>
      <c r="J615" s="199">
        <v>0.0</v>
      </c>
      <c r="K615" s="293"/>
      <c r="L615" s="173" t="s">
        <v>585</v>
      </c>
      <c r="M615" s="173"/>
      <c r="N615" s="199" t="s">
        <v>585</v>
      </c>
      <c r="O615" s="173"/>
      <c r="P615" s="173" t="s">
        <v>585</v>
      </c>
      <c r="Q615" s="173"/>
      <c r="R615" s="173" t="s">
        <v>585</v>
      </c>
      <c r="S615" s="173"/>
      <c r="T615" s="173" t="s">
        <v>585</v>
      </c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</row>
    <row r="616">
      <c r="A616" s="173"/>
      <c r="B616" s="173"/>
      <c r="C616" s="173"/>
      <c r="D616" s="174"/>
      <c r="E616" s="175"/>
      <c r="F616" s="175"/>
      <c r="G616" s="173" t="s">
        <v>585</v>
      </c>
      <c r="H616" s="173">
        <v>0.0</v>
      </c>
      <c r="I616" s="173"/>
      <c r="J616" s="199">
        <v>0.0</v>
      </c>
      <c r="K616" s="293"/>
      <c r="L616" s="173" t="s">
        <v>585</v>
      </c>
      <c r="M616" s="173"/>
      <c r="N616" s="199" t="s">
        <v>585</v>
      </c>
      <c r="O616" s="173"/>
      <c r="P616" s="173" t="s">
        <v>585</v>
      </c>
      <c r="Q616" s="173"/>
      <c r="R616" s="173" t="s">
        <v>585</v>
      </c>
      <c r="S616" s="173"/>
      <c r="T616" s="173" t="s">
        <v>585</v>
      </c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</row>
    <row r="617">
      <c r="A617" s="173"/>
      <c r="B617" s="173"/>
      <c r="C617" s="173"/>
      <c r="D617" s="174"/>
      <c r="E617" s="175"/>
      <c r="F617" s="175"/>
      <c r="G617" s="173" t="s">
        <v>585</v>
      </c>
      <c r="H617" s="173">
        <v>0.0</v>
      </c>
      <c r="I617" s="173"/>
      <c r="J617" s="199">
        <v>0.0</v>
      </c>
      <c r="K617" s="293"/>
      <c r="L617" s="173" t="s">
        <v>585</v>
      </c>
      <c r="M617" s="173"/>
      <c r="N617" s="199" t="s">
        <v>585</v>
      </c>
      <c r="O617" s="173"/>
      <c r="P617" s="173" t="s">
        <v>585</v>
      </c>
      <c r="Q617" s="173"/>
      <c r="R617" s="173" t="s">
        <v>585</v>
      </c>
      <c r="S617" s="173"/>
      <c r="T617" s="173" t="s">
        <v>585</v>
      </c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</row>
    <row r="618">
      <c r="A618" s="173"/>
      <c r="B618" s="173"/>
      <c r="C618" s="173"/>
      <c r="D618" s="174"/>
      <c r="E618" s="175"/>
      <c r="F618" s="175"/>
      <c r="G618" s="173" t="s">
        <v>585</v>
      </c>
      <c r="H618" s="173">
        <v>0.0</v>
      </c>
      <c r="I618" s="173"/>
      <c r="J618" s="199">
        <v>0.0</v>
      </c>
      <c r="K618" s="293"/>
      <c r="L618" s="173" t="s">
        <v>585</v>
      </c>
      <c r="M618" s="173"/>
      <c r="N618" s="199" t="s">
        <v>585</v>
      </c>
      <c r="O618" s="173"/>
      <c r="P618" s="173" t="s">
        <v>585</v>
      </c>
      <c r="Q618" s="173"/>
      <c r="R618" s="173" t="s">
        <v>585</v>
      </c>
      <c r="S618" s="173"/>
      <c r="T618" s="173" t="s">
        <v>585</v>
      </c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</row>
    <row r="619">
      <c r="A619" s="173"/>
      <c r="B619" s="173"/>
      <c r="C619" s="173"/>
      <c r="D619" s="174"/>
      <c r="E619" s="175"/>
      <c r="F619" s="175"/>
      <c r="G619" s="173" t="s">
        <v>585</v>
      </c>
      <c r="H619" s="173">
        <v>0.0</v>
      </c>
      <c r="I619" s="173"/>
      <c r="J619" s="199">
        <v>0.0</v>
      </c>
      <c r="K619" s="293"/>
      <c r="L619" s="173" t="s">
        <v>585</v>
      </c>
      <c r="M619" s="173"/>
      <c r="N619" s="199" t="s">
        <v>585</v>
      </c>
      <c r="O619" s="173"/>
      <c r="P619" s="173" t="s">
        <v>585</v>
      </c>
      <c r="Q619" s="173"/>
      <c r="R619" s="173" t="s">
        <v>585</v>
      </c>
      <c r="S619" s="173"/>
      <c r="T619" s="173" t="s">
        <v>585</v>
      </c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</row>
    <row r="620">
      <c r="A620" s="173"/>
      <c r="B620" s="173"/>
      <c r="C620" s="173"/>
      <c r="D620" s="174"/>
      <c r="E620" s="175"/>
      <c r="F620" s="175"/>
      <c r="G620" s="173" t="s">
        <v>585</v>
      </c>
      <c r="H620" s="173">
        <v>0.0</v>
      </c>
      <c r="I620" s="173"/>
      <c r="J620" s="199">
        <v>0.0</v>
      </c>
      <c r="K620" s="293"/>
      <c r="L620" s="173" t="s">
        <v>585</v>
      </c>
      <c r="M620" s="173"/>
      <c r="N620" s="199" t="s">
        <v>585</v>
      </c>
      <c r="O620" s="173"/>
      <c r="P620" s="173" t="s">
        <v>585</v>
      </c>
      <c r="Q620" s="173"/>
      <c r="R620" s="173" t="s">
        <v>585</v>
      </c>
      <c r="S620" s="173"/>
      <c r="T620" s="173" t="s">
        <v>585</v>
      </c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</row>
    <row r="621">
      <c r="A621" s="173"/>
      <c r="B621" s="173"/>
      <c r="C621" s="173"/>
      <c r="D621" s="174"/>
      <c r="E621" s="175"/>
      <c r="F621" s="175"/>
      <c r="G621" s="173" t="s">
        <v>585</v>
      </c>
      <c r="H621" s="173">
        <v>0.0</v>
      </c>
      <c r="I621" s="173"/>
      <c r="J621" s="199">
        <v>0.0</v>
      </c>
      <c r="K621" s="293"/>
      <c r="L621" s="173" t="s">
        <v>585</v>
      </c>
      <c r="M621" s="173"/>
      <c r="N621" s="199" t="s">
        <v>585</v>
      </c>
      <c r="O621" s="173"/>
      <c r="P621" s="173" t="s">
        <v>585</v>
      </c>
      <c r="Q621" s="173"/>
      <c r="R621" s="173" t="s">
        <v>585</v>
      </c>
      <c r="S621" s="173"/>
      <c r="T621" s="173" t="s">
        <v>585</v>
      </c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</row>
    <row r="622">
      <c r="A622" s="173"/>
      <c r="B622" s="173"/>
      <c r="C622" s="173"/>
      <c r="D622" s="174"/>
      <c r="E622" s="175"/>
      <c r="F622" s="175"/>
      <c r="G622" s="173" t="s">
        <v>585</v>
      </c>
      <c r="H622" s="173">
        <v>0.0</v>
      </c>
      <c r="I622" s="173"/>
      <c r="J622" s="199">
        <v>0.0</v>
      </c>
      <c r="K622" s="293"/>
      <c r="L622" s="173" t="s">
        <v>585</v>
      </c>
      <c r="M622" s="173"/>
      <c r="N622" s="199" t="s">
        <v>585</v>
      </c>
      <c r="O622" s="173"/>
      <c r="P622" s="173" t="s">
        <v>585</v>
      </c>
      <c r="Q622" s="173"/>
      <c r="R622" s="173" t="s">
        <v>585</v>
      </c>
      <c r="S622" s="173"/>
      <c r="T622" s="173" t="s">
        <v>585</v>
      </c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</row>
    <row r="623">
      <c r="A623" s="173"/>
      <c r="B623" s="173"/>
      <c r="C623" s="173"/>
      <c r="D623" s="174"/>
      <c r="E623" s="175"/>
      <c r="F623" s="175"/>
      <c r="G623" s="173" t="s">
        <v>585</v>
      </c>
      <c r="H623" s="173">
        <v>0.0</v>
      </c>
      <c r="I623" s="173"/>
      <c r="J623" s="199">
        <v>0.0</v>
      </c>
      <c r="K623" s="293"/>
      <c r="L623" s="173" t="s">
        <v>585</v>
      </c>
      <c r="M623" s="173"/>
      <c r="N623" s="199" t="s">
        <v>585</v>
      </c>
      <c r="O623" s="173"/>
      <c r="P623" s="173" t="s">
        <v>585</v>
      </c>
      <c r="Q623" s="173"/>
      <c r="R623" s="173" t="s">
        <v>585</v>
      </c>
      <c r="S623" s="173"/>
      <c r="T623" s="173" t="s">
        <v>585</v>
      </c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</row>
    <row r="624">
      <c r="A624" s="173"/>
      <c r="B624" s="173"/>
      <c r="C624" s="173"/>
      <c r="D624" s="174"/>
      <c r="E624" s="175"/>
      <c r="F624" s="175"/>
      <c r="G624" s="173" t="s">
        <v>585</v>
      </c>
      <c r="H624" s="173">
        <v>0.0</v>
      </c>
      <c r="I624" s="173"/>
      <c r="J624" s="199">
        <v>0.0</v>
      </c>
      <c r="K624" s="293"/>
      <c r="L624" s="173" t="s">
        <v>585</v>
      </c>
      <c r="M624" s="173"/>
      <c r="N624" s="199" t="s">
        <v>585</v>
      </c>
      <c r="O624" s="173"/>
      <c r="P624" s="173" t="s">
        <v>585</v>
      </c>
      <c r="Q624" s="173"/>
      <c r="R624" s="173" t="s">
        <v>585</v>
      </c>
      <c r="S624" s="173"/>
      <c r="T624" s="173" t="s">
        <v>585</v>
      </c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</row>
    <row r="625">
      <c r="A625" s="173"/>
      <c r="B625" s="173"/>
      <c r="C625" s="173"/>
      <c r="D625" s="174"/>
      <c r="E625" s="175"/>
      <c r="F625" s="175"/>
      <c r="G625" s="173" t="s">
        <v>585</v>
      </c>
      <c r="H625" s="173">
        <v>0.0</v>
      </c>
      <c r="I625" s="173"/>
      <c r="J625" s="199">
        <v>0.0</v>
      </c>
      <c r="K625" s="293"/>
      <c r="L625" s="173" t="s">
        <v>585</v>
      </c>
      <c r="M625" s="173"/>
      <c r="N625" s="199" t="s">
        <v>585</v>
      </c>
      <c r="O625" s="173"/>
      <c r="P625" s="173" t="s">
        <v>585</v>
      </c>
      <c r="Q625" s="173"/>
      <c r="R625" s="173" t="s">
        <v>585</v>
      </c>
      <c r="S625" s="173"/>
      <c r="T625" s="173" t="s">
        <v>585</v>
      </c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</row>
    <row r="626">
      <c r="A626" s="173"/>
      <c r="B626" s="173"/>
      <c r="C626" s="173"/>
      <c r="D626" s="174"/>
      <c r="E626" s="175"/>
      <c r="F626" s="175"/>
      <c r="G626" s="173" t="s">
        <v>585</v>
      </c>
      <c r="H626" s="173">
        <v>0.0</v>
      </c>
      <c r="I626" s="173"/>
      <c r="J626" s="199">
        <v>0.0</v>
      </c>
      <c r="K626" s="293"/>
      <c r="L626" s="173" t="s">
        <v>585</v>
      </c>
      <c r="M626" s="173"/>
      <c r="N626" s="199" t="s">
        <v>585</v>
      </c>
      <c r="O626" s="173"/>
      <c r="P626" s="173" t="s">
        <v>585</v>
      </c>
      <c r="Q626" s="173"/>
      <c r="R626" s="173" t="s">
        <v>585</v>
      </c>
      <c r="S626" s="173"/>
      <c r="T626" s="173" t="s">
        <v>585</v>
      </c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</row>
    <row r="627">
      <c r="A627" s="173"/>
      <c r="B627" s="173"/>
      <c r="C627" s="173"/>
      <c r="D627" s="174"/>
      <c r="E627" s="175"/>
      <c r="F627" s="175"/>
      <c r="G627" s="173" t="s">
        <v>585</v>
      </c>
      <c r="H627" s="173">
        <v>0.0</v>
      </c>
      <c r="I627" s="173"/>
      <c r="J627" s="199">
        <v>0.0</v>
      </c>
      <c r="K627" s="293"/>
      <c r="L627" s="173" t="s">
        <v>585</v>
      </c>
      <c r="M627" s="173"/>
      <c r="N627" s="199" t="s">
        <v>585</v>
      </c>
      <c r="O627" s="173"/>
      <c r="P627" s="173" t="s">
        <v>585</v>
      </c>
      <c r="Q627" s="173"/>
      <c r="R627" s="173" t="s">
        <v>585</v>
      </c>
      <c r="S627" s="173"/>
      <c r="T627" s="173" t="s">
        <v>585</v>
      </c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</row>
    <row r="628">
      <c r="A628" s="173"/>
      <c r="B628" s="173"/>
      <c r="C628" s="173"/>
      <c r="D628" s="174"/>
      <c r="E628" s="175"/>
      <c r="F628" s="175"/>
      <c r="G628" s="173" t="s">
        <v>585</v>
      </c>
      <c r="H628" s="173">
        <v>0.0</v>
      </c>
      <c r="I628" s="173"/>
      <c r="J628" s="199">
        <v>0.0</v>
      </c>
      <c r="K628" s="293"/>
      <c r="L628" s="173" t="s">
        <v>585</v>
      </c>
      <c r="M628" s="173"/>
      <c r="N628" s="199" t="s">
        <v>585</v>
      </c>
      <c r="O628" s="173"/>
      <c r="P628" s="173" t="s">
        <v>585</v>
      </c>
      <c r="Q628" s="173"/>
      <c r="R628" s="173" t="s">
        <v>585</v>
      </c>
      <c r="S628" s="173"/>
      <c r="T628" s="173" t="s">
        <v>585</v>
      </c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</row>
    <row r="629">
      <c r="A629" s="173"/>
      <c r="B629" s="173"/>
      <c r="C629" s="173"/>
      <c r="D629" s="174"/>
      <c r="E629" s="175"/>
      <c r="F629" s="175"/>
      <c r="G629" s="173" t="s">
        <v>585</v>
      </c>
      <c r="H629" s="173">
        <v>0.0</v>
      </c>
      <c r="I629" s="173"/>
      <c r="J629" s="199">
        <v>0.0</v>
      </c>
      <c r="K629" s="293"/>
      <c r="L629" s="173" t="s">
        <v>585</v>
      </c>
      <c r="M629" s="173"/>
      <c r="N629" s="199" t="s">
        <v>585</v>
      </c>
      <c r="O629" s="173"/>
      <c r="P629" s="173" t="s">
        <v>585</v>
      </c>
      <c r="Q629" s="173"/>
      <c r="R629" s="173" t="s">
        <v>585</v>
      </c>
      <c r="S629" s="173"/>
      <c r="T629" s="173" t="s">
        <v>585</v>
      </c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</row>
    <row r="630">
      <c r="A630" s="173"/>
      <c r="B630" s="173"/>
      <c r="C630" s="173"/>
      <c r="D630" s="174"/>
      <c r="E630" s="175"/>
      <c r="F630" s="175"/>
      <c r="G630" s="173" t="s">
        <v>585</v>
      </c>
      <c r="H630" s="173">
        <v>0.0</v>
      </c>
      <c r="I630" s="173"/>
      <c r="J630" s="199">
        <v>0.0</v>
      </c>
      <c r="K630" s="293"/>
      <c r="L630" s="173" t="s">
        <v>585</v>
      </c>
      <c r="M630" s="173"/>
      <c r="N630" s="199" t="s">
        <v>585</v>
      </c>
      <c r="O630" s="173"/>
      <c r="P630" s="173" t="s">
        <v>585</v>
      </c>
      <c r="Q630" s="173"/>
      <c r="R630" s="173" t="s">
        <v>585</v>
      </c>
      <c r="S630" s="173"/>
      <c r="T630" s="173" t="s">
        <v>585</v>
      </c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</row>
    <row r="631">
      <c r="A631" s="173"/>
      <c r="B631" s="173"/>
      <c r="C631" s="173"/>
      <c r="D631" s="174"/>
      <c r="E631" s="175"/>
      <c r="F631" s="175"/>
      <c r="G631" s="173" t="s">
        <v>585</v>
      </c>
      <c r="H631" s="173">
        <v>0.0</v>
      </c>
      <c r="I631" s="173"/>
      <c r="J631" s="199">
        <v>0.0</v>
      </c>
      <c r="K631" s="293"/>
      <c r="L631" s="173" t="s">
        <v>585</v>
      </c>
      <c r="M631" s="173"/>
      <c r="N631" s="199" t="s">
        <v>585</v>
      </c>
      <c r="O631" s="173"/>
      <c r="P631" s="173" t="s">
        <v>585</v>
      </c>
      <c r="Q631" s="173"/>
      <c r="R631" s="173" t="s">
        <v>585</v>
      </c>
      <c r="S631" s="173"/>
      <c r="T631" s="173" t="s">
        <v>585</v>
      </c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</row>
    <row r="632">
      <c r="A632" s="173"/>
      <c r="B632" s="173"/>
      <c r="C632" s="173"/>
      <c r="D632" s="174"/>
      <c r="E632" s="175"/>
      <c r="F632" s="175"/>
      <c r="G632" s="173" t="s">
        <v>585</v>
      </c>
      <c r="H632" s="173">
        <v>0.0</v>
      </c>
      <c r="I632" s="173"/>
      <c r="J632" s="199">
        <v>0.0</v>
      </c>
      <c r="K632" s="293"/>
      <c r="L632" s="173" t="s">
        <v>585</v>
      </c>
      <c r="M632" s="173"/>
      <c r="N632" s="199" t="s">
        <v>585</v>
      </c>
      <c r="O632" s="173"/>
      <c r="P632" s="173" t="s">
        <v>585</v>
      </c>
      <c r="Q632" s="173"/>
      <c r="R632" s="173" t="s">
        <v>585</v>
      </c>
      <c r="S632" s="173"/>
      <c r="T632" s="173" t="s">
        <v>585</v>
      </c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</row>
    <row r="633">
      <c r="A633" s="173"/>
      <c r="B633" s="173"/>
      <c r="C633" s="173"/>
      <c r="D633" s="174"/>
      <c r="E633" s="175"/>
      <c r="F633" s="175"/>
      <c r="G633" s="173" t="s">
        <v>585</v>
      </c>
      <c r="H633" s="173">
        <v>0.0</v>
      </c>
      <c r="I633" s="173"/>
      <c r="J633" s="199">
        <v>0.0</v>
      </c>
      <c r="K633" s="293"/>
      <c r="L633" s="173" t="s">
        <v>585</v>
      </c>
      <c r="M633" s="173"/>
      <c r="N633" s="199" t="s">
        <v>585</v>
      </c>
      <c r="O633" s="173"/>
      <c r="P633" s="173" t="s">
        <v>585</v>
      </c>
      <c r="Q633" s="173"/>
      <c r="R633" s="173" t="s">
        <v>585</v>
      </c>
      <c r="S633" s="173"/>
      <c r="T633" s="173" t="s">
        <v>585</v>
      </c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</row>
    <row r="634">
      <c r="A634" s="173"/>
      <c r="B634" s="173"/>
      <c r="C634" s="173"/>
      <c r="D634" s="174"/>
      <c r="E634" s="175"/>
      <c r="F634" s="175"/>
      <c r="G634" s="173" t="s">
        <v>585</v>
      </c>
      <c r="H634" s="173">
        <v>0.0</v>
      </c>
      <c r="I634" s="173"/>
      <c r="J634" s="199">
        <v>0.0</v>
      </c>
      <c r="K634" s="293"/>
      <c r="L634" s="173" t="s">
        <v>585</v>
      </c>
      <c r="M634" s="173"/>
      <c r="N634" s="199" t="s">
        <v>585</v>
      </c>
      <c r="O634" s="173"/>
      <c r="P634" s="173" t="s">
        <v>585</v>
      </c>
      <c r="Q634" s="173"/>
      <c r="R634" s="173" t="s">
        <v>585</v>
      </c>
      <c r="S634" s="173"/>
      <c r="T634" s="173" t="s">
        <v>585</v>
      </c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</row>
    <row r="635">
      <c r="A635" s="173"/>
      <c r="B635" s="173"/>
      <c r="C635" s="173"/>
      <c r="D635" s="174"/>
      <c r="E635" s="175"/>
      <c r="F635" s="175"/>
      <c r="G635" s="173" t="s">
        <v>585</v>
      </c>
      <c r="H635" s="173">
        <v>0.0</v>
      </c>
      <c r="I635" s="173"/>
      <c r="J635" s="199">
        <v>0.0</v>
      </c>
      <c r="K635" s="293"/>
      <c r="L635" s="173" t="s">
        <v>585</v>
      </c>
      <c r="M635" s="173"/>
      <c r="N635" s="199" t="s">
        <v>585</v>
      </c>
      <c r="O635" s="173"/>
      <c r="P635" s="173" t="s">
        <v>585</v>
      </c>
      <c r="Q635" s="173"/>
      <c r="R635" s="173" t="s">
        <v>585</v>
      </c>
      <c r="S635" s="173"/>
      <c r="T635" s="173" t="s">
        <v>585</v>
      </c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</row>
    <row r="636">
      <c r="A636" s="173"/>
      <c r="B636" s="173"/>
      <c r="C636" s="173"/>
      <c r="D636" s="174"/>
      <c r="E636" s="175"/>
      <c r="F636" s="175"/>
      <c r="G636" s="173" t="s">
        <v>585</v>
      </c>
      <c r="H636" s="173">
        <v>0.0</v>
      </c>
      <c r="I636" s="173"/>
      <c r="J636" s="199">
        <v>0.0</v>
      </c>
      <c r="K636" s="293"/>
      <c r="L636" s="173" t="s">
        <v>585</v>
      </c>
      <c r="M636" s="173"/>
      <c r="N636" s="199" t="s">
        <v>585</v>
      </c>
      <c r="O636" s="173"/>
      <c r="P636" s="173" t="s">
        <v>585</v>
      </c>
      <c r="Q636" s="173"/>
      <c r="R636" s="173" t="s">
        <v>585</v>
      </c>
      <c r="S636" s="173"/>
      <c r="T636" s="173" t="s">
        <v>585</v>
      </c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</row>
    <row r="637">
      <c r="A637" s="173"/>
      <c r="B637" s="173"/>
      <c r="C637" s="173"/>
      <c r="D637" s="174"/>
      <c r="E637" s="175"/>
      <c r="F637" s="175"/>
      <c r="G637" s="173" t="s">
        <v>585</v>
      </c>
      <c r="H637" s="173">
        <v>0.0</v>
      </c>
      <c r="I637" s="173"/>
      <c r="J637" s="199">
        <v>0.0</v>
      </c>
      <c r="K637" s="293"/>
      <c r="L637" s="173" t="s">
        <v>585</v>
      </c>
      <c r="M637" s="173"/>
      <c r="N637" s="199" t="s">
        <v>585</v>
      </c>
      <c r="O637" s="173"/>
      <c r="P637" s="173" t="s">
        <v>585</v>
      </c>
      <c r="Q637" s="173"/>
      <c r="R637" s="173" t="s">
        <v>585</v>
      </c>
      <c r="S637" s="173"/>
      <c r="T637" s="173" t="s">
        <v>585</v>
      </c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</row>
    <row r="638">
      <c r="A638" s="173"/>
      <c r="B638" s="173"/>
      <c r="C638" s="173"/>
      <c r="D638" s="174"/>
      <c r="E638" s="175"/>
      <c r="F638" s="175"/>
      <c r="G638" s="173" t="s">
        <v>585</v>
      </c>
      <c r="H638" s="173">
        <v>0.0</v>
      </c>
      <c r="I638" s="173"/>
      <c r="J638" s="199">
        <v>0.0</v>
      </c>
      <c r="K638" s="293"/>
      <c r="L638" s="173" t="s">
        <v>585</v>
      </c>
      <c r="M638" s="173"/>
      <c r="N638" s="199" t="s">
        <v>585</v>
      </c>
      <c r="O638" s="173"/>
      <c r="P638" s="173" t="s">
        <v>585</v>
      </c>
      <c r="Q638" s="173"/>
      <c r="R638" s="173" t="s">
        <v>585</v>
      </c>
      <c r="S638" s="173"/>
      <c r="T638" s="173" t="s">
        <v>585</v>
      </c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</row>
    <row r="639">
      <c r="A639" s="173"/>
      <c r="B639" s="173"/>
      <c r="C639" s="173"/>
      <c r="D639" s="174"/>
      <c r="E639" s="175"/>
      <c r="F639" s="175"/>
      <c r="G639" s="173" t="s">
        <v>585</v>
      </c>
      <c r="H639" s="173">
        <v>0.0</v>
      </c>
      <c r="I639" s="173"/>
      <c r="J639" s="199">
        <v>0.0</v>
      </c>
      <c r="K639" s="293"/>
      <c r="L639" s="173" t="s">
        <v>585</v>
      </c>
      <c r="M639" s="173"/>
      <c r="N639" s="199" t="s">
        <v>585</v>
      </c>
      <c r="O639" s="173"/>
      <c r="P639" s="173" t="s">
        <v>585</v>
      </c>
      <c r="Q639" s="173"/>
      <c r="R639" s="173" t="s">
        <v>585</v>
      </c>
      <c r="S639" s="173"/>
      <c r="T639" s="173" t="s">
        <v>585</v>
      </c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</row>
    <row r="640">
      <c r="A640" s="173"/>
      <c r="B640" s="173"/>
      <c r="C640" s="173"/>
      <c r="D640" s="174"/>
      <c r="E640" s="175"/>
      <c r="F640" s="175"/>
      <c r="G640" s="173" t="s">
        <v>585</v>
      </c>
      <c r="H640" s="173">
        <v>0.0</v>
      </c>
      <c r="I640" s="173"/>
      <c r="J640" s="199">
        <v>0.0</v>
      </c>
      <c r="K640" s="293"/>
      <c r="L640" s="173" t="s">
        <v>585</v>
      </c>
      <c r="M640" s="173"/>
      <c r="N640" s="199" t="s">
        <v>585</v>
      </c>
      <c r="O640" s="173"/>
      <c r="P640" s="173" t="s">
        <v>585</v>
      </c>
      <c r="Q640" s="173"/>
      <c r="R640" s="173" t="s">
        <v>585</v>
      </c>
      <c r="S640" s="173"/>
      <c r="T640" s="173" t="s">
        <v>585</v>
      </c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</row>
    <row r="641">
      <c r="A641" s="173"/>
      <c r="B641" s="173"/>
      <c r="C641" s="173"/>
      <c r="D641" s="174"/>
      <c r="E641" s="175"/>
      <c r="F641" s="175"/>
      <c r="G641" s="173" t="s">
        <v>585</v>
      </c>
      <c r="H641" s="173">
        <v>0.0</v>
      </c>
      <c r="I641" s="173"/>
      <c r="J641" s="199">
        <v>0.0</v>
      </c>
      <c r="K641" s="293"/>
      <c r="L641" s="173" t="s">
        <v>585</v>
      </c>
      <c r="M641" s="173"/>
      <c r="N641" s="199" t="s">
        <v>585</v>
      </c>
      <c r="O641" s="173"/>
      <c r="P641" s="173" t="s">
        <v>585</v>
      </c>
      <c r="Q641" s="173"/>
      <c r="R641" s="173" t="s">
        <v>585</v>
      </c>
      <c r="S641" s="173"/>
      <c r="T641" s="173" t="s">
        <v>585</v>
      </c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</row>
    <row r="642">
      <c r="A642" s="173"/>
      <c r="B642" s="173"/>
      <c r="C642" s="173"/>
      <c r="D642" s="174"/>
      <c r="E642" s="175"/>
      <c r="F642" s="175"/>
      <c r="G642" s="173" t="s">
        <v>585</v>
      </c>
      <c r="H642" s="173">
        <v>0.0</v>
      </c>
      <c r="I642" s="173"/>
      <c r="J642" s="199">
        <v>0.0</v>
      </c>
      <c r="K642" s="293"/>
      <c r="L642" s="173" t="s">
        <v>585</v>
      </c>
      <c r="M642" s="173"/>
      <c r="N642" s="199" t="s">
        <v>585</v>
      </c>
      <c r="O642" s="173"/>
      <c r="P642" s="173" t="s">
        <v>585</v>
      </c>
      <c r="Q642" s="173"/>
      <c r="R642" s="173" t="s">
        <v>585</v>
      </c>
      <c r="S642" s="173"/>
      <c r="T642" s="173" t="s">
        <v>585</v>
      </c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</row>
    <row r="643">
      <c r="A643" s="173"/>
      <c r="B643" s="173"/>
      <c r="C643" s="173"/>
      <c r="D643" s="174"/>
      <c r="E643" s="175"/>
      <c r="F643" s="175"/>
      <c r="G643" s="173" t="s">
        <v>585</v>
      </c>
      <c r="H643" s="173">
        <v>0.0</v>
      </c>
      <c r="I643" s="173"/>
      <c r="J643" s="199">
        <v>0.0</v>
      </c>
      <c r="K643" s="293"/>
      <c r="L643" s="173" t="s">
        <v>585</v>
      </c>
      <c r="M643" s="173"/>
      <c r="N643" s="199" t="s">
        <v>585</v>
      </c>
      <c r="O643" s="173"/>
      <c r="P643" s="173" t="s">
        <v>585</v>
      </c>
      <c r="Q643" s="173"/>
      <c r="R643" s="173" t="s">
        <v>585</v>
      </c>
      <c r="S643" s="173"/>
      <c r="T643" s="173" t="s">
        <v>585</v>
      </c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</row>
    <row r="644">
      <c r="A644" s="173"/>
      <c r="B644" s="173"/>
      <c r="C644" s="173"/>
      <c r="D644" s="174"/>
      <c r="E644" s="175"/>
      <c r="F644" s="175"/>
      <c r="G644" s="173" t="s">
        <v>585</v>
      </c>
      <c r="H644" s="173">
        <v>0.0</v>
      </c>
      <c r="I644" s="173"/>
      <c r="J644" s="199">
        <v>0.0</v>
      </c>
      <c r="K644" s="293"/>
      <c r="L644" s="173" t="s">
        <v>585</v>
      </c>
      <c r="M644" s="173"/>
      <c r="N644" s="199" t="s">
        <v>585</v>
      </c>
      <c r="O644" s="173"/>
      <c r="P644" s="173" t="s">
        <v>585</v>
      </c>
      <c r="Q644" s="173"/>
      <c r="R644" s="173" t="s">
        <v>585</v>
      </c>
      <c r="S644" s="173"/>
      <c r="T644" s="173" t="s">
        <v>585</v>
      </c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</row>
    <row r="645">
      <c r="A645" s="173"/>
      <c r="B645" s="173"/>
      <c r="C645" s="173"/>
      <c r="D645" s="174"/>
      <c r="E645" s="175"/>
      <c r="F645" s="175"/>
      <c r="G645" s="173" t="s">
        <v>585</v>
      </c>
      <c r="H645" s="173">
        <v>0.0</v>
      </c>
      <c r="I645" s="173"/>
      <c r="J645" s="199">
        <v>0.0</v>
      </c>
      <c r="K645" s="293"/>
      <c r="L645" s="173" t="s">
        <v>585</v>
      </c>
      <c r="M645" s="173"/>
      <c r="N645" s="199" t="s">
        <v>585</v>
      </c>
      <c r="O645" s="173"/>
      <c r="P645" s="173" t="s">
        <v>585</v>
      </c>
      <c r="Q645" s="173"/>
      <c r="R645" s="173" t="s">
        <v>585</v>
      </c>
      <c r="S645" s="173"/>
      <c r="T645" s="173" t="s">
        <v>585</v>
      </c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</row>
    <row r="646">
      <c r="A646" s="173"/>
      <c r="B646" s="173"/>
      <c r="C646" s="173"/>
      <c r="D646" s="174"/>
      <c r="E646" s="175"/>
      <c r="F646" s="175"/>
      <c r="G646" s="173" t="s">
        <v>585</v>
      </c>
      <c r="H646" s="173">
        <v>0.0</v>
      </c>
      <c r="I646" s="173"/>
      <c r="J646" s="199">
        <v>0.0</v>
      </c>
      <c r="K646" s="293"/>
      <c r="L646" s="173" t="s">
        <v>585</v>
      </c>
      <c r="M646" s="173"/>
      <c r="N646" s="199" t="s">
        <v>585</v>
      </c>
      <c r="O646" s="173"/>
      <c r="P646" s="173" t="s">
        <v>585</v>
      </c>
      <c r="Q646" s="173"/>
      <c r="R646" s="173" t="s">
        <v>585</v>
      </c>
      <c r="S646" s="173"/>
      <c r="T646" s="173" t="s">
        <v>585</v>
      </c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</row>
    <row r="647">
      <c r="A647" s="173"/>
      <c r="B647" s="173"/>
      <c r="C647" s="173"/>
      <c r="D647" s="174"/>
      <c r="E647" s="175"/>
      <c r="F647" s="175"/>
      <c r="G647" s="173" t="s">
        <v>585</v>
      </c>
      <c r="H647" s="173">
        <v>0.0</v>
      </c>
      <c r="I647" s="173"/>
      <c r="J647" s="199">
        <v>0.0</v>
      </c>
      <c r="K647" s="293"/>
      <c r="L647" s="173" t="s">
        <v>585</v>
      </c>
      <c r="M647" s="173"/>
      <c r="N647" s="199" t="s">
        <v>585</v>
      </c>
      <c r="O647" s="173"/>
      <c r="P647" s="173" t="s">
        <v>585</v>
      </c>
      <c r="Q647" s="173"/>
      <c r="R647" s="173" t="s">
        <v>585</v>
      </c>
      <c r="S647" s="173"/>
      <c r="T647" s="173" t="s">
        <v>585</v>
      </c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</row>
    <row r="648">
      <c r="A648" s="173"/>
      <c r="B648" s="173"/>
      <c r="C648" s="173"/>
      <c r="D648" s="174"/>
      <c r="E648" s="175"/>
      <c r="F648" s="175"/>
      <c r="G648" s="173" t="s">
        <v>585</v>
      </c>
      <c r="H648" s="173">
        <v>0.0</v>
      </c>
      <c r="I648" s="173"/>
      <c r="J648" s="199">
        <v>0.0</v>
      </c>
      <c r="K648" s="293"/>
      <c r="L648" s="173" t="s">
        <v>585</v>
      </c>
      <c r="M648" s="173"/>
      <c r="N648" s="199" t="s">
        <v>585</v>
      </c>
      <c r="O648" s="173"/>
      <c r="P648" s="173" t="s">
        <v>585</v>
      </c>
      <c r="Q648" s="173"/>
      <c r="R648" s="173" t="s">
        <v>585</v>
      </c>
      <c r="S648" s="173"/>
      <c r="T648" s="173" t="s">
        <v>585</v>
      </c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</row>
    <row r="649">
      <c r="A649" s="173"/>
      <c r="B649" s="173"/>
      <c r="C649" s="173"/>
      <c r="D649" s="174"/>
      <c r="E649" s="175"/>
      <c r="F649" s="175"/>
      <c r="G649" s="173" t="s">
        <v>585</v>
      </c>
      <c r="H649" s="173">
        <v>0.0</v>
      </c>
      <c r="I649" s="173"/>
      <c r="J649" s="199">
        <v>0.0</v>
      </c>
      <c r="K649" s="293"/>
      <c r="L649" s="173" t="s">
        <v>585</v>
      </c>
      <c r="M649" s="173"/>
      <c r="N649" s="199" t="s">
        <v>585</v>
      </c>
      <c r="O649" s="173"/>
      <c r="P649" s="173" t="s">
        <v>585</v>
      </c>
      <c r="Q649" s="173"/>
      <c r="R649" s="173" t="s">
        <v>585</v>
      </c>
      <c r="S649" s="173"/>
      <c r="T649" s="173" t="s">
        <v>585</v>
      </c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</row>
    <row r="650">
      <c r="A650" s="173"/>
      <c r="B650" s="173"/>
      <c r="C650" s="173"/>
      <c r="D650" s="174"/>
      <c r="E650" s="175"/>
      <c r="F650" s="175"/>
      <c r="G650" s="173" t="s">
        <v>585</v>
      </c>
      <c r="H650" s="173">
        <v>0.0</v>
      </c>
      <c r="I650" s="173"/>
      <c r="J650" s="199">
        <v>0.0</v>
      </c>
      <c r="K650" s="293"/>
      <c r="L650" s="173" t="s">
        <v>585</v>
      </c>
      <c r="M650" s="173"/>
      <c r="N650" s="199" t="s">
        <v>585</v>
      </c>
      <c r="O650" s="173"/>
      <c r="P650" s="173" t="s">
        <v>585</v>
      </c>
      <c r="Q650" s="173"/>
      <c r="R650" s="173" t="s">
        <v>585</v>
      </c>
      <c r="S650" s="173"/>
      <c r="T650" s="173" t="s">
        <v>585</v>
      </c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</row>
    <row r="651">
      <c r="A651" s="173"/>
      <c r="B651" s="173"/>
      <c r="C651" s="173"/>
      <c r="D651" s="174"/>
      <c r="E651" s="175"/>
      <c r="F651" s="175"/>
      <c r="G651" s="173" t="s">
        <v>585</v>
      </c>
      <c r="H651" s="173">
        <v>0.0</v>
      </c>
      <c r="I651" s="173"/>
      <c r="J651" s="199">
        <v>0.0</v>
      </c>
      <c r="K651" s="293"/>
      <c r="L651" s="173" t="s">
        <v>585</v>
      </c>
      <c r="M651" s="173"/>
      <c r="N651" s="199" t="s">
        <v>585</v>
      </c>
      <c r="O651" s="173"/>
      <c r="P651" s="173" t="s">
        <v>585</v>
      </c>
      <c r="Q651" s="173"/>
      <c r="R651" s="173" t="s">
        <v>585</v>
      </c>
      <c r="S651" s="173"/>
      <c r="T651" s="173" t="s">
        <v>585</v>
      </c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</row>
    <row r="652">
      <c r="A652" s="173"/>
      <c r="B652" s="173"/>
      <c r="C652" s="173"/>
      <c r="D652" s="174"/>
      <c r="E652" s="175"/>
      <c r="F652" s="175"/>
      <c r="G652" s="173" t="s">
        <v>585</v>
      </c>
      <c r="H652" s="173">
        <v>0.0</v>
      </c>
      <c r="I652" s="173"/>
      <c r="J652" s="199">
        <v>0.0</v>
      </c>
      <c r="K652" s="293"/>
      <c r="L652" s="173" t="s">
        <v>585</v>
      </c>
      <c r="M652" s="173"/>
      <c r="N652" s="199" t="s">
        <v>585</v>
      </c>
      <c r="O652" s="173"/>
      <c r="P652" s="173" t="s">
        <v>585</v>
      </c>
      <c r="Q652" s="173"/>
      <c r="R652" s="173" t="s">
        <v>585</v>
      </c>
      <c r="S652" s="173"/>
      <c r="T652" s="173" t="s">
        <v>585</v>
      </c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</row>
    <row r="653">
      <c r="A653" s="173"/>
      <c r="B653" s="173"/>
      <c r="C653" s="173"/>
      <c r="D653" s="174"/>
      <c r="E653" s="175"/>
      <c r="F653" s="175"/>
      <c r="G653" s="173" t="s">
        <v>585</v>
      </c>
      <c r="H653" s="173">
        <v>0.0</v>
      </c>
      <c r="I653" s="173"/>
      <c r="J653" s="199">
        <v>0.0</v>
      </c>
      <c r="K653" s="293"/>
      <c r="L653" s="173" t="s">
        <v>585</v>
      </c>
      <c r="M653" s="173"/>
      <c r="N653" s="199" t="s">
        <v>585</v>
      </c>
      <c r="O653" s="173"/>
      <c r="P653" s="173" t="s">
        <v>585</v>
      </c>
      <c r="Q653" s="173"/>
      <c r="R653" s="173" t="s">
        <v>585</v>
      </c>
      <c r="S653" s="173"/>
      <c r="T653" s="173" t="s">
        <v>585</v>
      </c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</row>
    <row r="654">
      <c r="A654" s="173"/>
      <c r="B654" s="173"/>
      <c r="C654" s="173"/>
      <c r="D654" s="174"/>
      <c r="E654" s="175"/>
      <c r="F654" s="175"/>
      <c r="G654" s="173" t="s">
        <v>585</v>
      </c>
      <c r="H654" s="173">
        <v>0.0</v>
      </c>
      <c r="I654" s="173"/>
      <c r="J654" s="199">
        <v>0.0</v>
      </c>
      <c r="K654" s="293"/>
      <c r="L654" s="173" t="s">
        <v>585</v>
      </c>
      <c r="M654" s="173"/>
      <c r="N654" s="199" t="s">
        <v>585</v>
      </c>
      <c r="O654" s="173"/>
      <c r="P654" s="173" t="s">
        <v>585</v>
      </c>
      <c r="Q654" s="173"/>
      <c r="R654" s="173" t="s">
        <v>585</v>
      </c>
      <c r="S654" s="173"/>
      <c r="T654" s="173" t="s">
        <v>585</v>
      </c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</row>
    <row r="655">
      <c r="A655" s="173"/>
      <c r="B655" s="173"/>
      <c r="C655" s="173"/>
      <c r="D655" s="174"/>
      <c r="E655" s="175"/>
      <c r="F655" s="175"/>
      <c r="G655" s="173" t="s">
        <v>585</v>
      </c>
      <c r="H655" s="173">
        <v>0.0</v>
      </c>
      <c r="I655" s="173"/>
      <c r="J655" s="199">
        <v>0.0</v>
      </c>
      <c r="K655" s="293"/>
      <c r="L655" s="173" t="s">
        <v>585</v>
      </c>
      <c r="M655" s="173"/>
      <c r="N655" s="199" t="s">
        <v>585</v>
      </c>
      <c r="O655" s="173"/>
      <c r="P655" s="173" t="s">
        <v>585</v>
      </c>
      <c r="Q655" s="173"/>
      <c r="R655" s="173" t="s">
        <v>585</v>
      </c>
      <c r="S655" s="173"/>
      <c r="T655" s="173" t="s">
        <v>585</v>
      </c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</row>
    <row r="656">
      <c r="A656" s="173"/>
      <c r="B656" s="173"/>
      <c r="C656" s="173"/>
      <c r="D656" s="174"/>
      <c r="E656" s="175"/>
      <c r="F656" s="175"/>
      <c r="G656" s="173" t="s">
        <v>585</v>
      </c>
      <c r="H656" s="173">
        <v>0.0</v>
      </c>
      <c r="I656" s="173"/>
      <c r="J656" s="199">
        <v>0.0</v>
      </c>
      <c r="K656" s="293"/>
      <c r="L656" s="173" t="s">
        <v>585</v>
      </c>
      <c r="M656" s="173"/>
      <c r="N656" s="199" t="s">
        <v>585</v>
      </c>
      <c r="O656" s="173"/>
      <c r="P656" s="173" t="s">
        <v>585</v>
      </c>
      <c r="Q656" s="173"/>
      <c r="R656" s="173" t="s">
        <v>585</v>
      </c>
      <c r="S656" s="173"/>
      <c r="T656" s="173" t="s">
        <v>585</v>
      </c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</row>
    <row r="657">
      <c r="A657" s="173"/>
      <c r="B657" s="173"/>
      <c r="C657" s="173"/>
      <c r="D657" s="174"/>
      <c r="E657" s="175"/>
      <c r="F657" s="175"/>
      <c r="G657" s="173" t="s">
        <v>585</v>
      </c>
      <c r="H657" s="173">
        <v>0.0</v>
      </c>
      <c r="I657" s="173"/>
      <c r="J657" s="199">
        <v>0.0</v>
      </c>
      <c r="K657" s="293"/>
      <c r="L657" s="173" t="s">
        <v>585</v>
      </c>
      <c r="M657" s="173"/>
      <c r="N657" s="199" t="s">
        <v>585</v>
      </c>
      <c r="O657" s="173"/>
      <c r="P657" s="173" t="s">
        <v>585</v>
      </c>
      <c r="Q657" s="173"/>
      <c r="R657" s="173" t="s">
        <v>585</v>
      </c>
      <c r="S657" s="173"/>
      <c r="T657" s="173" t="s">
        <v>585</v>
      </c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</row>
    <row r="658">
      <c r="A658" s="173"/>
      <c r="B658" s="173"/>
      <c r="C658" s="173"/>
      <c r="D658" s="174"/>
      <c r="E658" s="175"/>
      <c r="F658" s="175"/>
      <c r="G658" s="173" t="s">
        <v>585</v>
      </c>
      <c r="H658" s="173">
        <v>0.0</v>
      </c>
      <c r="I658" s="173"/>
      <c r="J658" s="199">
        <v>0.0</v>
      </c>
      <c r="K658" s="293"/>
      <c r="L658" s="173" t="s">
        <v>585</v>
      </c>
      <c r="M658" s="173"/>
      <c r="N658" s="199" t="s">
        <v>585</v>
      </c>
      <c r="O658" s="173"/>
      <c r="P658" s="173" t="s">
        <v>585</v>
      </c>
      <c r="Q658" s="173"/>
      <c r="R658" s="173" t="s">
        <v>585</v>
      </c>
      <c r="S658" s="173"/>
      <c r="T658" s="173" t="s">
        <v>585</v>
      </c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</row>
    <row r="659">
      <c r="A659" s="173"/>
      <c r="B659" s="173"/>
      <c r="C659" s="173"/>
      <c r="D659" s="174"/>
      <c r="E659" s="175"/>
      <c r="F659" s="175"/>
      <c r="G659" s="173" t="s">
        <v>585</v>
      </c>
      <c r="H659" s="173">
        <v>0.0</v>
      </c>
      <c r="I659" s="173"/>
      <c r="J659" s="199">
        <v>0.0</v>
      </c>
      <c r="K659" s="293"/>
      <c r="L659" s="173" t="s">
        <v>585</v>
      </c>
      <c r="M659" s="173"/>
      <c r="N659" s="199" t="s">
        <v>585</v>
      </c>
      <c r="O659" s="173"/>
      <c r="P659" s="173" t="s">
        <v>585</v>
      </c>
      <c r="Q659" s="173"/>
      <c r="R659" s="173" t="s">
        <v>585</v>
      </c>
      <c r="S659" s="173"/>
      <c r="T659" s="173" t="s">
        <v>585</v>
      </c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</row>
    <row r="660">
      <c r="A660" s="173"/>
      <c r="B660" s="173"/>
      <c r="C660" s="173"/>
      <c r="D660" s="174"/>
      <c r="E660" s="175"/>
      <c r="F660" s="175"/>
      <c r="G660" s="173" t="s">
        <v>585</v>
      </c>
      <c r="H660" s="173">
        <v>0.0</v>
      </c>
      <c r="I660" s="173"/>
      <c r="J660" s="199">
        <v>0.0</v>
      </c>
      <c r="K660" s="293"/>
      <c r="L660" s="173" t="s">
        <v>585</v>
      </c>
      <c r="M660" s="173"/>
      <c r="N660" s="199" t="s">
        <v>585</v>
      </c>
      <c r="O660" s="173"/>
      <c r="P660" s="173" t="s">
        <v>585</v>
      </c>
      <c r="Q660" s="173"/>
      <c r="R660" s="173" t="s">
        <v>585</v>
      </c>
      <c r="S660" s="173"/>
      <c r="T660" s="173" t="s">
        <v>585</v>
      </c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</row>
    <row r="661">
      <c r="A661" s="173"/>
      <c r="B661" s="173"/>
      <c r="C661" s="173"/>
      <c r="D661" s="174"/>
      <c r="E661" s="175"/>
      <c r="F661" s="175"/>
      <c r="G661" s="173" t="s">
        <v>585</v>
      </c>
      <c r="H661" s="173">
        <v>0.0</v>
      </c>
      <c r="I661" s="173"/>
      <c r="J661" s="199">
        <v>0.0</v>
      </c>
      <c r="K661" s="293"/>
      <c r="L661" s="173" t="s">
        <v>585</v>
      </c>
      <c r="M661" s="173"/>
      <c r="N661" s="199" t="s">
        <v>585</v>
      </c>
      <c r="O661" s="173"/>
      <c r="P661" s="173" t="s">
        <v>585</v>
      </c>
      <c r="Q661" s="173"/>
      <c r="R661" s="173" t="s">
        <v>585</v>
      </c>
      <c r="S661" s="173"/>
      <c r="T661" s="173" t="s">
        <v>585</v>
      </c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</row>
    <row r="662">
      <c r="A662" s="173"/>
      <c r="B662" s="173"/>
      <c r="C662" s="173"/>
      <c r="D662" s="174"/>
      <c r="E662" s="175"/>
      <c r="F662" s="175"/>
      <c r="G662" s="173" t="s">
        <v>585</v>
      </c>
      <c r="H662" s="173">
        <v>0.0</v>
      </c>
      <c r="I662" s="173"/>
      <c r="J662" s="199">
        <v>0.0</v>
      </c>
      <c r="K662" s="293"/>
      <c r="L662" s="173" t="s">
        <v>585</v>
      </c>
      <c r="M662" s="173"/>
      <c r="N662" s="199" t="s">
        <v>585</v>
      </c>
      <c r="O662" s="173"/>
      <c r="P662" s="173" t="s">
        <v>585</v>
      </c>
      <c r="Q662" s="173"/>
      <c r="R662" s="173" t="s">
        <v>585</v>
      </c>
      <c r="S662" s="173"/>
      <c r="T662" s="173" t="s">
        <v>585</v>
      </c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</row>
    <row r="663">
      <c r="A663" s="173"/>
      <c r="B663" s="173"/>
      <c r="C663" s="173"/>
      <c r="D663" s="174"/>
      <c r="E663" s="175"/>
      <c r="F663" s="175"/>
      <c r="G663" s="173" t="s">
        <v>585</v>
      </c>
      <c r="H663" s="173">
        <v>0.0</v>
      </c>
      <c r="I663" s="173"/>
      <c r="J663" s="199">
        <v>0.0</v>
      </c>
      <c r="K663" s="293"/>
      <c r="L663" s="173" t="s">
        <v>585</v>
      </c>
      <c r="M663" s="173"/>
      <c r="N663" s="199" t="s">
        <v>585</v>
      </c>
      <c r="O663" s="173"/>
      <c r="P663" s="173" t="s">
        <v>585</v>
      </c>
      <c r="Q663" s="173"/>
      <c r="R663" s="173" t="s">
        <v>585</v>
      </c>
      <c r="S663" s="173"/>
      <c r="T663" s="173" t="s">
        <v>585</v>
      </c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</row>
    <row r="664">
      <c r="A664" s="173"/>
      <c r="B664" s="173"/>
      <c r="C664" s="173"/>
      <c r="D664" s="174"/>
      <c r="E664" s="175"/>
      <c r="F664" s="175"/>
      <c r="G664" s="173" t="s">
        <v>585</v>
      </c>
      <c r="H664" s="173">
        <v>0.0</v>
      </c>
      <c r="I664" s="173"/>
      <c r="J664" s="199">
        <v>0.0</v>
      </c>
      <c r="K664" s="293"/>
      <c r="L664" s="173" t="s">
        <v>585</v>
      </c>
      <c r="M664" s="173"/>
      <c r="N664" s="199" t="s">
        <v>585</v>
      </c>
      <c r="O664" s="173"/>
      <c r="P664" s="173" t="s">
        <v>585</v>
      </c>
      <c r="Q664" s="173"/>
      <c r="R664" s="173" t="s">
        <v>585</v>
      </c>
      <c r="S664" s="173"/>
      <c r="T664" s="173" t="s">
        <v>585</v>
      </c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</row>
    <row r="665">
      <c r="A665" s="173"/>
      <c r="B665" s="173"/>
      <c r="C665" s="173"/>
      <c r="D665" s="174"/>
      <c r="E665" s="175"/>
      <c r="F665" s="175"/>
      <c r="G665" s="173" t="s">
        <v>585</v>
      </c>
      <c r="H665" s="173">
        <v>0.0</v>
      </c>
      <c r="I665" s="173"/>
      <c r="J665" s="199">
        <v>0.0</v>
      </c>
      <c r="K665" s="293"/>
      <c r="L665" s="173" t="s">
        <v>585</v>
      </c>
      <c r="M665" s="173"/>
      <c r="N665" s="199" t="s">
        <v>585</v>
      </c>
      <c r="O665" s="173"/>
      <c r="P665" s="173" t="s">
        <v>585</v>
      </c>
      <c r="Q665" s="173"/>
      <c r="R665" s="173" t="s">
        <v>585</v>
      </c>
      <c r="S665" s="173"/>
      <c r="T665" s="173" t="s">
        <v>585</v>
      </c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</row>
    <row r="666">
      <c r="A666" s="173"/>
      <c r="B666" s="173"/>
      <c r="C666" s="173"/>
      <c r="D666" s="174"/>
      <c r="E666" s="175"/>
      <c r="F666" s="175"/>
      <c r="G666" s="173" t="s">
        <v>585</v>
      </c>
      <c r="H666" s="173">
        <v>0.0</v>
      </c>
      <c r="I666" s="173"/>
      <c r="J666" s="199">
        <v>0.0</v>
      </c>
      <c r="K666" s="293"/>
      <c r="L666" s="173" t="s">
        <v>585</v>
      </c>
      <c r="M666" s="173"/>
      <c r="N666" s="199" t="s">
        <v>585</v>
      </c>
      <c r="O666" s="173"/>
      <c r="P666" s="173" t="s">
        <v>585</v>
      </c>
      <c r="Q666" s="173"/>
      <c r="R666" s="173" t="s">
        <v>585</v>
      </c>
      <c r="S666" s="173"/>
      <c r="T666" s="173" t="s">
        <v>585</v>
      </c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</row>
    <row r="667">
      <c r="A667" s="173"/>
      <c r="B667" s="173"/>
      <c r="C667" s="173"/>
      <c r="D667" s="174"/>
      <c r="E667" s="175"/>
      <c r="F667" s="175"/>
      <c r="G667" s="173" t="s">
        <v>585</v>
      </c>
      <c r="H667" s="173">
        <v>0.0</v>
      </c>
      <c r="I667" s="173"/>
      <c r="J667" s="199">
        <v>0.0</v>
      </c>
      <c r="K667" s="293"/>
      <c r="L667" s="173" t="s">
        <v>585</v>
      </c>
      <c r="M667" s="173"/>
      <c r="N667" s="199" t="s">
        <v>585</v>
      </c>
      <c r="O667" s="173"/>
      <c r="P667" s="173" t="s">
        <v>585</v>
      </c>
      <c r="Q667" s="173"/>
      <c r="R667" s="173" t="s">
        <v>585</v>
      </c>
      <c r="S667" s="173"/>
      <c r="T667" s="173" t="s">
        <v>585</v>
      </c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</row>
    <row r="668">
      <c r="A668" s="173"/>
      <c r="B668" s="173"/>
      <c r="C668" s="173"/>
      <c r="D668" s="174"/>
      <c r="E668" s="175"/>
      <c r="F668" s="175"/>
      <c r="G668" s="173" t="s">
        <v>585</v>
      </c>
      <c r="H668" s="173">
        <v>0.0</v>
      </c>
      <c r="I668" s="173"/>
      <c r="J668" s="199">
        <v>0.0</v>
      </c>
      <c r="K668" s="293"/>
      <c r="L668" s="173" t="s">
        <v>585</v>
      </c>
      <c r="M668" s="173"/>
      <c r="N668" s="199" t="s">
        <v>585</v>
      </c>
      <c r="O668" s="173"/>
      <c r="P668" s="173" t="s">
        <v>585</v>
      </c>
      <c r="Q668" s="173"/>
      <c r="R668" s="173" t="s">
        <v>585</v>
      </c>
      <c r="S668" s="173"/>
      <c r="T668" s="173" t="s">
        <v>585</v>
      </c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</row>
    <row r="669">
      <c r="A669" s="173"/>
      <c r="B669" s="173"/>
      <c r="C669" s="173"/>
      <c r="D669" s="174"/>
      <c r="E669" s="175"/>
      <c r="F669" s="175"/>
      <c r="G669" s="173" t="s">
        <v>585</v>
      </c>
      <c r="H669" s="173">
        <v>0.0</v>
      </c>
      <c r="I669" s="173"/>
      <c r="J669" s="199">
        <v>0.0</v>
      </c>
      <c r="K669" s="293"/>
      <c r="L669" s="173" t="s">
        <v>585</v>
      </c>
      <c r="M669" s="173"/>
      <c r="N669" s="199" t="s">
        <v>585</v>
      </c>
      <c r="O669" s="173"/>
      <c r="P669" s="173" t="s">
        <v>585</v>
      </c>
      <c r="Q669" s="173"/>
      <c r="R669" s="173" t="s">
        <v>585</v>
      </c>
      <c r="S669" s="173"/>
      <c r="T669" s="173" t="s">
        <v>585</v>
      </c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</row>
    <row r="670">
      <c r="A670" s="173"/>
      <c r="B670" s="173"/>
      <c r="C670" s="173"/>
      <c r="D670" s="174"/>
      <c r="E670" s="175"/>
      <c r="F670" s="175"/>
      <c r="G670" s="173" t="s">
        <v>585</v>
      </c>
      <c r="H670" s="173">
        <v>0.0</v>
      </c>
      <c r="I670" s="173"/>
      <c r="J670" s="199">
        <v>0.0</v>
      </c>
      <c r="K670" s="293"/>
      <c r="L670" s="173" t="s">
        <v>585</v>
      </c>
      <c r="M670" s="173"/>
      <c r="N670" s="199" t="s">
        <v>585</v>
      </c>
      <c r="O670" s="173"/>
      <c r="P670" s="173" t="s">
        <v>585</v>
      </c>
      <c r="Q670" s="173"/>
      <c r="R670" s="173" t="s">
        <v>585</v>
      </c>
      <c r="S670" s="173"/>
      <c r="T670" s="173" t="s">
        <v>585</v>
      </c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</row>
    <row r="671">
      <c r="A671" s="173"/>
      <c r="B671" s="173"/>
      <c r="C671" s="173"/>
      <c r="D671" s="174"/>
      <c r="E671" s="175"/>
      <c r="F671" s="175"/>
      <c r="G671" s="173" t="s">
        <v>585</v>
      </c>
      <c r="H671" s="173">
        <v>0.0</v>
      </c>
      <c r="I671" s="173"/>
      <c r="J671" s="199">
        <v>0.0</v>
      </c>
      <c r="K671" s="293"/>
      <c r="L671" s="173" t="s">
        <v>585</v>
      </c>
      <c r="M671" s="173"/>
      <c r="N671" s="199" t="s">
        <v>585</v>
      </c>
      <c r="O671" s="173"/>
      <c r="P671" s="173" t="s">
        <v>585</v>
      </c>
      <c r="Q671" s="173"/>
      <c r="R671" s="173" t="s">
        <v>585</v>
      </c>
      <c r="S671" s="173"/>
      <c r="T671" s="173" t="s">
        <v>585</v>
      </c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</row>
    <row r="672">
      <c r="A672" s="173"/>
      <c r="B672" s="173"/>
      <c r="C672" s="173"/>
      <c r="D672" s="174"/>
      <c r="E672" s="175"/>
      <c r="F672" s="175"/>
      <c r="G672" s="173" t="s">
        <v>585</v>
      </c>
      <c r="H672" s="173">
        <v>0.0</v>
      </c>
      <c r="I672" s="173"/>
      <c r="J672" s="199">
        <v>0.0</v>
      </c>
      <c r="K672" s="293"/>
      <c r="L672" s="173" t="s">
        <v>585</v>
      </c>
      <c r="M672" s="173"/>
      <c r="N672" s="199" t="s">
        <v>585</v>
      </c>
      <c r="O672" s="173"/>
      <c r="P672" s="173" t="s">
        <v>585</v>
      </c>
      <c r="Q672" s="173"/>
      <c r="R672" s="173" t="s">
        <v>585</v>
      </c>
      <c r="S672" s="173"/>
      <c r="T672" s="173" t="s">
        <v>585</v>
      </c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</row>
    <row r="673">
      <c r="A673" s="173"/>
      <c r="B673" s="173"/>
      <c r="C673" s="173"/>
      <c r="D673" s="174"/>
      <c r="E673" s="175"/>
      <c r="F673" s="175"/>
      <c r="G673" s="173" t="s">
        <v>585</v>
      </c>
      <c r="H673" s="173">
        <v>0.0</v>
      </c>
      <c r="I673" s="173"/>
      <c r="J673" s="199">
        <v>0.0</v>
      </c>
      <c r="K673" s="293"/>
      <c r="L673" s="173" t="s">
        <v>585</v>
      </c>
      <c r="M673" s="173"/>
      <c r="N673" s="199" t="s">
        <v>585</v>
      </c>
      <c r="O673" s="173"/>
      <c r="P673" s="173" t="s">
        <v>585</v>
      </c>
      <c r="Q673" s="173"/>
      <c r="R673" s="173" t="s">
        <v>585</v>
      </c>
      <c r="S673" s="173"/>
      <c r="T673" s="173" t="s">
        <v>585</v>
      </c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</row>
    <row r="674">
      <c r="A674" s="173"/>
      <c r="B674" s="173"/>
      <c r="C674" s="173"/>
      <c r="D674" s="174"/>
      <c r="E674" s="175"/>
      <c r="F674" s="175"/>
      <c r="G674" s="173" t="s">
        <v>585</v>
      </c>
      <c r="H674" s="173">
        <v>0.0</v>
      </c>
      <c r="I674" s="173"/>
      <c r="J674" s="199">
        <v>0.0</v>
      </c>
      <c r="K674" s="293"/>
      <c r="L674" s="173" t="s">
        <v>585</v>
      </c>
      <c r="M674" s="173"/>
      <c r="N674" s="199" t="s">
        <v>585</v>
      </c>
      <c r="O674" s="173"/>
      <c r="P674" s="173" t="s">
        <v>585</v>
      </c>
      <c r="Q674" s="173"/>
      <c r="R674" s="173" t="s">
        <v>585</v>
      </c>
      <c r="S674" s="173"/>
      <c r="T674" s="173" t="s">
        <v>585</v>
      </c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</row>
    <row r="675">
      <c r="A675" s="173"/>
      <c r="B675" s="173"/>
      <c r="C675" s="173"/>
      <c r="D675" s="174"/>
      <c r="E675" s="175"/>
      <c r="F675" s="175"/>
      <c r="G675" s="173" t="s">
        <v>585</v>
      </c>
      <c r="H675" s="173">
        <v>0.0</v>
      </c>
      <c r="I675" s="173"/>
      <c r="J675" s="199">
        <v>0.0</v>
      </c>
      <c r="K675" s="293"/>
      <c r="L675" s="173" t="s">
        <v>585</v>
      </c>
      <c r="M675" s="173"/>
      <c r="N675" s="199" t="s">
        <v>585</v>
      </c>
      <c r="O675" s="173"/>
      <c r="P675" s="173" t="s">
        <v>585</v>
      </c>
      <c r="Q675" s="173"/>
      <c r="R675" s="173" t="s">
        <v>585</v>
      </c>
      <c r="S675" s="173"/>
      <c r="T675" s="173" t="s">
        <v>585</v>
      </c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</row>
    <row r="676">
      <c r="A676" s="173"/>
      <c r="B676" s="173"/>
      <c r="C676" s="173"/>
      <c r="D676" s="174"/>
      <c r="E676" s="175"/>
      <c r="F676" s="175"/>
      <c r="G676" s="173" t="s">
        <v>585</v>
      </c>
      <c r="H676" s="173">
        <v>0.0</v>
      </c>
      <c r="I676" s="173"/>
      <c r="J676" s="199">
        <v>0.0</v>
      </c>
      <c r="K676" s="293"/>
      <c r="L676" s="173" t="s">
        <v>585</v>
      </c>
      <c r="M676" s="173"/>
      <c r="N676" s="199" t="s">
        <v>585</v>
      </c>
      <c r="O676" s="173"/>
      <c r="P676" s="173" t="s">
        <v>585</v>
      </c>
      <c r="Q676" s="173"/>
      <c r="R676" s="173" t="s">
        <v>585</v>
      </c>
      <c r="S676" s="173"/>
      <c r="T676" s="173" t="s">
        <v>585</v>
      </c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</row>
    <row r="677">
      <c r="A677" s="173"/>
      <c r="B677" s="173"/>
      <c r="C677" s="173"/>
      <c r="D677" s="174"/>
      <c r="E677" s="175"/>
      <c r="F677" s="175"/>
      <c r="G677" s="173" t="s">
        <v>585</v>
      </c>
      <c r="H677" s="173">
        <v>0.0</v>
      </c>
      <c r="I677" s="173"/>
      <c r="J677" s="199">
        <v>0.0</v>
      </c>
      <c r="K677" s="293"/>
      <c r="L677" s="173" t="s">
        <v>585</v>
      </c>
      <c r="M677" s="173"/>
      <c r="N677" s="199" t="s">
        <v>585</v>
      </c>
      <c r="O677" s="173"/>
      <c r="P677" s="173" t="s">
        <v>585</v>
      </c>
      <c r="Q677" s="173"/>
      <c r="R677" s="173" t="s">
        <v>585</v>
      </c>
      <c r="S677" s="173"/>
      <c r="T677" s="173" t="s">
        <v>585</v>
      </c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</row>
    <row r="678">
      <c r="A678" s="173"/>
      <c r="B678" s="173"/>
      <c r="C678" s="173"/>
      <c r="D678" s="174"/>
      <c r="E678" s="175"/>
      <c r="F678" s="175"/>
      <c r="G678" s="173" t="s">
        <v>585</v>
      </c>
      <c r="H678" s="173">
        <v>0.0</v>
      </c>
      <c r="I678" s="173"/>
      <c r="J678" s="199">
        <v>0.0</v>
      </c>
      <c r="K678" s="293"/>
      <c r="L678" s="173" t="s">
        <v>585</v>
      </c>
      <c r="M678" s="173"/>
      <c r="N678" s="199" t="s">
        <v>585</v>
      </c>
      <c r="O678" s="173"/>
      <c r="P678" s="173" t="s">
        <v>585</v>
      </c>
      <c r="Q678" s="173"/>
      <c r="R678" s="173" t="s">
        <v>585</v>
      </c>
      <c r="S678" s="173"/>
      <c r="T678" s="173" t="s">
        <v>585</v>
      </c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</row>
    <row r="679">
      <c r="A679" s="173"/>
      <c r="B679" s="173"/>
      <c r="C679" s="173"/>
      <c r="D679" s="174"/>
      <c r="E679" s="175"/>
      <c r="F679" s="175"/>
      <c r="G679" s="173" t="s">
        <v>585</v>
      </c>
      <c r="H679" s="173">
        <v>0.0</v>
      </c>
      <c r="I679" s="173"/>
      <c r="J679" s="199">
        <v>0.0</v>
      </c>
      <c r="K679" s="293"/>
      <c r="L679" s="173" t="s">
        <v>585</v>
      </c>
      <c r="M679" s="173"/>
      <c r="N679" s="199" t="s">
        <v>585</v>
      </c>
      <c r="O679" s="173"/>
      <c r="P679" s="173" t="s">
        <v>585</v>
      </c>
      <c r="Q679" s="173"/>
      <c r="R679" s="173" t="s">
        <v>585</v>
      </c>
      <c r="S679" s="173"/>
      <c r="T679" s="173" t="s">
        <v>585</v>
      </c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</row>
    <row r="680">
      <c r="A680" s="173"/>
      <c r="B680" s="173"/>
      <c r="C680" s="173"/>
      <c r="D680" s="174"/>
      <c r="E680" s="175"/>
      <c r="F680" s="175"/>
      <c r="G680" s="173" t="s">
        <v>585</v>
      </c>
      <c r="H680" s="173">
        <v>0.0</v>
      </c>
      <c r="I680" s="173"/>
      <c r="J680" s="199">
        <v>0.0</v>
      </c>
      <c r="K680" s="293"/>
      <c r="L680" s="173" t="s">
        <v>585</v>
      </c>
      <c r="M680" s="173"/>
      <c r="N680" s="199" t="s">
        <v>585</v>
      </c>
      <c r="O680" s="173"/>
      <c r="P680" s="173" t="s">
        <v>585</v>
      </c>
      <c r="Q680" s="173"/>
      <c r="R680" s="173" t="s">
        <v>585</v>
      </c>
      <c r="S680" s="173"/>
      <c r="T680" s="173" t="s">
        <v>585</v>
      </c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</row>
    <row r="681">
      <c r="A681" s="173"/>
      <c r="B681" s="173"/>
      <c r="C681" s="173"/>
      <c r="D681" s="174"/>
      <c r="E681" s="175"/>
      <c r="F681" s="175"/>
      <c r="G681" s="173" t="s">
        <v>585</v>
      </c>
      <c r="H681" s="173">
        <v>0.0</v>
      </c>
      <c r="I681" s="173"/>
      <c r="J681" s="199">
        <v>0.0</v>
      </c>
      <c r="K681" s="293"/>
      <c r="L681" s="173" t="s">
        <v>585</v>
      </c>
      <c r="M681" s="173"/>
      <c r="N681" s="199" t="s">
        <v>585</v>
      </c>
      <c r="O681" s="173"/>
      <c r="P681" s="173" t="s">
        <v>585</v>
      </c>
      <c r="Q681" s="173"/>
      <c r="R681" s="173" t="s">
        <v>585</v>
      </c>
      <c r="S681" s="173"/>
      <c r="T681" s="173" t="s">
        <v>585</v>
      </c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</row>
    <row r="682">
      <c r="A682" s="173"/>
      <c r="B682" s="173"/>
      <c r="C682" s="173"/>
      <c r="D682" s="174"/>
      <c r="E682" s="175"/>
      <c r="F682" s="175"/>
      <c r="G682" s="173" t="s">
        <v>585</v>
      </c>
      <c r="H682" s="173">
        <v>0.0</v>
      </c>
      <c r="I682" s="173"/>
      <c r="J682" s="199">
        <v>0.0</v>
      </c>
      <c r="K682" s="293"/>
      <c r="L682" s="173" t="s">
        <v>585</v>
      </c>
      <c r="M682" s="173"/>
      <c r="N682" s="199" t="s">
        <v>585</v>
      </c>
      <c r="O682" s="173"/>
      <c r="P682" s="173" t="s">
        <v>585</v>
      </c>
      <c r="Q682" s="173"/>
      <c r="R682" s="173" t="s">
        <v>585</v>
      </c>
      <c r="S682" s="173"/>
      <c r="T682" s="173" t="s">
        <v>585</v>
      </c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</row>
    <row r="683">
      <c r="A683" s="173"/>
      <c r="B683" s="173"/>
      <c r="C683" s="173"/>
      <c r="D683" s="174"/>
      <c r="E683" s="175"/>
      <c r="F683" s="175"/>
      <c r="G683" s="173" t="s">
        <v>585</v>
      </c>
      <c r="H683" s="173">
        <v>0.0</v>
      </c>
      <c r="I683" s="173"/>
      <c r="J683" s="199">
        <v>0.0</v>
      </c>
      <c r="K683" s="293"/>
      <c r="L683" s="173" t="s">
        <v>585</v>
      </c>
      <c r="M683" s="173"/>
      <c r="N683" s="199" t="s">
        <v>585</v>
      </c>
      <c r="O683" s="173"/>
      <c r="P683" s="173" t="s">
        <v>585</v>
      </c>
      <c r="Q683" s="173"/>
      <c r="R683" s="173" t="s">
        <v>585</v>
      </c>
      <c r="S683" s="173"/>
      <c r="T683" s="173" t="s">
        <v>585</v>
      </c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</row>
    <row r="684">
      <c r="A684" s="173"/>
      <c r="B684" s="173"/>
      <c r="C684" s="173"/>
      <c r="D684" s="174"/>
      <c r="E684" s="175"/>
      <c r="F684" s="175"/>
      <c r="G684" s="173" t="s">
        <v>585</v>
      </c>
      <c r="H684" s="173">
        <v>0.0</v>
      </c>
      <c r="I684" s="173"/>
      <c r="J684" s="199">
        <v>0.0</v>
      </c>
      <c r="K684" s="293"/>
      <c r="L684" s="173" t="s">
        <v>585</v>
      </c>
      <c r="M684" s="173"/>
      <c r="N684" s="199" t="s">
        <v>585</v>
      </c>
      <c r="O684" s="173"/>
      <c r="P684" s="173" t="s">
        <v>585</v>
      </c>
      <c r="Q684" s="173"/>
      <c r="R684" s="173" t="s">
        <v>585</v>
      </c>
      <c r="S684" s="173"/>
      <c r="T684" s="173" t="s">
        <v>585</v>
      </c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</row>
    <row r="685">
      <c r="A685" s="173"/>
      <c r="B685" s="173"/>
      <c r="C685" s="173"/>
      <c r="D685" s="174"/>
      <c r="E685" s="175"/>
      <c r="F685" s="175"/>
      <c r="G685" s="173" t="s">
        <v>585</v>
      </c>
      <c r="H685" s="173">
        <v>0.0</v>
      </c>
      <c r="I685" s="173"/>
      <c r="J685" s="199">
        <v>0.0</v>
      </c>
      <c r="K685" s="293"/>
      <c r="L685" s="173" t="s">
        <v>585</v>
      </c>
      <c r="M685" s="173"/>
      <c r="N685" s="199" t="s">
        <v>585</v>
      </c>
      <c r="O685" s="173"/>
      <c r="P685" s="173" t="s">
        <v>585</v>
      </c>
      <c r="Q685" s="173"/>
      <c r="R685" s="173" t="s">
        <v>585</v>
      </c>
      <c r="S685" s="173"/>
      <c r="T685" s="173" t="s">
        <v>585</v>
      </c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</row>
    <row r="686">
      <c r="A686" s="173"/>
      <c r="B686" s="173"/>
      <c r="C686" s="173"/>
      <c r="D686" s="174"/>
      <c r="E686" s="175"/>
      <c r="F686" s="175"/>
      <c r="G686" s="173" t="s">
        <v>585</v>
      </c>
      <c r="H686" s="173">
        <v>0.0</v>
      </c>
      <c r="I686" s="173"/>
      <c r="J686" s="199">
        <v>0.0</v>
      </c>
      <c r="K686" s="293"/>
      <c r="L686" s="173" t="s">
        <v>585</v>
      </c>
      <c r="M686" s="173"/>
      <c r="N686" s="199" t="s">
        <v>585</v>
      </c>
      <c r="O686" s="173"/>
      <c r="P686" s="173" t="s">
        <v>585</v>
      </c>
      <c r="Q686" s="173"/>
      <c r="R686" s="173" t="s">
        <v>585</v>
      </c>
      <c r="S686" s="173"/>
      <c r="T686" s="173" t="s">
        <v>585</v>
      </c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</row>
    <row r="687">
      <c r="A687" s="173"/>
      <c r="B687" s="173"/>
      <c r="C687" s="173"/>
      <c r="D687" s="174"/>
      <c r="E687" s="175"/>
      <c r="F687" s="175"/>
      <c r="G687" s="173" t="s">
        <v>585</v>
      </c>
      <c r="H687" s="173">
        <v>0.0</v>
      </c>
      <c r="I687" s="173"/>
      <c r="J687" s="199">
        <v>0.0</v>
      </c>
      <c r="K687" s="293"/>
      <c r="L687" s="173" t="s">
        <v>585</v>
      </c>
      <c r="M687" s="173"/>
      <c r="N687" s="199" t="s">
        <v>585</v>
      </c>
      <c r="O687" s="173"/>
      <c r="P687" s="173" t="s">
        <v>585</v>
      </c>
      <c r="Q687" s="173"/>
      <c r="R687" s="173" t="s">
        <v>585</v>
      </c>
      <c r="S687" s="173"/>
      <c r="T687" s="173" t="s">
        <v>585</v>
      </c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</row>
    <row r="688">
      <c r="A688" s="173"/>
      <c r="B688" s="173"/>
      <c r="C688" s="173"/>
      <c r="D688" s="174"/>
      <c r="E688" s="175"/>
      <c r="F688" s="175"/>
      <c r="G688" s="173" t="s">
        <v>585</v>
      </c>
      <c r="H688" s="173">
        <v>0.0</v>
      </c>
      <c r="I688" s="173"/>
      <c r="J688" s="199">
        <v>0.0</v>
      </c>
      <c r="K688" s="293"/>
      <c r="L688" s="173" t="s">
        <v>585</v>
      </c>
      <c r="M688" s="173"/>
      <c r="N688" s="199" t="s">
        <v>585</v>
      </c>
      <c r="O688" s="173"/>
      <c r="P688" s="173" t="s">
        <v>585</v>
      </c>
      <c r="Q688" s="173"/>
      <c r="R688" s="173" t="s">
        <v>585</v>
      </c>
      <c r="S688" s="173"/>
      <c r="T688" s="173" t="s">
        <v>585</v>
      </c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</row>
    <row r="689">
      <c r="A689" s="173"/>
      <c r="B689" s="173"/>
      <c r="C689" s="173"/>
      <c r="D689" s="174"/>
      <c r="E689" s="175"/>
      <c r="F689" s="175"/>
      <c r="G689" s="173" t="s">
        <v>585</v>
      </c>
      <c r="H689" s="173">
        <v>0.0</v>
      </c>
      <c r="I689" s="173"/>
      <c r="J689" s="199">
        <v>0.0</v>
      </c>
      <c r="K689" s="293"/>
      <c r="L689" s="173" t="s">
        <v>585</v>
      </c>
      <c r="M689" s="173"/>
      <c r="N689" s="199" t="s">
        <v>585</v>
      </c>
      <c r="O689" s="173"/>
      <c r="P689" s="173" t="s">
        <v>585</v>
      </c>
      <c r="Q689" s="173"/>
      <c r="R689" s="173" t="s">
        <v>585</v>
      </c>
      <c r="S689" s="173"/>
      <c r="T689" s="173" t="s">
        <v>585</v>
      </c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</row>
    <row r="690">
      <c r="A690" s="173"/>
      <c r="B690" s="173"/>
      <c r="C690" s="173"/>
      <c r="D690" s="174"/>
      <c r="E690" s="175"/>
      <c r="F690" s="175"/>
      <c r="G690" s="173" t="s">
        <v>585</v>
      </c>
      <c r="H690" s="173">
        <v>0.0</v>
      </c>
      <c r="I690" s="173"/>
      <c r="J690" s="199">
        <v>0.0</v>
      </c>
      <c r="K690" s="293"/>
      <c r="L690" s="173" t="s">
        <v>585</v>
      </c>
      <c r="M690" s="173"/>
      <c r="N690" s="199" t="s">
        <v>585</v>
      </c>
      <c r="O690" s="173"/>
      <c r="P690" s="173" t="s">
        <v>585</v>
      </c>
      <c r="Q690" s="173"/>
      <c r="R690" s="173" t="s">
        <v>585</v>
      </c>
      <c r="S690" s="173"/>
      <c r="T690" s="173" t="s">
        <v>585</v>
      </c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</row>
    <row r="691">
      <c r="A691" s="173"/>
      <c r="B691" s="173"/>
      <c r="C691" s="173"/>
      <c r="D691" s="174"/>
      <c r="E691" s="175"/>
      <c r="F691" s="175"/>
      <c r="G691" s="173" t="s">
        <v>585</v>
      </c>
      <c r="H691" s="173">
        <v>0.0</v>
      </c>
      <c r="I691" s="173"/>
      <c r="J691" s="199">
        <v>0.0</v>
      </c>
      <c r="K691" s="293"/>
      <c r="L691" s="173" t="s">
        <v>585</v>
      </c>
      <c r="M691" s="173"/>
      <c r="N691" s="199" t="s">
        <v>585</v>
      </c>
      <c r="O691" s="173"/>
      <c r="P691" s="173" t="s">
        <v>585</v>
      </c>
      <c r="Q691" s="173"/>
      <c r="R691" s="173" t="s">
        <v>585</v>
      </c>
      <c r="S691" s="173"/>
      <c r="T691" s="173" t="s">
        <v>585</v>
      </c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</row>
    <row r="692">
      <c r="A692" s="173"/>
      <c r="B692" s="173"/>
      <c r="C692" s="173"/>
      <c r="D692" s="174"/>
      <c r="E692" s="175"/>
      <c r="F692" s="175"/>
      <c r="G692" s="173" t="s">
        <v>585</v>
      </c>
      <c r="H692" s="173">
        <v>0.0</v>
      </c>
      <c r="I692" s="173"/>
      <c r="J692" s="199">
        <v>0.0</v>
      </c>
      <c r="K692" s="293"/>
      <c r="L692" s="173" t="s">
        <v>585</v>
      </c>
      <c r="M692" s="173"/>
      <c r="N692" s="199" t="s">
        <v>585</v>
      </c>
      <c r="O692" s="173"/>
      <c r="P692" s="173" t="s">
        <v>585</v>
      </c>
      <c r="Q692" s="173"/>
      <c r="R692" s="173" t="s">
        <v>585</v>
      </c>
      <c r="S692" s="173"/>
      <c r="T692" s="173" t="s">
        <v>585</v>
      </c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</row>
    <row r="693">
      <c r="A693" s="173"/>
      <c r="B693" s="173"/>
      <c r="C693" s="173"/>
      <c r="D693" s="174"/>
      <c r="E693" s="175"/>
      <c r="F693" s="175"/>
      <c r="G693" s="173" t="s">
        <v>585</v>
      </c>
      <c r="H693" s="173">
        <v>0.0</v>
      </c>
      <c r="I693" s="173"/>
      <c r="J693" s="199">
        <v>0.0</v>
      </c>
      <c r="K693" s="293"/>
      <c r="L693" s="173" t="s">
        <v>585</v>
      </c>
      <c r="M693" s="173"/>
      <c r="N693" s="199" t="s">
        <v>585</v>
      </c>
      <c r="O693" s="173"/>
      <c r="P693" s="173" t="s">
        <v>585</v>
      </c>
      <c r="Q693" s="173"/>
      <c r="R693" s="173" t="s">
        <v>585</v>
      </c>
      <c r="S693" s="173"/>
      <c r="T693" s="173" t="s">
        <v>585</v>
      </c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</row>
    <row r="694">
      <c r="A694" s="173"/>
      <c r="B694" s="173"/>
      <c r="C694" s="173"/>
      <c r="D694" s="174"/>
      <c r="E694" s="175"/>
      <c r="F694" s="175"/>
      <c r="G694" s="173" t="s">
        <v>585</v>
      </c>
      <c r="H694" s="173">
        <v>0.0</v>
      </c>
      <c r="I694" s="173"/>
      <c r="J694" s="199">
        <v>0.0</v>
      </c>
      <c r="K694" s="293"/>
      <c r="L694" s="173" t="s">
        <v>585</v>
      </c>
      <c r="M694" s="173"/>
      <c r="N694" s="199" t="s">
        <v>585</v>
      </c>
      <c r="O694" s="173"/>
      <c r="P694" s="173" t="s">
        <v>585</v>
      </c>
      <c r="Q694" s="173"/>
      <c r="R694" s="173" t="s">
        <v>585</v>
      </c>
      <c r="S694" s="173"/>
      <c r="T694" s="173" t="s">
        <v>585</v>
      </c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</row>
    <row r="695">
      <c r="A695" s="173"/>
      <c r="B695" s="173"/>
      <c r="C695" s="173"/>
      <c r="D695" s="174"/>
      <c r="E695" s="175"/>
      <c r="F695" s="175"/>
      <c r="G695" s="173" t="s">
        <v>585</v>
      </c>
      <c r="H695" s="173">
        <v>0.0</v>
      </c>
      <c r="I695" s="173"/>
      <c r="J695" s="199">
        <v>0.0</v>
      </c>
      <c r="K695" s="293"/>
      <c r="L695" s="173" t="s">
        <v>585</v>
      </c>
      <c r="M695" s="173"/>
      <c r="N695" s="199" t="s">
        <v>585</v>
      </c>
      <c r="O695" s="173"/>
      <c r="P695" s="173" t="s">
        <v>585</v>
      </c>
      <c r="Q695" s="173"/>
      <c r="R695" s="173" t="s">
        <v>585</v>
      </c>
      <c r="S695" s="173"/>
      <c r="T695" s="173" t="s">
        <v>585</v>
      </c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</row>
    <row r="696">
      <c r="A696" s="173"/>
      <c r="B696" s="173"/>
      <c r="C696" s="173"/>
      <c r="D696" s="174"/>
      <c r="E696" s="175"/>
      <c r="F696" s="175"/>
      <c r="G696" s="173" t="s">
        <v>585</v>
      </c>
      <c r="H696" s="173">
        <v>0.0</v>
      </c>
      <c r="I696" s="173"/>
      <c r="J696" s="199">
        <v>0.0</v>
      </c>
      <c r="K696" s="293"/>
      <c r="L696" s="173" t="s">
        <v>585</v>
      </c>
      <c r="M696" s="173"/>
      <c r="N696" s="199" t="s">
        <v>585</v>
      </c>
      <c r="O696" s="173"/>
      <c r="P696" s="173" t="s">
        <v>585</v>
      </c>
      <c r="Q696" s="173"/>
      <c r="R696" s="173" t="s">
        <v>585</v>
      </c>
      <c r="S696" s="173"/>
      <c r="T696" s="173" t="s">
        <v>585</v>
      </c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</row>
    <row r="697">
      <c r="A697" s="173"/>
      <c r="B697" s="173"/>
      <c r="C697" s="173"/>
      <c r="D697" s="174"/>
      <c r="E697" s="175"/>
      <c r="F697" s="175"/>
      <c r="G697" s="173" t="s">
        <v>585</v>
      </c>
      <c r="H697" s="173">
        <v>0.0</v>
      </c>
      <c r="I697" s="173"/>
      <c r="J697" s="199">
        <v>0.0</v>
      </c>
      <c r="K697" s="293"/>
      <c r="L697" s="173" t="s">
        <v>585</v>
      </c>
      <c r="M697" s="173"/>
      <c r="N697" s="199" t="s">
        <v>585</v>
      </c>
      <c r="O697" s="173"/>
      <c r="P697" s="173" t="s">
        <v>585</v>
      </c>
      <c r="Q697" s="173"/>
      <c r="R697" s="173" t="s">
        <v>585</v>
      </c>
      <c r="S697" s="173"/>
      <c r="T697" s="173" t="s">
        <v>585</v>
      </c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</row>
    <row r="698">
      <c r="A698" s="173"/>
      <c r="B698" s="173"/>
      <c r="C698" s="173"/>
      <c r="D698" s="174"/>
      <c r="E698" s="175"/>
      <c r="F698" s="175"/>
      <c r="G698" s="173" t="s">
        <v>585</v>
      </c>
      <c r="H698" s="173">
        <v>0.0</v>
      </c>
      <c r="I698" s="173"/>
      <c r="J698" s="199">
        <v>0.0</v>
      </c>
      <c r="K698" s="293"/>
      <c r="L698" s="173" t="s">
        <v>585</v>
      </c>
      <c r="M698" s="173"/>
      <c r="N698" s="199" t="s">
        <v>585</v>
      </c>
      <c r="O698" s="173"/>
      <c r="P698" s="173" t="s">
        <v>585</v>
      </c>
      <c r="Q698" s="173"/>
      <c r="R698" s="173" t="s">
        <v>585</v>
      </c>
      <c r="S698" s="173"/>
      <c r="T698" s="173" t="s">
        <v>585</v>
      </c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</row>
    <row r="699">
      <c r="A699" s="173"/>
      <c r="B699" s="173"/>
      <c r="C699" s="173"/>
      <c r="D699" s="174"/>
      <c r="E699" s="175"/>
      <c r="F699" s="175"/>
      <c r="G699" s="173" t="s">
        <v>585</v>
      </c>
      <c r="H699" s="173">
        <v>0.0</v>
      </c>
      <c r="I699" s="173"/>
      <c r="J699" s="199">
        <v>0.0</v>
      </c>
      <c r="K699" s="293"/>
      <c r="L699" s="173" t="s">
        <v>585</v>
      </c>
      <c r="M699" s="173"/>
      <c r="N699" s="199" t="s">
        <v>585</v>
      </c>
      <c r="O699" s="173"/>
      <c r="P699" s="173" t="s">
        <v>585</v>
      </c>
      <c r="Q699" s="173"/>
      <c r="R699" s="173" t="s">
        <v>585</v>
      </c>
      <c r="S699" s="173"/>
      <c r="T699" s="173" t="s">
        <v>585</v>
      </c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</row>
    <row r="700">
      <c r="A700" s="173"/>
      <c r="B700" s="173"/>
      <c r="C700" s="173"/>
      <c r="D700" s="174"/>
      <c r="E700" s="175"/>
      <c r="F700" s="175"/>
      <c r="G700" s="173" t="s">
        <v>585</v>
      </c>
      <c r="H700" s="173">
        <v>0.0</v>
      </c>
      <c r="I700" s="173"/>
      <c r="J700" s="199">
        <v>0.0</v>
      </c>
      <c r="K700" s="293"/>
      <c r="L700" s="173" t="s">
        <v>585</v>
      </c>
      <c r="M700" s="173"/>
      <c r="N700" s="199" t="s">
        <v>585</v>
      </c>
      <c r="O700" s="173"/>
      <c r="P700" s="173" t="s">
        <v>585</v>
      </c>
      <c r="Q700" s="173"/>
      <c r="R700" s="173" t="s">
        <v>585</v>
      </c>
      <c r="S700" s="173"/>
      <c r="T700" s="173" t="s">
        <v>585</v>
      </c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</row>
    <row r="701">
      <c r="A701" s="173"/>
      <c r="B701" s="173"/>
      <c r="C701" s="173"/>
      <c r="D701" s="174"/>
      <c r="E701" s="175"/>
      <c r="F701" s="175"/>
      <c r="G701" s="173" t="s">
        <v>585</v>
      </c>
      <c r="H701" s="173">
        <v>0.0</v>
      </c>
      <c r="I701" s="173"/>
      <c r="J701" s="199">
        <v>0.0</v>
      </c>
      <c r="K701" s="293"/>
      <c r="L701" s="173" t="s">
        <v>585</v>
      </c>
      <c r="M701" s="173"/>
      <c r="N701" s="199" t="s">
        <v>585</v>
      </c>
      <c r="O701" s="173"/>
      <c r="P701" s="173" t="s">
        <v>585</v>
      </c>
      <c r="Q701" s="173"/>
      <c r="R701" s="173" t="s">
        <v>585</v>
      </c>
      <c r="S701" s="173"/>
      <c r="T701" s="173" t="s">
        <v>585</v>
      </c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</row>
    <row r="702">
      <c r="A702" s="173"/>
      <c r="B702" s="173"/>
      <c r="C702" s="173"/>
      <c r="D702" s="174"/>
      <c r="E702" s="175"/>
      <c r="F702" s="175"/>
      <c r="G702" s="173" t="s">
        <v>585</v>
      </c>
      <c r="H702" s="173">
        <v>0.0</v>
      </c>
      <c r="I702" s="173"/>
      <c r="J702" s="199">
        <v>0.0</v>
      </c>
      <c r="K702" s="293"/>
      <c r="L702" s="173" t="s">
        <v>585</v>
      </c>
      <c r="M702" s="173"/>
      <c r="N702" s="199" t="s">
        <v>585</v>
      </c>
      <c r="O702" s="173"/>
      <c r="P702" s="173" t="s">
        <v>585</v>
      </c>
      <c r="Q702" s="173"/>
      <c r="R702" s="173" t="s">
        <v>585</v>
      </c>
      <c r="S702" s="173"/>
      <c r="T702" s="173" t="s">
        <v>585</v>
      </c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</row>
    <row r="703">
      <c r="A703" s="173"/>
      <c r="B703" s="173"/>
      <c r="C703" s="173"/>
      <c r="D703" s="174"/>
      <c r="E703" s="175"/>
      <c r="F703" s="175"/>
      <c r="G703" s="173" t="s">
        <v>585</v>
      </c>
      <c r="H703" s="173">
        <v>0.0</v>
      </c>
      <c r="I703" s="173"/>
      <c r="J703" s="199">
        <v>0.0</v>
      </c>
      <c r="K703" s="293"/>
      <c r="L703" s="173" t="s">
        <v>585</v>
      </c>
      <c r="M703" s="173"/>
      <c r="N703" s="199" t="s">
        <v>585</v>
      </c>
      <c r="O703" s="173"/>
      <c r="P703" s="173" t="s">
        <v>585</v>
      </c>
      <c r="Q703" s="173"/>
      <c r="R703" s="173" t="s">
        <v>585</v>
      </c>
      <c r="S703" s="173"/>
      <c r="T703" s="173" t="s">
        <v>585</v>
      </c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</row>
    <row r="704">
      <c r="A704" s="173"/>
      <c r="B704" s="173"/>
      <c r="C704" s="173"/>
      <c r="D704" s="174"/>
      <c r="E704" s="175"/>
      <c r="F704" s="175"/>
      <c r="G704" s="173" t="s">
        <v>585</v>
      </c>
      <c r="H704" s="173">
        <v>0.0</v>
      </c>
      <c r="I704" s="173"/>
      <c r="J704" s="199">
        <v>0.0</v>
      </c>
      <c r="K704" s="293"/>
      <c r="L704" s="173" t="s">
        <v>585</v>
      </c>
      <c r="M704" s="173"/>
      <c r="N704" s="199" t="s">
        <v>585</v>
      </c>
      <c r="O704" s="173"/>
      <c r="P704" s="173" t="s">
        <v>585</v>
      </c>
      <c r="Q704" s="173"/>
      <c r="R704" s="173" t="s">
        <v>585</v>
      </c>
      <c r="S704" s="173"/>
      <c r="T704" s="173" t="s">
        <v>585</v>
      </c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</row>
    <row r="705">
      <c r="A705" s="173"/>
      <c r="B705" s="173"/>
      <c r="C705" s="173"/>
      <c r="D705" s="174"/>
      <c r="E705" s="175"/>
      <c r="F705" s="175"/>
      <c r="G705" s="173" t="s">
        <v>585</v>
      </c>
      <c r="H705" s="173">
        <v>0.0</v>
      </c>
      <c r="I705" s="173"/>
      <c r="J705" s="199">
        <v>0.0</v>
      </c>
      <c r="K705" s="293"/>
      <c r="L705" s="173" t="s">
        <v>585</v>
      </c>
      <c r="M705" s="173"/>
      <c r="N705" s="199" t="s">
        <v>585</v>
      </c>
      <c r="O705" s="173"/>
      <c r="P705" s="173" t="s">
        <v>585</v>
      </c>
      <c r="Q705" s="173"/>
      <c r="R705" s="173" t="s">
        <v>585</v>
      </c>
      <c r="S705" s="173"/>
      <c r="T705" s="173" t="s">
        <v>585</v>
      </c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</row>
    <row r="706">
      <c r="A706" s="173"/>
      <c r="B706" s="173"/>
      <c r="C706" s="173"/>
      <c r="D706" s="174"/>
      <c r="E706" s="175"/>
      <c r="F706" s="175"/>
      <c r="G706" s="173" t="s">
        <v>585</v>
      </c>
      <c r="H706" s="173">
        <v>0.0</v>
      </c>
      <c r="I706" s="173"/>
      <c r="J706" s="199">
        <v>0.0</v>
      </c>
      <c r="K706" s="293"/>
      <c r="L706" s="173" t="s">
        <v>585</v>
      </c>
      <c r="M706" s="173"/>
      <c r="N706" s="199" t="s">
        <v>585</v>
      </c>
      <c r="O706" s="173"/>
      <c r="P706" s="173" t="s">
        <v>585</v>
      </c>
      <c r="Q706" s="173"/>
      <c r="R706" s="173" t="s">
        <v>585</v>
      </c>
      <c r="S706" s="173"/>
      <c r="T706" s="173" t="s">
        <v>585</v>
      </c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</row>
    <row r="707">
      <c r="A707" s="173"/>
      <c r="B707" s="173"/>
      <c r="C707" s="173"/>
      <c r="D707" s="174"/>
      <c r="E707" s="175"/>
      <c r="F707" s="175"/>
      <c r="G707" s="173" t="s">
        <v>585</v>
      </c>
      <c r="H707" s="173">
        <v>0.0</v>
      </c>
      <c r="I707" s="173"/>
      <c r="J707" s="199">
        <v>0.0</v>
      </c>
      <c r="K707" s="293"/>
      <c r="L707" s="173" t="s">
        <v>585</v>
      </c>
      <c r="M707" s="173"/>
      <c r="N707" s="199" t="s">
        <v>585</v>
      </c>
      <c r="O707" s="173"/>
      <c r="P707" s="173" t="s">
        <v>585</v>
      </c>
      <c r="Q707" s="173"/>
      <c r="R707" s="173" t="s">
        <v>585</v>
      </c>
      <c r="S707" s="173"/>
      <c r="T707" s="173" t="s">
        <v>585</v>
      </c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</row>
    <row r="708">
      <c r="A708" s="173"/>
      <c r="B708" s="173"/>
      <c r="C708" s="173"/>
      <c r="D708" s="174"/>
      <c r="E708" s="175"/>
      <c r="F708" s="175"/>
      <c r="G708" s="173" t="s">
        <v>585</v>
      </c>
      <c r="H708" s="173">
        <v>0.0</v>
      </c>
      <c r="I708" s="173"/>
      <c r="J708" s="199">
        <v>0.0</v>
      </c>
      <c r="K708" s="293"/>
      <c r="L708" s="173" t="s">
        <v>585</v>
      </c>
      <c r="M708" s="173"/>
      <c r="N708" s="199" t="s">
        <v>585</v>
      </c>
      <c r="O708" s="173"/>
      <c r="P708" s="173" t="s">
        <v>585</v>
      </c>
      <c r="Q708" s="173"/>
      <c r="R708" s="173" t="s">
        <v>585</v>
      </c>
      <c r="S708" s="173"/>
      <c r="T708" s="173" t="s">
        <v>585</v>
      </c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</row>
    <row r="709">
      <c r="A709" s="173"/>
      <c r="B709" s="173"/>
      <c r="C709" s="173"/>
      <c r="D709" s="174"/>
      <c r="E709" s="175"/>
      <c r="F709" s="175"/>
      <c r="G709" s="173" t="s">
        <v>585</v>
      </c>
      <c r="H709" s="173">
        <v>0.0</v>
      </c>
      <c r="I709" s="173"/>
      <c r="J709" s="199">
        <v>0.0</v>
      </c>
      <c r="K709" s="293"/>
      <c r="L709" s="173" t="s">
        <v>585</v>
      </c>
      <c r="M709" s="173"/>
      <c r="N709" s="199" t="s">
        <v>585</v>
      </c>
      <c r="O709" s="173"/>
      <c r="P709" s="173" t="s">
        <v>585</v>
      </c>
      <c r="Q709" s="173"/>
      <c r="R709" s="173" t="s">
        <v>585</v>
      </c>
      <c r="S709" s="173"/>
      <c r="T709" s="173" t="s">
        <v>585</v>
      </c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</row>
    <row r="710">
      <c r="A710" s="173"/>
      <c r="B710" s="173"/>
      <c r="C710" s="173"/>
      <c r="D710" s="174"/>
      <c r="E710" s="175"/>
      <c r="F710" s="175"/>
      <c r="G710" s="173" t="s">
        <v>585</v>
      </c>
      <c r="H710" s="173">
        <v>0.0</v>
      </c>
      <c r="I710" s="173"/>
      <c r="J710" s="199">
        <v>0.0</v>
      </c>
      <c r="K710" s="293"/>
      <c r="L710" s="173" t="s">
        <v>585</v>
      </c>
      <c r="M710" s="173"/>
      <c r="N710" s="199" t="s">
        <v>585</v>
      </c>
      <c r="O710" s="173"/>
      <c r="P710" s="173" t="s">
        <v>585</v>
      </c>
      <c r="Q710" s="173"/>
      <c r="R710" s="173" t="s">
        <v>585</v>
      </c>
      <c r="S710" s="173"/>
      <c r="T710" s="173" t="s">
        <v>585</v>
      </c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</row>
    <row r="711">
      <c r="A711" s="173"/>
      <c r="B711" s="173"/>
      <c r="C711" s="173"/>
      <c r="D711" s="174"/>
      <c r="E711" s="175"/>
      <c r="F711" s="175"/>
      <c r="G711" s="173" t="s">
        <v>585</v>
      </c>
      <c r="H711" s="173">
        <v>0.0</v>
      </c>
      <c r="I711" s="173"/>
      <c r="J711" s="199">
        <v>0.0</v>
      </c>
      <c r="K711" s="293"/>
      <c r="L711" s="173" t="s">
        <v>585</v>
      </c>
      <c r="M711" s="173"/>
      <c r="N711" s="199" t="s">
        <v>585</v>
      </c>
      <c r="O711" s="173"/>
      <c r="P711" s="173" t="s">
        <v>585</v>
      </c>
      <c r="Q711" s="173"/>
      <c r="R711" s="173" t="s">
        <v>585</v>
      </c>
      <c r="S711" s="173"/>
      <c r="T711" s="173" t="s">
        <v>585</v>
      </c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</row>
    <row r="712">
      <c r="A712" s="173"/>
      <c r="B712" s="173"/>
      <c r="C712" s="173"/>
      <c r="D712" s="174"/>
      <c r="E712" s="175"/>
      <c r="F712" s="175"/>
      <c r="G712" s="173" t="s">
        <v>585</v>
      </c>
      <c r="H712" s="173">
        <v>0.0</v>
      </c>
      <c r="I712" s="173"/>
      <c r="J712" s="199">
        <v>0.0</v>
      </c>
      <c r="K712" s="293"/>
      <c r="L712" s="173" t="s">
        <v>585</v>
      </c>
      <c r="M712" s="173"/>
      <c r="N712" s="199" t="s">
        <v>585</v>
      </c>
      <c r="O712" s="173"/>
      <c r="P712" s="173" t="s">
        <v>585</v>
      </c>
      <c r="Q712" s="173"/>
      <c r="R712" s="173" t="s">
        <v>585</v>
      </c>
      <c r="S712" s="173"/>
      <c r="T712" s="173" t="s">
        <v>585</v>
      </c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</row>
    <row r="713">
      <c r="A713" s="173"/>
      <c r="B713" s="173"/>
      <c r="C713" s="173"/>
      <c r="D713" s="174"/>
      <c r="E713" s="175"/>
      <c r="F713" s="175"/>
      <c r="G713" s="173" t="s">
        <v>585</v>
      </c>
      <c r="H713" s="173">
        <v>0.0</v>
      </c>
      <c r="I713" s="173"/>
      <c r="J713" s="199">
        <v>0.0</v>
      </c>
      <c r="K713" s="293"/>
      <c r="L713" s="173" t="s">
        <v>585</v>
      </c>
      <c r="M713" s="173"/>
      <c r="N713" s="199" t="s">
        <v>585</v>
      </c>
      <c r="O713" s="173"/>
      <c r="P713" s="173" t="s">
        <v>585</v>
      </c>
      <c r="Q713" s="173"/>
      <c r="R713" s="173" t="s">
        <v>585</v>
      </c>
      <c r="S713" s="173"/>
      <c r="T713" s="173" t="s">
        <v>585</v>
      </c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</row>
    <row r="714">
      <c r="A714" s="173"/>
      <c r="B714" s="173"/>
      <c r="C714" s="173"/>
      <c r="D714" s="174"/>
      <c r="E714" s="175"/>
      <c r="F714" s="175"/>
      <c r="G714" s="173" t="s">
        <v>585</v>
      </c>
      <c r="H714" s="173">
        <v>0.0</v>
      </c>
      <c r="I714" s="173"/>
      <c r="J714" s="199">
        <v>0.0</v>
      </c>
      <c r="K714" s="293"/>
      <c r="L714" s="173" t="s">
        <v>585</v>
      </c>
      <c r="M714" s="173"/>
      <c r="N714" s="199" t="s">
        <v>585</v>
      </c>
      <c r="O714" s="173"/>
      <c r="P714" s="173" t="s">
        <v>585</v>
      </c>
      <c r="Q714" s="173"/>
      <c r="R714" s="173" t="s">
        <v>585</v>
      </c>
      <c r="S714" s="173"/>
      <c r="T714" s="173" t="s">
        <v>585</v>
      </c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</row>
    <row r="715">
      <c r="A715" s="173"/>
      <c r="B715" s="173"/>
      <c r="C715" s="173"/>
      <c r="D715" s="174"/>
      <c r="E715" s="175"/>
      <c r="F715" s="175"/>
      <c r="G715" s="173" t="s">
        <v>585</v>
      </c>
      <c r="H715" s="173">
        <v>0.0</v>
      </c>
      <c r="I715" s="173"/>
      <c r="J715" s="199">
        <v>0.0</v>
      </c>
      <c r="K715" s="293"/>
      <c r="L715" s="173" t="s">
        <v>585</v>
      </c>
      <c r="M715" s="173"/>
      <c r="N715" s="199" t="s">
        <v>585</v>
      </c>
      <c r="O715" s="173"/>
      <c r="P715" s="173" t="s">
        <v>585</v>
      </c>
      <c r="Q715" s="173"/>
      <c r="R715" s="173" t="s">
        <v>585</v>
      </c>
      <c r="S715" s="173"/>
      <c r="T715" s="173" t="s">
        <v>585</v>
      </c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</row>
    <row r="716">
      <c r="A716" s="173"/>
      <c r="B716" s="173"/>
      <c r="C716" s="173"/>
      <c r="D716" s="174"/>
      <c r="E716" s="175"/>
      <c r="F716" s="175"/>
      <c r="G716" s="173" t="s">
        <v>585</v>
      </c>
      <c r="H716" s="173">
        <v>0.0</v>
      </c>
      <c r="I716" s="173"/>
      <c r="J716" s="199">
        <v>0.0</v>
      </c>
      <c r="K716" s="293"/>
      <c r="L716" s="173" t="s">
        <v>585</v>
      </c>
      <c r="M716" s="173"/>
      <c r="N716" s="199" t="s">
        <v>585</v>
      </c>
      <c r="O716" s="173"/>
      <c r="P716" s="173" t="s">
        <v>585</v>
      </c>
      <c r="Q716" s="173"/>
      <c r="R716" s="173" t="s">
        <v>585</v>
      </c>
      <c r="S716" s="173"/>
      <c r="T716" s="173" t="s">
        <v>585</v>
      </c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</row>
    <row r="717">
      <c r="A717" s="173"/>
      <c r="B717" s="173"/>
      <c r="C717" s="173"/>
      <c r="D717" s="174"/>
      <c r="E717" s="175"/>
      <c r="F717" s="175"/>
      <c r="G717" s="173" t="s">
        <v>585</v>
      </c>
      <c r="H717" s="173">
        <v>0.0</v>
      </c>
      <c r="I717" s="173"/>
      <c r="J717" s="199">
        <v>0.0</v>
      </c>
      <c r="K717" s="293"/>
      <c r="L717" s="173" t="s">
        <v>585</v>
      </c>
      <c r="M717" s="173"/>
      <c r="N717" s="199" t="s">
        <v>585</v>
      </c>
      <c r="O717" s="173"/>
      <c r="P717" s="173" t="s">
        <v>585</v>
      </c>
      <c r="Q717" s="173"/>
      <c r="R717" s="173" t="s">
        <v>585</v>
      </c>
      <c r="S717" s="173"/>
      <c r="T717" s="173" t="s">
        <v>585</v>
      </c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</row>
    <row r="718">
      <c r="A718" s="173"/>
      <c r="B718" s="173"/>
      <c r="C718" s="173"/>
      <c r="D718" s="174"/>
      <c r="E718" s="175"/>
      <c r="F718" s="175"/>
      <c r="G718" s="173" t="s">
        <v>585</v>
      </c>
      <c r="H718" s="173">
        <v>0.0</v>
      </c>
      <c r="I718" s="173"/>
      <c r="J718" s="199">
        <v>0.0</v>
      </c>
      <c r="K718" s="293"/>
      <c r="L718" s="173" t="s">
        <v>585</v>
      </c>
      <c r="M718" s="173"/>
      <c r="N718" s="199" t="s">
        <v>585</v>
      </c>
      <c r="O718" s="173"/>
      <c r="P718" s="173" t="s">
        <v>585</v>
      </c>
      <c r="Q718" s="173"/>
      <c r="R718" s="173" t="s">
        <v>585</v>
      </c>
      <c r="S718" s="173"/>
      <c r="T718" s="173" t="s">
        <v>585</v>
      </c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</row>
    <row r="719">
      <c r="A719" s="173"/>
      <c r="B719" s="173"/>
      <c r="C719" s="173"/>
      <c r="D719" s="174"/>
      <c r="E719" s="175"/>
      <c r="F719" s="175"/>
      <c r="G719" s="173" t="s">
        <v>585</v>
      </c>
      <c r="H719" s="173">
        <v>0.0</v>
      </c>
      <c r="I719" s="173"/>
      <c r="J719" s="199">
        <v>0.0</v>
      </c>
      <c r="K719" s="293"/>
      <c r="L719" s="173" t="s">
        <v>585</v>
      </c>
      <c r="M719" s="173"/>
      <c r="N719" s="199" t="s">
        <v>585</v>
      </c>
      <c r="O719" s="173"/>
      <c r="P719" s="173" t="s">
        <v>585</v>
      </c>
      <c r="Q719" s="173"/>
      <c r="R719" s="173" t="s">
        <v>585</v>
      </c>
      <c r="S719" s="173"/>
      <c r="T719" s="173" t="s">
        <v>585</v>
      </c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</row>
    <row r="720">
      <c r="A720" s="173"/>
      <c r="B720" s="173"/>
      <c r="C720" s="173"/>
      <c r="D720" s="174"/>
      <c r="E720" s="175"/>
      <c r="F720" s="175"/>
      <c r="G720" s="173" t="s">
        <v>585</v>
      </c>
      <c r="H720" s="173">
        <v>0.0</v>
      </c>
      <c r="I720" s="173"/>
      <c r="J720" s="199">
        <v>0.0</v>
      </c>
      <c r="K720" s="293"/>
      <c r="L720" s="173" t="s">
        <v>585</v>
      </c>
      <c r="M720" s="173"/>
      <c r="N720" s="199" t="s">
        <v>585</v>
      </c>
      <c r="O720" s="173"/>
      <c r="P720" s="173" t="s">
        <v>585</v>
      </c>
      <c r="Q720" s="173"/>
      <c r="R720" s="173" t="s">
        <v>585</v>
      </c>
      <c r="S720" s="173"/>
      <c r="T720" s="173" t="s">
        <v>585</v>
      </c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</row>
    <row r="721">
      <c r="A721" s="173"/>
      <c r="B721" s="173"/>
      <c r="C721" s="173"/>
      <c r="D721" s="174"/>
      <c r="E721" s="175"/>
      <c r="F721" s="175"/>
      <c r="G721" s="173" t="s">
        <v>585</v>
      </c>
      <c r="H721" s="173">
        <v>0.0</v>
      </c>
      <c r="I721" s="173"/>
      <c r="J721" s="199">
        <v>0.0</v>
      </c>
      <c r="K721" s="293"/>
      <c r="L721" s="173" t="s">
        <v>585</v>
      </c>
      <c r="M721" s="173"/>
      <c r="N721" s="199" t="s">
        <v>585</v>
      </c>
      <c r="O721" s="173"/>
      <c r="P721" s="173" t="s">
        <v>585</v>
      </c>
      <c r="Q721" s="173"/>
      <c r="R721" s="173" t="s">
        <v>585</v>
      </c>
      <c r="S721" s="173"/>
      <c r="T721" s="173" t="s">
        <v>585</v>
      </c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</row>
    <row r="722">
      <c r="A722" s="173"/>
      <c r="B722" s="173"/>
      <c r="C722" s="173"/>
      <c r="D722" s="174"/>
      <c r="E722" s="175"/>
      <c r="F722" s="175"/>
      <c r="G722" s="173" t="s">
        <v>585</v>
      </c>
      <c r="H722" s="173">
        <v>0.0</v>
      </c>
      <c r="I722" s="173"/>
      <c r="J722" s="199">
        <v>0.0</v>
      </c>
      <c r="K722" s="293"/>
      <c r="L722" s="173" t="s">
        <v>585</v>
      </c>
      <c r="M722" s="173"/>
      <c r="N722" s="199" t="s">
        <v>585</v>
      </c>
      <c r="O722" s="173"/>
      <c r="P722" s="173" t="s">
        <v>585</v>
      </c>
      <c r="Q722" s="173"/>
      <c r="R722" s="173" t="s">
        <v>585</v>
      </c>
      <c r="S722" s="173"/>
      <c r="T722" s="173" t="s">
        <v>585</v>
      </c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</row>
    <row r="723">
      <c r="A723" s="173"/>
      <c r="B723" s="173"/>
      <c r="C723" s="173"/>
      <c r="D723" s="174"/>
      <c r="E723" s="175"/>
      <c r="F723" s="175"/>
      <c r="G723" s="173" t="s">
        <v>585</v>
      </c>
      <c r="H723" s="173">
        <v>0.0</v>
      </c>
      <c r="I723" s="173"/>
      <c r="J723" s="199">
        <v>0.0</v>
      </c>
      <c r="K723" s="293"/>
      <c r="L723" s="173" t="s">
        <v>585</v>
      </c>
      <c r="M723" s="173"/>
      <c r="N723" s="199" t="s">
        <v>585</v>
      </c>
      <c r="O723" s="173"/>
      <c r="P723" s="173" t="s">
        <v>585</v>
      </c>
      <c r="Q723" s="173"/>
      <c r="R723" s="173" t="s">
        <v>585</v>
      </c>
      <c r="S723" s="173"/>
      <c r="T723" s="173" t="s">
        <v>585</v>
      </c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</row>
    <row r="724">
      <c r="A724" s="173"/>
      <c r="B724" s="173"/>
      <c r="C724" s="173"/>
      <c r="D724" s="174"/>
      <c r="E724" s="175"/>
      <c r="F724" s="175"/>
      <c r="G724" s="173" t="s">
        <v>585</v>
      </c>
      <c r="H724" s="173">
        <v>0.0</v>
      </c>
      <c r="I724" s="173"/>
      <c r="J724" s="199">
        <v>0.0</v>
      </c>
      <c r="K724" s="293"/>
      <c r="L724" s="173" t="s">
        <v>585</v>
      </c>
      <c r="M724" s="173"/>
      <c r="N724" s="199" t="s">
        <v>585</v>
      </c>
      <c r="O724" s="173"/>
      <c r="P724" s="173" t="s">
        <v>585</v>
      </c>
      <c r="Q724" s="173"/>
      <c r="R724" s="173" t="s">
        <v>585</v>
      </c>
      <c r="S724" s="173"/>
      <c r="T724" s="173" t="s">
        <v>585</v>
      </c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</row>
    <row r="725">
      <c r="A725" s="173"/>
      <c r="B725" s="173"/>
      <c r="C725" s="173"/>
      <c r="D725" s="174"/>
      <c r="E725" s="175"/>
      <c r="F725" s="175"/>
      <c r="G725" s="173" t="s">
        <v>585</v>
      </c>
      <c r="H725" s="173">
        <v>0.0</v>
      </c>
      <c r="I725" s="173"/>
      <c r="J725" s="199">
        <v>0.0</v>
      </c>
      <c r="K725" s="293"/>
      <c r="L725" s="173" t="s">
        <v>585</v>
      </c>
      <c r="M725" s="173"/>
      <c r="N725" s="199" t="s">
        <v>585</v>
      </c>
      <c r="O725" s="173"/>
      <c r="P725" s="173" t="s">
        <v>585</v>
      </c>
      <c r="Q725" s="173"/>
      <c r="R725" s="173" t="s">
        <v>585</v>
      </c>
      <c r="S725" s="173"/>
      <c r="T725" s="173" t="s">
        <v>585</v>
      </c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</row>
    <row r="726">
      <c r="A726" s="173"/>
      <c r="B726" s="173"/>
      <c r="C726" s="173"/>
      <c r="D726" s="174"/>
      <c r="E726" s="175"/>
      <c r="F726" s="175"/>
      <c r="G726" s="173" t="s">
        <v>585</v>
      </c>
      <c r="H726" s="173">
        <v>0.0</v>
      </c>
      <c r="I726" s="173"/>
      <c r="J726" s="199">
        <v>0.0</v>
      </c>
      <c r="K726" s="293"/>
      <c r="L726" s="173" t="s">
        <v>585</v>
      </c>
      <c r="M726" s="173"/>
      <c r="N726" s="199" t="s">
        <v>585</v>
      </c>
      <c r="O726" s="173"/>
      <c r="P726" s="173" t="s">
        <v>585</v>
      </c>
      <c r="Q726" s="173"/>
      <c r="R726" s="173" t="s">
        <v>585</v>
      </c>
      <c r="S726" s="173"/>
      <c r="T726" s="173" t="s">
        <v>585</v>
      </c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</row>
    <row r="727">
      <c r="A727" s="173"/>
      <c r="B727" s="173"/>
      <c r="C727" s="173"/>
      <c r="D727" s="174"/>
      <c r="E727" s="175"/>
      <c r="F727" s="175"/>
      <c r="G727" s="173" t="s">
        <v>585</v>
      </c>
      <c r="H727" s="173">
        <v>0.0</v>
      </c>
      <c r="I727" s="173"/>
      <c r="J727" s="199">
        <v>0.0</v>
      </c>
      <c r="K727" s="293"/>
      <c r="L727" s="173" t="s">
        <v>585</v>
      </c>
      <c r="M727" s="173"/>
      <c r="N727" s="199" t="s">
        <v>585</v>
      </c>
      <c r="O727" s="173"/>
      <c r="P727" s="173" t="s">
        <v>585</v>
      </c>
      <c r="Q727" s="173"/>
      <c r="R727" s="173" t="s">
        <v>585</v>
      </c>
      <c r="S727" s="173"/>
      <c r="T727" s="173" t="s">
        <v>585</v>
      </c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</row>
    <row r="728">
      <c r="A728" s="173"/>
      <c r="B728" s="173"/>
      <c r="C728" s="173"/>
      <c r="D728" s="174"/>
      <c r="E728" s="175"/>
      <c r="F728" s="175"/>
      <c r="G728" s="173" t="s">
        <v>585</v>
      </c>
      <c r="H728" s="173">
        <v>0.0</v>
      </c>
      <c r="I728" s="173"/>
      <c r="J728" s="199">
        <v>0.0</v>
      </c>
      <c r="K728" s="293"/>
      <c r="L728" s="173" t="s">
        <v>585</v>
      </c>
      <c r="M728" s="173"/>
      <c r="N728" s="199" t="s">
        <v>585</v>
      </c>
      <c r="O728" s="173"/>
      <c r="P728" s="173" t="s">
        <v>585</v>
      </c>
      <c r="Q728" s="173"/>
      <c r="R728" s="173" t="s">
        <v>585</v>
      </c>
      <c r="S728" s="173"/>
      <c r="T728" s="173" t="s">
        <v>585</v>
      </c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</row>
    <row r="729">
      <c r="A729" s="173"/>
      <c r="B729" s="173"/>
      <c r="C729" s="173"/>
      <c r="D729" s="174"/>
      <c r="E729" s="175"/>
      <c r="F729" s="175"/>
      <c r="G729" s="173" t="s">
        <v>585</v>
      </c>
      <c r="H729" s="173">
        <v>0.0</v>
      </c>
      <c r="I729" s="173"/>
      <c r="J729" s="199">
        <v>0.0</v>
      </c>
      <c r="K729" s="293"/>
      <c r="L729" s="173" t="s">
        <v>585</v>
      </c>
      <c r="M729" s="173"/>
      <c r="N729" s="199" t="s">
        <v>585</v>
      </c>
      <c r="O729" s="173"/>
      <c r="P729" s="173" t="s">
        <v>585</v>
      </c>
      <c r="Q729" s="173"/>
      <c r="R729" s="173" t="s">
        <v>585</v>
      </c>
      <c r="S729" s="173"/>
      <c r="T729" s="173" t="s">
        <v>585</v>
      </c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</row>
    <row r="730">
      <c r="A730" s="173"/>
      <c r="B730" s="173"/>
      <c r="C730" s="173"/>
      <c r="D730" s="174"/>
      <c r="E730" s="175"/>
      <c r="F730" s="175"/>
      <c r="G730" s="173" t="s">
        <v>585</v>
      </c>
      <c r="H730" s="173">
        <v>0.0</v>
      </c>
      <c r="I730" s="173"/>
      <c r="J730" s="199">
        <v>0.0</v>
      </c>
      <c r="K730" s="293"/>
      <c r="L730" s="173" t="s">
        <v>585</v>
      </c>
      <c r="M730" s="173"/>
      <c r="N730" s="199" t="s">
        <v>585</v>
      </c>
      <c r="O730" s="173"/>
      <c r="P730" s="173" t="s">
        <v>585</v>
      </c>
      <c r="Q730" s="173"/>
      <c r="R730" s="173" t="s">
        <v>585</v>
      </c>
      <c r="S730" s="173"/>
      <c r="T730" s="173" t="s">
        <v>585</v>
      </c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</row>
    <row r="731">
      <c r="A731" s="173"/>
      <c r="B731" s="173"/>
      <c r="C731" s="173"/>
      <c r="D731" s="174"/>
      <c r="E731" s="175"/>
      <c r="F731" s="175"/>
      <c r="G731" s="173" t="s">
        <v>585</v>
      </c>
      <c r="H731" s="173">
        <v>0.0</v>
      </c>
      <c r="I731" s="173"/>
      <c r="J731" s="199">
        <v>0.0</v>
      </c>
      <c r="K731" s="293"/>
      <c r="L731" s="173" t="s">
        <v>585</v>
      </c>
      <c r="M731" s="173"/>
      <c r="N731" s="199" t="s">
        <v>585</v>
      </c>
      <c r="O731" s="173"/>
      <c r="P731" s="173" t="s">
        <v>585</v>
      </c>
      <c r="Q731" s="173"/>
      <c r="R731" s="173" t="s">
        <v>585</v>
      </c>
      <c r="S731" s="173"/>
      <c r="T731" s="173" t="s">
        <v>585</v>
      </c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</row>
    <row r="732">
      <c r="A732" s="173"/>
      <c r="B732" s="173"/>
      <c r="C732" s="173"/>
      <c r="D732" s="174"/>
      <c r="E732" s="175"/>
      <c r="F732" s="175"/>
      <c r="G732" s="173" t="s">
        <v>585</v>
      </c>
      <c r="H732" s="173">
        <v>0.0</v>
      </c>
      <c r="I732" s="173"/>
      <c r="J732" s="199">
        <v>0.0</v>
      </c>
      <c r="K732" s="293"/>
      <c r="L732" s="173" t="s">
        <v>585</v>
      </c>
      <c r="M732" s="173"/>
      <c r="N732" s="199" t="s">
        <v>585</v>
      </c>
      <c r="O732" s="173"/>
      <c r="P732" s="173" t="s">
        <v>585</v>
      </c>
      <c r="Q732" s="173"/>
      <c r="R732" s="173" t="s">
        <v>585</v>
      </c>
      <c r="S732" s="173"/>
      <c r="T732" s="173" t="s">
        <v>585</v>
      </c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</row>
    <row r="733">
      <c r="A733" s="173"/>
      <c r="B733" s="173"/>
      <c r="C733" s="173"/>
      <c r="D733" s="174"/>
      <c r="E733" s="175"/>
      <c r="F733" s="175"/>
      <c r="G733" s="173" t="s">
        <v>585</v>
      </c>
      <c r="H733" s="173">
        <v>0.0</v>
      </c>
      <c r="I733" s="173"/>
      <c r="J733" s="199">
        <v>0.0</v>
      </c>
      <c r="K733" s="293"/>
      <c r="L733" s="173" t="s">
        <v>585</v>
      </c>
      <c r="M733" s="173"/>
      <c r="N733" s="199" t="s">
        <v>585</v>
      </c>
      <c r="O733" s="173"/>
      <c r="P733" s="173" t="s">
        <v>585</v>
      </c>
      <c r="Q733" s="173"/>
      <c r="R733" s="173" t="s">
        <v>585</v>
      </c>
      <c r="S733" s="173"/>
      <c r="T733" s="173" t="s">
        <v>585</v>
      </c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</row>
    <row r="734">
      <c r="A734" s="173"/>
      <c r="B734" s="173"/>
      <c r="C734" s="173"/>
      <c r="D734" s="174"/>
      <c r="E734" s="175"/>
      <c r="F734" s="175"/>
      <c r="G734" s="173" t="s">
        <v>585</v>
      </c>
      <c r="H734" s="173">
        <v>0.0</v>
      </c>
      <c r="I734" s="173"/>
      <c r="J734" s="199">
        <v>0.0</v>
      </c>
      <c r="K734" s="293"/>
      <c r="L734" s="173" t="s">
        <v>585</v>
      </c>
      <c r="M734" s="173"/>
      <c r="N734" s="199" t="s">
        <v>585</v>
      </c>
      <c r="O734" s="173"/>
      <c r="P734" s="173" t="s">
        <v>585</v>
      </c>
      <c r="Q734" s="173"/>
      <c r="R734" s="173" t="s">
        <v>585</v>
      </c>
      <c r="S734" s="173"/>
      <c r="T734" s="173" t="s">
        <v>585</v>
      </c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</row>
    <row r="735">
      <c r="A735" s="173"/>
      <c r="B735" s="173"/>
      <c r="C735" s="173"/>
      <c r="D735" s="174"/>
      <c r="E735" s="175"/>
      <c r="F735" s="175"/>
      <c r="G735" s="173" t="s">
        <v>585</v>
      </c>
      <c r="H735" s="173">
        <v>0.0</v>
      </c>
      <c r="I735" s="173"/>
      <c r="J735" s="199">
        <v>0.0</v>
      </c>
      <c r="K735" s="293"/>
      <c r="L735" s="173" t="s">
        <v>585</v>
      </c>
      <c r="M735" s="173"/>
      <c r="N735" s="199" t="s">
        <v>585</v>
      </c>
      <c r="O735" s="173"/>
      <c r="P735" s="173" t="s">
        <v>585</v>
      </c>
      <c r="Q735" s="173"/>
      <c r="R735" s="173" t="s">
        <v>585</v>
      </c>
      <c r="S735" s="173"/>
      <c r="T735" s="173" t="s">
        <v>585</v>
      </c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</row>
    <row r="736">
      <c r="A736" s="173"/>
      <c r="B736" s="173"/>
      <c r="C736" s="173"/>
      <c r="D736" s="174"/>
      <c r="E736" s="175"/>
      <c r="F736" s="175"/>
      <c r="G736" s="173" t="s">
        <v>585</v>
      </c>
      <c r="H736" s="173">
        <v>0.0</v>
      </c>
      <c r="I736" s="173"/>
      <c r="J736" s="199">
        <v>0.0</v>
      </c>
      <c r="K736" s="293"/>
      <c r="L736" s="173" t="s">
        <v>585</v>
      </c>
      <c r="M736" s="173"/>
      <c r="N736" s="199" t="s">
        <v>585</v>
      </c>
      <c r="O736" s="173"/>
      <c r="P736" s="173" t="s">
        <v>585</v>
      </c>
      <c r="Q736" s="173"/>
      <c r="R736" s="173" t="s">
        <v>585</v>
      </c>
      <c r="S736" s="173"/>
      <c r="T736" s="173" t="s">
        <v>585</v>
      </c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</row>
    <row r="737">
      <c r="A737" s="173"/>
      <c r="B737" s="173"/>
      <c r="C737" s="173"/>
      <c r="D737" s="174"/>
      <c r="E737" s="175"/>
      <c r="F737" s="175"/>
      <c r="G737" s="173" t="s">
        <v>585</v>
      </c>
      <c r="H737" s="173">
        <v>0.0</v>
      </c>
      <c r="I737" s="173"/>
      <c r="J737" s="199">
        <v>0.0</v>
      </c>
      <c r="K737" s="293"/>
      <c r="L737" s="173" t="s">
        <v>585</v>
      </c>
      <c r="M737" s="173"/>
      <c r="N737" s="199" t="s">
        <v>585</v>
      </c>
      <c r="O737" s="173"/>
      <c r="P737" s="173" t="s">
        <v>585</v>
      </c>
      <c r="Q737" s="173"/>
      <c r="R737" s="173" t="s">
        <v>585</v>
      </c>
      <c r="S737" s="173"/>
      <c r="T737" s="173" t="s">
        <v>585</v>
      </c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</row>
    <row r="738">
      <c r="A738" s="173"/>
      <c r="B738" s="173"/>
      <c r="C738" s="173"/>
      <c r="D738" s="174"/>
      <c r="E738" s="175"/>
      <c r="F738" s="175"/>
      <c r="G738" s="173" t="s">
        <v>585</v>
      </c>
      <c r="H738" s="173">
        <v>0.0</v>
      </c>
      <c r="I738" s="173"/>
      <c r="J738" s="199">
        <v>0.0</v>
      </c>
      <c r="K738" s="293"/>
      <c r="L738" s="173" t="s">
        <v>585</v>
      </c>
      <c r="M738" s="173"/>
      <c r="N738" s="199" t="s">
        <v>585</v>
      </c>
      <c r="O738" s="173"/>
      <c r="P738" s="173" t="s">
        <v>585</v>
      </c>
      <c r="Q738" s="173"/>
      <c r="R738" s="173" t="s">
        <v>585</v>
      </c>
      <c r="S738" s="173"/>
      <c r="T738" s="173" t="s">
        <v>585</v>
      </c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</row>
    <row r="739">
      <c r="A739" s="173"/>
      <c r="B739" s="173"/>
      <c r="C739" s="173"/>
      <c r="D739" s="174"/>
      <c r="E739" s="175"/>
      <c r="F739" s="175"/>
      <c r="G739" s="173" t="s">
        <v>585</v>
      </c>
      <c r="H739" s="173">
        <v>0.0</v>
      </c>
      <c r="I739" s="173"/>
      <c r="J739" s="199">
        <v>0.0</v>
      </c>
      <c r="K739" s="293"/>
      <c r="L739" s="173" t="s">
        <v>585</v>
      </c>
      <c r="M739" s="173"/>
      <c r="N739" s="199" t="s">
        <v>585</v>
      </c>
      <c r="O739" s="173"/>
      <c r="P739" s="173" t="s">
        <v>585</v>
      </c>
      <c r="Q739" s="173"/>
      <c r="R739" s="173" t="s">
        <v>585</v>
      </c>
      <c r="S739" s="173"/>
      <c r="T739" s="173" t="s">
        <v>585</v>
      </c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</row>
    <row r="740">
      <c r="A740" s="173"/>
      <c r="B740" s="173"/>
      <c r="C740" s="173"/>
      <c r="D740" s="174"/>
      <c r="E740" s="175"/>
      <c r="F740" s="175"/>
      <c r="G740" s="173" t="s">
        <v>585</v>
      </c>
      <c r="H740" s="173">
        <v>0.0</v>
      </c>
      <c r="I740" s="173"/>
      <c r="J740" s="199">
        <v>0.0</v>
      </c>
      <c r="K740" s="293"/>
      <c r="L740" s="173" t="s">
        <v>585</v>
      </c>
      <c r="M740" s="173"/>
      <c r="N740" s="199" t="s">
        <v>585</v>
      </c>
      <c r="O740" s="173"/>
      <c r="P740" s="173" t="s">
        <v>585</v>
      </c>
      <c r="Q740" s="173"/>
      <c r="R740" s="173" t="s">
        <v>585</v>
      </c>
      <c r="S740" s="173"/>
      <c r="T740" s="173" t="s">
        <v>585</v>
      </c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</row>
    <row r="741">
      <c r="A741" s="173"/>
      <c r="B741" s="173"/>
      <c r="C741" s="173"/>
      <c r="D741" s="174"/>
      <c r="E741" s="175"/>
      <c r="F741" s="175"/>
      <c r="G741" s="173" t="s">
        <v>585</v>
      </c>
      <c r="H741" s="173">
        <v>0.0</v>
      </c>
      <c r="I741" s="173"/>
      <c r="J741" s="199">
        <v>0.0</v>
      </c>
      <c r="K741" s="293"/>
      <c r="L741" s="173" t="s">
        <v>585</v>
      </c>
      <c r="M741" s="173"/>
      <c r="N741" s="199" t="s">
        <v>585</v>
      </c>
      <c r="O741" s="173"/>
      <c r="P741" s="173" t="s">
        <v>585</v>
      </c>
      <c r="Q741" s="173"/>
      <c r="R741" s="173" t="s">
        <v>585</v>
      </c>
      <c r="S741" s="173"/>
      <c r="T741" s="173" t="s">
        <v>585</v>
      </c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</row>
    <row r="742">
      <c r="A742" s="173"/>
      <c r="B742" s="173"/>
      <c r="C742" s="173"/>
      <c r="D742" s="174"/>
      <c r="E742" s="175"/>
      <c r="F742" s="175"/>
      <c r="G742" s="173" t="s">
        <v>585</v>
      </c>
      <c r="H742" s="173">
        <v>0.0</v>
      </c>
      <c r="I742" s="173"/>
      <c r="J742" s="199">
        <v>0.0</v>
      </c>
      <c r="K742" s="293"/>
      <c r="L742" s="173" t="s">
        <v>585</v>
      </c>
      <c r="M742" s="173"/>
      <c r="N742" s="199" t="s">
        <v>585</v>
      </c>
      <c r="O742" s="173"/>
      <c r="P742" s="173" t="s">
        <v>585</v>
      </c>
      <c r="Q742" s="173"/>
      <c r="R742" s="173" t="s">
        <v>585</v>
      </c>
      <c r="S742" s="173"/>
      <c r="T742" s="173" t="s">
        <v>585</v>
      </c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</row>
    <row r="743">
      <c r="A743" s="173"/>
      <c r="B743" s="173"/>
      <c r="C743" s="173"/>
      <c r="D743" s="174"/>
      <c r="E743" s="175"/>
      <c r="F743" s="175"/>
      <c r="G743" s="173" t="s">
        <v>585</v>
      </c>
      <c r="H743" s="173">
        <v>0.0</v>
      </c>
      <c r="I743" s="173"/>
      <c r="J743" s="199">
        <v>0.0</v>
      </c>
      <c r="K743" s="293"/>
      <c r="L743" s="173" t="s">
        <v>585</v>
      </c>
      <c r="M743" s="173"/>
      <c r="N743" s="199" t="s">
        <v>585</v>
      </c>
      <c r="O743" s="173"/>
      <c r="P743" s="173" t="s">
        <v>585</v>
      </c>
      <c r="Q743" s="173"/>
      <c r="R743" s="173" t="s">
        <v>585</v>
      </c>
      <c r="S743" s="173"/>
      <c r="T743" s="173" t="s">
        <v>585</v>
      </c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</row>
    <row r="744">
      <c r="A744" s="173"/>
      <c r="B744" s="173"/>
      <c r="C744" s="173"/>
      <c r="D744" s="174"/>
      <c r="E744" s="175"/>
      <c r="F744" s="175"/>
      <c r="G744" s="173" t="s">
        <v>585</v>
      </c>
      <c r="H744" s="173">
        <v>0.0</v>
      </c>
      <c r="I744" s="173"/>
      <c r="J744" s="199">
        <v>0.0</v>
      </c>
      <c r="K744" s="293"/>
      <c r="L744" s="173" t="s">
        <v>585</v>
      </c>
      <c r="M744" s="173"/>
      <c r="N744" s="199" t="s">
        <v>585</v>
      </c>
      <c r="O744" s="173"/>
      <c r="P744" s="173" t="s">
        <v>585</v>
      </c>
      <c r="Q744" s="173"/>
      <c r="R744" s="173" t="s">
        <v>585</v>
      </c>
      <c r="S744" s="173"/>
      <c r="T744" s="173" t="s">
        <v>585</v>
      </c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</row>
    <row r="745">
      <c r="A745" s="173"/>
      <c r="B745" s="173"/>
      <c r="C745" s="173"/>
      <c r="D745" s="174"/>
      <c r="E745" s="175"/>
      <c r="F745" s="175"/>
      <c r="G745" s="173" t="s">
        <v>585</v>
      </c>
      <c r="H745" s="173">
        <v>0.0</v>
      </c>
      <c r="I745" s="173"/>
      <c r="J745" s="199">
        <v>0.0</v>
      </c>
      <c r="K745" s="293"/>
      <c r="L745" s="173" t="s">
        <v>585</v>
      </c>
      <c r="M745" s="173"/>
      <c r="N745" s="199" t="s">
        <v>585</v>
      </c>
      <c r="O745" s="173"/>
      <c r="P745" s="173" t="s">
        <v>585</v>
      </c>
      <c r="Q745" s="173"/>
      <c r="R745" s="173" t="s">
        <v>585</v>
      </c>
      <c r="S745" s="173"/>
      <c r="T745" s="173" t="s">
        <v>585</v>
      </c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</row>
    <row r="746">
      <c r="A746" s="173"/>
      <c r="B746" s="173"/>
      <c r="C746" s="173"/>
      <c r="D746" s="174"/>
      <c r="E746" s="175"/>
      <c r="F746" s="175"/>
      <c r="G746" s="173" t="s">
        <v>585</v>
      </c>
      <c r="H746" s="173">
        <v>0.0</v>
      </c>
      <c r="I746" s="173"/>
      <c r="J746" s="199">
        <v>0.0</v>
      </c>
      <c r="K746" s="293"/>
      <c r="L746" s="173" t="s">
        <v>585</v>
      </c>
      <c r="M746" s="173"/>
      <c r="N746" s="199" t="s">
        <v>585</v>
      </c>
      <c r="O746" s="173"/>
      <c r="P746" s="173" t="s">
        <v>585</v>
      </c>
      <c r="Q746" s="173"/>
      <c r="R746" s="173" t="s">
        <v>585</v>
      </c>
      <c r="S746" s="173"/>
      <c r="T746" s="173" t="s">
        <v>585</v>
      </c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</row>
    <row r="747">
      <c r="A747" s="173"/>
      <c r="B747" s="173"/>
      <c r="C747" s="173"/>
      <c r="D747" s="174"/>
      <c r="E747" s="175"/>
      <c r="F747" s="175"/>
      <c r="G747" s="173" t="s">
        <v>585</v>
      </c>
      <c r="H747" s="173">
        <v>0.0</v>
      </c>
      <c r="I747" s="173"/>
      <c r="J747" s="199">
        <v>0.0</v>
      </c>
      <c r="K747" s="293"/>
      <c r="L747" s="173" t="s">
        <v>585</v>
      </c>
      <c r="M747" s="173"/>
      <c r="N747" s="199" t="s">
        <v>585</v>
      </c>
      <c r="O747" s="173"/>
      <c r="P747" s="173" t="s">
        <v>585</v>
      </c>
      <c r="Q747" s="173"/>
      <c r="R747" s="173" t="s">
        <v>585</v>
      </c>
      <c r="S747" s="173"/>
      <c r="T747" s="173" t="s">
        <v>585</v>
      </c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</row>
    <row r="748">
      <c r="A748" s="173"/>
      <c r="B748" s="173"/>
      <c r="C748" s="173"/>
      <c r="D748" s="174"/>
      <c r="E748" s="175"/>
      <c r="F748" s="175"/>
      <c r="G748" s="173" t="s">
        <v>585</v>
      </c>
      <c r="H748" s="173">
        <v>0.0</v>
      </c>
      <c r="I748" s="173"/>
      <c r="J748" s="199">
        <v>0.0</v>
      </c>
      <c r="K748" s="293"/>
      <c r="L748" s="173" t="s">
        <v>585</v>
      </c>
      <c r="M748" s="173"/>
      <c r="N748" s="199" t="s">
        <v>585</v>
      </c>
      <c r="O748" s="173"/>
      <c r="P748" s="173" t="s">
        <v>585</v>
      </c>
      <c r="Q748" s="173"/>
      <c r="R748" s="173" t="s">
        <v>585</v>
      </c>
      <c r="S748" s="173"/>
      <c r="T748" s="173" t="s">
        <v>585</v>
      </c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</row>
    <row r="749">
      <c r="A749" s="173"/>
      <c r="B749" s="173"/>
      <c r="C749" s="173"/>
      <c r="D749" s="174"/>
      <c r="E749" s="175"/>
      <c r="F749" s="175"/>
      <c r="G749" s="173" t="s">
        <v>585</v>
      </c>
      <c r="H749" s="173">
        <v>0.0</v>
      </c>
      <c r="I749" s="173"/>
      <c r="J749" s="199">
        <v>0.0</v>
      </c>
      <c r="K749" s="293"/>
      <c r="L749" s="173" t="s">
        <v>585</v>
      </c>
      <c r="M749" s="173"/>
      <c r="N749" s="199" t="s">
        <v>585</v>
      </c>
      <c r="O749" s="173"/>
      <c r="P749" s="173" t="s">
        <v>585</v>
      </c>
      <c r="Q749" s="173"/>
      <c r="R749" s="173" t="s">
        <v>585</v>
      </c>
      <c r="S749" s="173"/>
      <c r="T749" s="173" t="s">
        <v>585</v>
      </c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</row>
    <row r="750">
      <c r="A750" s="173"/>
      <c r="B750" s="173"/>
      <c r="C750" s="173"/>
      <c r="D750" s="174"/>
      <c r="E750" s="175"/>
      <c r="F750" s="175"/>
      <c r="G750" s="173" t="s">
        <v>585</v>
      </c>
      <c r="H750" s="173">
        <v>0.0</v>
      </c>
      <c r="I750" s="173"/>
      <c r="J750" s="199">
        <v>0.0</v>
      </c>
      <c r="K750" s="293"/>
      <c r="L750" s="173" t="s">
        <v>585</v>
      </c>
      <c r="M750" s="173"/>
      <c r="N750" s="199" t="s">
        <v>585</v>
      </c>
      <c r="O750" s="173"/>
      <c r="P750" s="173" t="s">
        <v>585</v>
      </c>
      <c r="Q750" s="173"/>
      <c r="R750" s="173" t="s">
        <v>585</v>
      </c>
      <c r="S750" s="173"/>
      <c r="T750" s="173" t="s">
        <v>585</v>
      </c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</row>
    <row r="751">
      <c r="A751" s="173"/>
      <c r="B751" s="173"/>
      <c r="C751" s="173"/>
      <c r="D751" s="174"/>
      <c r="E751" s="175"/>
      <c r="F751" s="175"/>
      <c r="G751" s="173" t="s">
        <v>585</v>
      </c>
      <c r="H751" s="173">
        <v>0.0</v>
      </c>
      <c r="I751" s="173"/>
      <c r="J751" s="199">
        <v>0.0</v>
      </c>
      <c r="K751" s="293"/>
      <c r="L751" s="173" t="s">
        <v>585</v>
      </c>
      <c r="M751" s="173"/>
      <c r="N751" s="199" t="s">
        <v>585</v>
      </c>
      <c r="O751" s="173"/>
      <c r="P751" s="173" t="s">
        <v>585</v>
      </c>
      <c r="Q751" s="173"/>
      <c r="R751" s="173" t="s">
        <v>585</v>
      </c>
      <c r="S751" s="173"/>
      <c r="T751" s="173" t="s">
        <v>585</v>
      </c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</row>
    <row r="752">
      <c r="A752" s="173"/>
      <c r="B752" s="173"/>
      <c r="C752" s="173"/>
      <c r="D752" s="174"/>
      <c r="E752" s="175"/>
      <c r="F752" s="175"/>
      <c r="G752" s="173" t="s">
        <v>585</v>
      </c>
      <c r="H752" s="173">
        <v>0.0</v>
      </c>
      <c r="I752" s="173"/>
      <c r="J752" s="199">
        <v>0.0</v>
      </c>
      <c r="K752" s="293"/>
      <c r="L752" s="173" t="s">
        <v>585</v>
      </c>
      <c r="M752" s="173"/>
      <c r="N752" s="199" t="s">
        <v>585</v>
      </c>
      <c r="O752" s="173"/>
      <c r="P752" s="173" t="s">
        <v>585</v>
      </c>
      <c r="Q752" s="173"/>
      <c r="R752" s="173" t="s">
        <v>585</v>
      </c>
      <c r="S752" s="173"/>
      <c r="T752" s="173" t="s">
        <v>585</v>
      </c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</row>
    <row r="753">
      <c r="A753" s="173"/>
      <c r="B753" s="173"/>
      <c r="C753" s="173"/>
      <c r="D753" s="174"/>
      <c r="E753" s="175"/>
      <c r="F753" s="175"/>
      <c r="G753" s="173" t="s">
        <v>585</v>
      </c>
      <c r="H753" s="173">
        <v>0.0</v>
      </c>
      <c r="I753" s="173"/>
      <c r="J753" s="199">
        <v>0.0</v>
      </c>
      <c r="K753" s="293"/>
      <c r="L753" s="173" t="s">
        <v>585</v>
      </c>
      <c r="M753" s="173"/>
      <c r="N753" s="199" t="s">
        <v>585</v>
      </c>
      <c r="O753" s="173"/>
      <c r="P753" s="173" t="s">
        <v>585</v>
      </c>
      <c r="Q753" s="173"/>
      <c r="R753" s="173" t="s">
        <v>585</v>
      </c>
      <c r="S753" s="173"/>
      <c r="T753" s="173" t="s">
        <v>585</v>
      </c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</row>
    <row r="754">
      <c r="A754" s="173"/>
      <c r="B754" s="173"/>
      <c r="C754" s="173"/>
      <c r="D754" s="174"/>
      <c r="E754" s="175"/>
      <c r="F754" s="175"/>
      <c r="G754" s="173" t="s">
        <v>585</v>
      </c>
      <c r="H754" s="173">
        <v>0.0</v>
      </c>
      <c r="I754" s="173"/>
      <c r="J754" s="199">
        <v>0.0</v>
      </c>
      <c r="K754" s="293"/>
      <c r="L754" s="173" t="s">
        <v>585</v>
      </c>
      <c r="M754" s="173"/>
      <c r="N754" s="199" t="s">
        <v>585</v>
      </c>
      <c r="O754" s="173"/>
      <c r="P754" s="173" t="s">
        <v>585</v>
      </c>
      <c r="Q754" s="173"/>
      <c r="R754" s="173" t="s">
        <v>585</v>
      </c>
      <c r="S754" s="173"/>
      <c r="T754" s="173" t="s">
        <v>585</v>
      </c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</row>
    <row r="755">
      <c r="A755" s="173"/>
      <c r="B755" s="173"/>
      <c r="C755" s="173"/>
      <c r="D755" s="174"/>
      <c r="E755" s="175"/>
      <c r="F755" s="175"/>
      <c r="G755" s="173" t="s">
        <v>585</v>
      </c>
      <c r="H755" s="173">
        <v>0.0</v>
      </c>
      <c r="I755" s="173"/>
      <c r="J755" s="199">
        <v>0.0</v>
      </c>
      <c r="K755" s="293"/>
      <c r="L755" s="173" t="s">
        <v>585</v>
      </c>
      <c r="M755" s="173"/>
      <c r="N755" s="199" t="s">
        <v>585</v>
      </c>
      <c r="O755" s="173"/>
      <c r="P755" s="173" t="s">
        <v>585</v>
      </c>
      <c r="Q755" s="173"/>
      <c r="R755" s="173" t="s">
        <v>585</v>
      </c>
      <c r="S755" s="173"/>
      <c r="T755" s="173" t="s">
        <v>585</v>
      </c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</row>
    <row r="756">
      <c r="A756" s="173"/>
      <c r="B756" s="173"/>
      <c r="C756" s="173"/>
      <c r="D756" s="174"/>
      <c r="E756" s="175"/>
      <c r="F756" s="175"/>
      <c r="G756" s="173" t="s">
        <v>585</v>
      </c>
      <c r="H756" s="173">
        <v>0.0</v>
      </c>
      <c r="I756" s="173"/>
      <c r="J756" s="199">
        <v>0.0</v>
      </c>
      <c r="K756" s="293"/>
      <c r="L756" s="173" t="s">
        <v>585</v>
      </c>
      <c r="M756" s="173"/>
      <c r="N756" s="199" t="s">
        <v>585</v>
      </c>
      <c r="O756" s="173"/>
      <c r="P756" s="173" t="s">
        <v>585</v>
      </c>
      <c r="Q756" s="173"/>
      <c r="R756" s="173" t="s">
        <v>585</v>
      </c>
      <c r="S756" s="173"/>
      <c r="T756" s="173" t="s">
        <v>585</v>
      </c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</row>
    <row r="757">
      <c r="A757" s="173"/>
      <c r="B757" s="173"/>
      <c r="C757" s="173"/>
      <c r="D757" s="174"/>
      <c r="E757" s="175"/>
      <c r="F757" s="175"/>
      <c r="G757" s="173" t="s">
        <v>585</v>
      </c>
      <c r="H757" s="173">
        <v>0.0</v>
      </c>
      <c r="I757" s="173"/>
      <c r="J757" s="199">
        <v>0.0</v>
      </c>
      <c r="K757" s="293"/>
      <c r="L757" s="173" t="s">
        <v>585</v>
      </c>
      <c r="M757" s="173"/>
      <c r="N757" s="199" t="s">
        <v>585</v>
      </c>
      <c r="O757" s="173"/>
      <c r="P757" s="173" t="s">
        <v>585</v>
      </c>
      <c r="Q757" s="173"/>
      <c r="R757" s="173" t="s">
        <v>585</v>
      </c>
      <c r="S757" s="173"/>
      <c r="T757" s="173" t="s">
        <v>585</v>
      </c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</row>
    <row r="758">
      <c r="A758" s="173"/>
      <c r="B758" s="173"/>
      <c r="C758" s="173"/>
      <c r="D758" s="174"/>
      <c r="E758" s="175"/>
      <c r="F758" s="175"/>
      <c r="G758" s="173" t="s">
        <v>585</v>
      </c>
      <c r="H758" s="173">
        <v>0.0</v>
      </c>
      <c r="I758" s="173"/>
      <c r="J758" s="199">
        <v>0.0</v>
      </c>
      <c r="K758" s="293"/>
      <c r="L758" s="173" t="s">
        <v>585</v>
      </c>
      <c r="M758" s="173"/>
      <c r="N758" s="199" t="s">
        <v>585</v>
      </c>
      <c r="O758" s="173"/>
      <c r="P758" s="173" t="s">
        <v>585</v>
      </c>
      <c r="Q758" s="173"/>
      <c r="R758" s="173" t="s">
        <v>585</v>
      </c>
      <c r="S758" s="173"/>
      <c r="T758" s="173" t="s">
        <v>585</v>
      </c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</row>
    <row r="759">
      <c r="A759" s="173"/>
      <c r="B759" s="173"/>
      <c r="C759" s="173"/>
      <c r="D759" s="174"/>
      <c r="E759" s="175"/>
      <c r="F759" s="175"/>
      <c r="G759" s="173" t="s">
        <v>585</v>
      </c>
      <c r="H759" s="173">
        <v>0.0</v>
      </c>
      <c r="I759" s="173"/>
      <c r="J759" s="199">
        <v>0.0</v>
      </c>
      <c r="K759" s="293"/>
      <c r="L759" s="173" t="s">
        <v>585</v>
      </c>
      <c r="M759" s="173"/>
      <c r="N759" s="199" t="s">
        <v>585</v>
      </c>
      <c r="O759" s="173"/>
      <c r="P759" s="173" t="s">
        <v>585</v>
      </c>
      <c r="Q759" s="173"/>
      <c r="R759" s="173" t="s">
        <v>585</v>
      </c>
      <c r="S759" s="173"/>
      <c r="T759" s="173" t="s">
        <v>585</v>
      </c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</row>
    <row r="760">
      <c r="A760" s="173"/>
      <c r="B760" s="173"/>
      <c r="C760" s="173"/>
      <c r="D760" s="174"/>
      <c r="E760" s="175"/>
      <c r="F760" s="175"/>
      <c r="G760" s="173" t="s">
        <v>585</v>
      </c>
      <c r="H760" s="173">
        <v>0.0</v>
      </c>
      <c r="I760" s="173"/>
      <c r="J760" s="199">
        <v>0.0</v>
      </c>
      <c r="K760" s="293"/>
      <c r="L760" s="173" t="s">
        <v>585</v>
      </c>
      <c r="M760" s="173"/>
      <c r="N760" s="199" t="s">
        <v>585</v>
      </c>
      <c r="O760" s="173"/>
      <c r="P760" s="173" t="s">
        <v>585</v>
      </c>
      <c r="Q760" s="173"/>
      <c r="R760" s="173" t="s">
        <v>585</v>
      </c>
      <c r="S760" s="173"/>
      <c r="T760" s="173" t="s">
        <v>585</v>
      </c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</row>
    <row r="761">
      <c r="A761" s="173"/>
      <c r="B761" s="173"/>
      <c r="C761" s="173"/>
      <c r="D761" s="174"/>
      <c r="E761" s="175"/>
      <c r="F761" s="175"/>
      <c r="G761" s="173" t="s">
        <v>585</v>
      </c>
      <c r="H761" s="173">
        <v>0.0</v>
      </c>
      <c r="I761" s="173"/>
      <c r="J761" s="199">
        <v>0.0</v>
      </c>
      <c r="K761" s="293"/>
      <c r="L761" s="173" t="s">
        <v>585</v>
      </c>
      <c r="M761" s="173"/>
      <c r="N761" s="199" t="s">
        <v>585</v>
      </c>
      <c r="O761" s="173"/>
      <c r="P761" s="173" t="s">
        <v>585</v>
      </c>
      <c r="Q761" s="173"/>
      <c r="R761" s="173" t="s">
        <v>585</v>
      </c>
      <c r="S761" s="173"/>
      <c r="T761" s="173" t="s">
        <v>585</v>
      </c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</row>
    <row r="762">
      <c r="A762" s="173"/>
      <c r="B762" s="173"/>
      <c r="C762" s="173"/>
      <c r="D762" s="174"/>
      <c r="E762" s="175"/>
      <c r="F762" s="175"/>
      <c r="G762" s="173" t="s">
        <v>585</v>
      </c>
      <c r="H762" s="173">
        <v>0.0</v>
      </c>
      <c r="I762" s="173"/>
      <c r="J762" s="199">
        <v>0.0</v>
      </c>
      <c r="K762" s="293"/>
      <c r="L762" s="173" t="s">
        <v>585</v>
      </c>
      <c r="M762" s="173"/>
      <c r="N762" s="199" t="s">
        <v>585</v>
      </c>
      <c r="O762" s="173"/>
      <c r="P762" s="173" t="s">
        <v>585</v>
      </c>
      <c r="Q762" s="173"/>
      <c r="R762" s="173" t="s">
        <v>585</v>
      </c>
      <c r="S762" s="173"/>
      <c r="T762" s="173" t="s">
        <v>585</v>
      </c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</row>
    <row r="763">
      <c r="A763" s="173"/>
      <c r="B763" s="173"/>
      <c r="C763" s="173"/>
      <c r="D763" s="174"/>
      <c r="E763" s="175"/>
      <c r="F763" s="175"/>
      <c r="G763" s="173" t="s">
        <v>585</v>
      </c>
      <c r="H763" s="173">
        <v>0.0</v>
      </c>
      <c r="I763" s="173"/>
      <c r="J763" s="199">
        <v>0.0</v>
      </c>
      <c r="K763" s="293"/>
      <c r="L763" s="173" t="s">
        <v>585</v>
      </c>
      <c r="M763" s="173"/>
      <c r="N763" s="199" t="s">
        <v>585</v>
      </c>
      <c r="O763" s="173"/>
      <c r="P763" s="173" t="s">
        <v>585</v>
      </c>
      <c r="Q763" s="173"/>
      <c r="R763" s="173" t="s">
        <v>585</v>
      </c>
      <c r="S763" s="173"/>
      <c r="T763" s="173" t="s">
        <v>585</v>
      </c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</row>
    <row r="764">
      <c r="A764" s="173"/>
      <c r="B764" s="173"/>
      <c r="C764" s="173"/>
      <c r="D764" s="174"/>
      <c r="E764" s="175"/>
      <c r="F764" s="175"/>
      <c r="G764" s="173" t="s">
        <v>585</v>
      </c>
      <c r="H764" s="173">
        <v>0.0</v>
      </c>
      <c r="I764" s="173"/>
      <c r="J764" s="199">
        <v>0.0</v>
      </c>
      <c r="K764" s="293"/>
      <c r="L764" s="173" t="s">
        <v>585</v>
      </c>
      <c r="M764" s="173"/>
      <c r="N764" s="199" t="s">
        <v>585</v>
      </c>
      <c r="O764" s="173"/>
      <c r="P764" s="173" t="s">
        <v>585</v>
      </c>
      <c r="Q764" s="173"/>
      <c r="R764" s="173" t="s">
        <v>585</v>
      </c>
      <c r="S764" s="173"/>
      <c r="T764" s="173" t="s">
        <v>585</v>
      </c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</row>
    <row r="765">
      <c r="A765" s="173"/>
      <c r="B765" s="173"/>
      <c r="C765" s="173"/>
      <c r="D765" s="174"/>
      <c r="E765" s="175"/>
      <c r="F765" s="175"/>
      <c r="G765" s="173" t="s">
        <v>585</v>
      </c>
      <c r="H765" s="173">
        <v>0.0</v>
      </c>
      <c r="I765" s="173"/>
      <c r="J765" s="199">
        <v>0.0</v>
      </c>
      <c r="K765" s="293"/>
      <c r="L765" s="173" t="s">
        <v>585</v>
      </c>
      <c r="M765" s="173"/>
      <c r="N765" s="199" t="s">
        <v>585</v>
      </c>
      <c r="O765" s="173"/>
      <c r="P765" s="173" t="s">
        <v>585</v>
      </c>
      <c r="Q765" s="173"/>
      <c r="R765" s="173" t="s">
        <v>585</v>
      </c>
      <c r="S765" s="173"/>
      <c r="T765" s="173" t="s">
        <v>585</v>
      </c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</row>
    <row r="766">
      <c r="A766" s="173"/>
      <c r="B766" s="173"/>
      <c r="C766" s="173"/>
      <c r="D766" s="174"/>
      <c r="E766" s="175"/>
      <c r="F766" s="175"/>
      <c r="G766" s="173" t="s">
        <v>585</v>
      </c>
      <c r="H766" s="173">
        <v>0.0</v>
      </c>
      <c r="I766" s="173"/>
      <c r="J766" s="199">
        <v>0.0</v>
      </c>
      <c r="K766" s="293"/>
      <c r="L766" s="173" t="s">
        <v>585</v>
      </c>
      <c r="M766" s="173"/>
      <c r="N766" s="199" t="s">
        <v>585</v>
      </c>
      <c r="O766" s="173"/>
      <c r="P766" s="173" t="s">
        <v>585</v>
      </c>
      <c r="Q766" s="173"/>
      <c r="R766" s="173" t="s">
        <v>585</v>
      </c>
      <c r="S766" s="173"/>
      <c r="T766" s="173" t="s">
        <v>585</v>
      </c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</row>
    <row r="767">
      <c r="A767" s="173"/>
      <c r="B767" s="173"/>
      <c r="C767" s="173"/>
      <c r="D767" s="174"/>
      <c r="E767" s="175"/>
      <c r="F767" s="175"/>
      <c r="G767" s="173" t="s">
        <v>585</v>
      </c>
      <c r="H767" s="173">
        <v>0.0</v>
      </c>
      <c r="I767" s="173"/>
      <c r="J767" s="199">
        <v>0.0</v>
      </c>
      <c r="K767" s="293"/>
      <c r="L767" s="173" t="s">
        <v>585</v>
      </c>
      <c r="M767" s="173"/>
      <c r="N767" s="199" t="s">
        <v>585</v>
      </c>
      <c r="O767" s="173"/>
      <c r="P767" s="173" t="s">
        <v>585</v>
      </c>
      <c r="Q767" s="173"/>
      <c r="R767" s="173" t="s">
        <v>585</v>
      </c>
      <c r="S767" s="173"/>
      <c r="T767" s="173" t="s">
        <v>585</v>
      </c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</row>
    <row r="768">
      <c r="A768" s="173"/>
      <c r="B768" s="173"/>
      <c r="C768" s="173"/>
      <c r="D768" s="174"/>
      <c r="E768" s="175"/>
      <c r="F768" s="175"/>
      <c r="G768" s="173" t="s">
        <v>585</v>
      </c>
      <c r="H768" s="173">
        <v>0.0</v>
      </c>
      <c r="I768" s="173"/>
      <c r="J768" s="199">
        <v>0.0</v>
      </c>
      <c r="K768" s="293"/>
      <c r="L768" s="173" t="s">
        <v>585</v>
      </c>
      <c r="M768" s="173"/>
      <c r="N768" s="199" t="s">
        <v>585</v>
      </c>
      <c r="O768" s="173"/>
      <c r="P768" s="173" t="s">
        <v>585</v>
      </c>
      <c r="Q768" s="173"/>
      <c r="R768" s="173" t="s">
        <v>585</v>
      </c>
      <c r="S768" s="173"/>
      <c r="T768" s="173" t="s">
        <v>585</v>
      </c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</row>
    <row r="769">
      <c r="A769" s="173"/>
      <c r="B769" s="173"/>
      <c r="C769" s="173"/>
      <c r="D769" s="174"/>
      <c r="E769" s="175"/>
      <c r="F769" s="175"/>
      <c r="G769" s="173" t="s">
        <v>585</v>
      </c>
      <c r="H769" s="173">
        <v>0.0</v>
      </c>
      <c r="I769" s="173"/>
      <c r="J769" s="199">
        <v>0.0</v>
      </c>
      <c r="K769" s="293"/>
      <c r="L769" s="173" t="s">
        <v>585</v>
      </c>
      <c r="M769" s="173"/>
      <c r="N769" s="199" t="s">
        <v>585</v>
      </c>
      <c r="O769" s="173"/>
      <c r="P769" s="173" t="s">
        <v>585</v>
      </c>
      <c r="Q769" s="173"/>
      <c r="R769" s="173" t="s">
        <v>585</v>
      </c>
      <c r="S769" s="173"/>
      <c r="T769" s="173" t="s">
        <v>585</v>
      </c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</row>
    <row r="770">
      <c r="A770" s="173"/>
      <c r="B770" s="173"/>
      <c r="C770" s="173"/>
      <c r="D770" s="174"/>
      <c r="E770" s="175"/>
      <c r="F770" s="175"/>
      <c r="G770" s="173" t="s">
        <v>585</v>
      </c>
      <c r="H770" s="173">
        <v>0.0</v>
      </c>
      <c r="I770" s="173"/>
      <c r="J770" s="199">
        <v>0.0</v>
      </c>
      <c r="K770" s="293"/>
      <c r="L770" s="173" t="s">
        <v>585</v>
      </c>
      <c r="M770" s="173"/>
      <c r="N770" s="199" t="s">
        <v>585</v>
      </c>
      <c r="O770" s="173"/>
      <c r="P770" s="173" t="s">
        <v>585</v>
      </c>
      <c r="Q770" s="173"/>
      <c r="R770" s="173" t="s">
        <v>585</v>
      </c>
      <c r="S770" s="173"/>
      <c r="T770" s="173" t="s">
        <v>585</v>
      </c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</row>
    <row r="771">
      <c r="A771" s="173"/>
      <c r="B771" s="173"/>
      <c r="C771" s="173"/>
      <c r="D771" s="174"/>
      <c r="E771" s="175"/>
      <c r="F771" s="175"/>
      <c r="G771" s="173" t="s">
        <v>585</v>
      </c>
      <c r="H771" s="173">
        <v>0.0</v>
      </c>
      <c r="I771" s="173"/>
      <c r="J771" s="199">
        <v>0.0</v>
      </c>
      <c r="K771" s="293"/>
      <c r="L771" s="173" t="s">
        <v>585</v>
      </c>
      <c r="M771" s="173"/>
      <c r="N771" s="199" t="s">
        <v>585</v>
      </c>
      <c r="O771" s="173"/>
      <c r="P771" s="173" t="s">
        <v>585</v>
      </c>
      <c r="Q771" s="173"/>
      <c r="R771" s="173" t="s">
        <v>585</v>
      </c>
      <c r="S771" s="173"/>
      <c r="T771" s="173" t="s">
        <v>585</v>
      </c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</row>
    <row r="772">
      <c r="A772" s="173"/>
      <c r="B772" s="173"/>
      <c r="C772" s="173"/>
      <c r="D772" s="174"/>
      <c r="E772" s="175"/>
      <c r="F772" s="175"/>
      <c r="G772" s="173" t="s">
        <v>585</v>
      </c>
      <c r="H772" s="173">
        <v>0.0</v>
      </c>
      <c r="I772" s="173"/>
      <c r="J772" s="199">
        <v>0.0</v>
      </c>
      <c r="K772" s="293"/>
      <c r="L772" s="173" t="s">
        <v>585</v>
      </c>
      <c r="M772" s="173"/>
      <c r="N772" s="199" t="s">
        <v>585</v>
      </c>
      <c r="O772" s="173"/>
      <c r="P772" s="173" t="s">
        <v>585</v>
      </c>
      <c r="Q772" s="173"/>
      <c r="R772" s="173" t="s">
        <v>585</v>
      </c>
      <c r="S772" s="173"/>
      <c r="T772" s="173" t="s">
        <v>585</v>
      </c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</row>
    <row r="773">
      <c r="A773" s="173"/>
      <c r="B773" s="173"/>
      <c r="C773" s="173"/>
      <c r="D773" s="174"/>
      <c r="E773" s="175"/>
      <c r="F773" s="175"/>
      <c r="G773" s="173" t="s">
        <v>585</v>
      </c>
      <c r="H773" s="173">
        <v>0.0</v>
      </c>
      <c r="I773" s="173"/>
      <c r="J773" s="199">
        <v>0.0</v>
      </c>
      <c r="K773" s="293"/>
      <c r="L773" s="173" t="s">
        <v>585</v>
      </c>
      <c r="M773" s="173"/>
      <c r="N773" s="199" t="s">
        <v>585</v>
      </c>
      <c r="O773" s="173"/>
      <c r="P773" s="173" t="s">
        <v>585</v>
      </c>
      <c r="Q773" s="173"/>
      <c r="R773" s="173" t="s">
        <v>585</v>
      </c>
      <c r="S773" s="173"/>
      <c r="T773" s="173" t="s">
        <v>585</v>
      </c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</row>
    <row r="774">
      <c r="A774" s="173"/>
      <c r="B774" s="173"/>
      <c r="C774" s="173"/>
      <c r="D774" s="174"/>
      <c r="E774" s="175"/>
      <c r="F774" s="175"/>
      <c r="G774" s="173" t="s">
        <v>585</v>
      </c>
      <c r="H774" s="173">
        <v>0.0</v>
      </c>
      <c r="I774" s="173"/>
      <c r="J774" s="199">
        <v>0.0</v>
      </c>
      <c r="K774" s="293"/>
      <c r="L774" s="173" t="s">
        <v>585</v>
      </c>
      <c r="M774" s="173"/>
      <c r="N774" s="199" t="s">
        <v>585</v>
      </c>
      <c r="O774" s="173"/>
      <c r="P774" s="173" t="s">
        <v>585</v>
      </c>
      <c r="Q774" s="173"/>
      <c r="R774" s="173" t="s">
        <v>585</v>
      </c>
      <c r="S774" s="173"/>
      <c r="T774" s="173" t="s">
        <v>585</v>
      </c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</row>
    <row r="775">
      <c r="A775" s="173"/>
      <c r="B775" s="173"/>
      <c r="C775" s="173"/>
      <c r="D775" s="174"/>
      <c r="E775" s="175"/>
      <c r="F775" s="175"/>
      <c r="G775" s="173" t="s">
        <v>585</v>
      </c>
      <c r="H775" s="173">
        <v>0.0</v>
      </c>
      <c r="I775" s="173"/>
      <c r="J775" s="199">
        <v>0.0</v>
      </c>
      <c r="K775" s="293"/>
      <c r="L775" s="173" t="s">
        <v>585</v>
      </c>
      <c r="M775" s="173"/>
      <c r="N775" s="199" t="s">
        <v>585</v>
      </c>
      <c r="O775" s="173"/>
      <c r="P775" s="173" t="s">
        <v>585</v>
      </c>
      <c r="Q775" s="173"/>
      <c r="R775" s="173" t="s">
        <v>585</v>
      </c>
      <c r="S775" s="173"/>
      <c r="T775" s="173" t="s">
        <v>585</v>
      </c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</row>
    <row r="776">
      <c r="A776" s="173"/>
      <c r="B776" s="173"/>
      <c r="C776" s="173"/>
      <c r="D776" s="174"/>
      <c r="E776" s="175"/>
      <c r="F776" s="175"/>
      <c r="G776" s="173" t="s">
        <v>585</v>
      </c>
      <c r="H776" s="173">
        <v>0.0</v>
      </c>
      <c r="I776" s="173"/>
      <c r="J776" s="199">
        <v>0.0</v>
      </c>
      <c r="K776" s="293"/>
      <c r="L776" s="173" t="s">
        <v>585</v>
      </c>
      <c r="M776" s="173"/>
      <c r="N776" s="199" t="s">
        <v>585</v>
      </c>
      <c r="O776" s="173"/>
      <c r="P776" s="173" t="s">
        <v>585</v>
      </c>
      <c r="Q776" s="173"/>
      <c r="R776" s="173" t="s">
        <v>585</v>
      </c>
      <c r="S776" s="173"/>
      <c r="T776" s="173" t="s">
        <v>585</v>
      </c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</row>
    <row r="777">
      <c r="A777" s="173"/>
      <c r="B777" s="173"/>
      <c r="C777" s="173"/>
      <c r="D777" s="174"/>
      <c r="E777" s="175"/>
      <c r="F777" s="175"/>
      <c r="G777" s="173" t="s">
        <v>585</v>
      </c>
      <c r="H777" s="173">
        <v>0.0</v>
      </c>
      <c r="I777" s="173"/>
      <c r="J777" s="199">
        <v>0.0</v>
      </c>
      <c r="K777" s="293"/>
      <c r="L777" s="173" t="s">
        <v>585</v>
      </c>
      <c r="M777" s="173"/>
      <c r="N777" s="199" t="s">
        <v>585</v>
      </c>
      <c r="O777" s="173"/>
      <c r="P777" s="173" t="s">
        <v>585</v>
      </c>
      <c r="Q777" s="173"/>
      <c r="R777" s="173" t="s">
        <v>585</v>
      </c>
      <c r="S777" s="173"/>
      <c r="T777" s="173" t="s">
        <v>585</v>
      </c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</row>
    <row r="778">
      <c r="A778" s="173"/>
      <c r="B778" s="173"/>
      <c r="C778" s="173"/>
      <c r="D778" s="174"/>
      <c r="E778" s="175"/>
      <c r="F778" s="175"/>
      <c r="G778" s="173" t="s">
        <v>585</v>
      </c>
      <c r="H778" s="173">
        <v>0.0</v>
      </c>
      <c r="I778" s="173"/>
      <c r="J778" s="199">
        <v>0.0</v>
      </c>
      <c r="K778" s="293"/>
      <c r="L778" s="173" t="s">
        <v>585</v>
      </c>
      <c r="M778" s="173"/>
      <c r="N778" s="199" t="s">
        <v>585</v>
      </c>
      <c r="O778" s="173"/>
      <c r="P778" s="173" t="s">
        <v>585</v>
      </c>
      <c r="Q778" s="173"/>
      <c r="R778" s="173" t="s">
        <v>585</v>
      </c>
      <c r="S778" s="173"/>
      <c r="T778" s="173" t="s">
        <v>585</v>
      </c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</row>
    <row r="779">
      <c r="A779" s="173"/>
      <c r="B779" s="173"/>
      <c r="C779" s="173"/>
      <c r="D779" s="174"/>
      <c r="E779" s="175"/>
      <c r="F779" s="175"/>
      <c r="G779" s="173" t="s">
        <v>585</v>
      </c>
      <c r="H779" s="173">
        <v>0.0</v>
      </c>
      <c r="I779" s="173"/>
      <c r="J779" s="199">
        <v>0.0</v>
      </c>
      <c r="K779" s="293"/>
      <c r="L779" s="173" t="s">
        <v>585</v>
      </c>
      <c r="M779" s="173"/>
      <c r="N779" s="199" t="s">
        <v>585</v>
      </c>
      <c r="O779" s="173"/>
      <c r="P779" s="173" t="s">
        <v>585</v>
      </c>
      <c r="Q779" s="173"/>
      <c r="R779" s="173" t="s">
        <v>585</v>
      </c>
      <c r="S779" s="173"/>
      <c r="T779" s="173" t="s">
        <v>585</v>
      </c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</row>
    <row r="780">
      <c r="A780" s="173"/>
      <c r="B780" s="173"/>
      <c r="C780" s="173"/>
      <c r="D780" s="174"/>
      <c r="E780" s="175"/>
      <c r="F780" s="175"/>
      <c r="G780" s="173" t="s">
        <v>585</v>
      </c>
      <c r="H780" s="173">
        <v>0.0</v>
      </c>
      <c r="I780" s="173"/>
      <c r="J780" s="199">
        <v>0.0</v>
      </c>
      <c r="K780" s="293"/>
      <c r="L780" s="173" t="s">
        <v>585</v>
      </c>
      <c r="M780" s="173"/>
      <c r="N780" s="199" t="s">
        <v>585</v>
      </c>
      <c r="O780" s="173"/>
      <c r="P780" s="173" t="s">
        <v>585</v>
      </c>
      <c r="Q780" s="173"/>
      <c r="R780" s="173" t="s">
        <v>585</v>
      </c>
      <c r="S780" s="173"/>
      <c r="T780" s="173" t="s">
        <v>585</v>
      </c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</row>
    <row r="781">
      <c r="A781" s="173"/>
      <c r="B781" s="173"/>
      <c r="C781" s="173"/>
      <c r="D781" s="174"/>
      <c r="E781" s="175"/>
      <c r="F781" s="175"/>
      <c r="G781" s="173" t="s">
        <v>585</v>
      </c>
      <c r="H781" s="173">
        <v>0.0</v>
      </c>
      <c r="I781" s="173"/>
      <c r="J781" s="199">
        <v>0.0</v>
      </c>
      <c r="K781" s="293"/>
      <c r="L781" s="173" t="s">
        <v>585</v>
      </c>
      <c r="M781" s="173"/>
      <c r="N781" s="199" t="s">
        <v>585</v>
      </c>
      <c r="O781" s="173"/>
      <c r="P781" s="173" t="s">
        <v>585</v>
      </c>
      <c r="Q781" s="173"/>
      <c r="R781" s="173" t="s">
        <v>585</v>
      </c>
      <c r="S781" s="173"/>
      <c r="T781" s="173" t="s">
        <v>585</v>
      </c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</row>
    <row r="782">
      <c r="A782" s="173"/>
      <c r="B782" s="173"/>
      <c r="C782" s="173"/>
      <c r="D782" s="174"/>
      <c r="E782" s="175"/>
      <c r="F782" s="175"/>
      <c r="G782" s="173" t="s">
        <v>585</v>
      </c>
      <c r="H782" s="173">
        <v>0.0</v>
      </c>
      <c r="I782" s="173"/>
      <c r="J782" s="199">
        <v>0.0</v>
      </c>
      <c r="K782" s="293"/>
      <c r="L782" s="173" t="s">
        <v>585</v>
      </c>
      <c r="M782" s="173"/>
      <c r="N782" s="199" t="s">
        <v>585</v>
      </c>
      <c r="O782" s="173"/>
      <c r="P782" s="173" t="s">
        <v>585</v>
      </c>
      <c r="Q782" s="173"/>
      <c r="R782" s="173" t="s">
        <v>585</v>
      </c>
      <c r="S782" s="173"/>
      <c r="T782" s="173" t="s">
        <v>585</v>
      </c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</row>
    <row r="783">
      <c r="A783" s="173"/>
      <c r="B783" s="173"/>
      <c r="C783" s="173"/>
      <c r="D783" s="174"/>
      <c r="E783" s="175"/>
      <c r="F783" s="175"/>
      <c r="G783" s="173" t="s">
        <v>585</v>
      </c>
      <c r="H783" s="173">
        <v>0.0</v>
      </c>
      <c r="I783" s="173"/>
      <c r="J783" s="199">
        <v>0.0</v>
      </c>
      <c r="K783" s="293"/>
      <c r="L783" s="173" t="s">
        <v>585</v>
      </c>
      <c r="M783" s="173"/>
      <c r="N783" s="199" t="s">
        <v>585</v>
      </c>
      <c r="O783" s="173"/>
      <c r="P783" s="173" t="s">
        <v>585</v>
      </c>
      <c r="Q783" s="173"/>
      <c r="R783" s="173" t="s">
        <v>585</v>
      </c>
      <c r="S783" s="173"/>
      <c r="T783" s="173" t="s">
        <v>585</v>
      </c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</row>
    <row r="784">
      <c r="A784" s="173"/>
      <c r="B784" s="173"/>
      <c r="C784" s="173"/>
      <c r="D784" s="174"/>
      <c r="E784" s="175"/>
      <c r="F784" s="175"/>
      <c r="G784" s="173" t="s">
        <v>585</v>
      </c>
      <c r="H784" s="173">
        <v>0.0</v>
      </c>
      <c r="I784" s="173"/>
      <c r="J784" s="199">
        <v>0.0</v>
      </c>
      <c r="K784" s="293"/>
      <c r="L784" s="173" t="s">
        <v>585</v>
      </c>
      <c r="M784" s="173"/>
      <c r="N784" s="199" t="s">
        <v>585</v>
      </c>
      <c r="O784" s="173"/>
      <c r="P784" s="173" t="s">
        <v>585</v>
      </c>
      <c r="Q784" s="173"/>
      <c r="R784" s="173" t="s">
        <v>585</v>
      </c>
      <c r="S784" s="173"/>
      <c r="T784" s="173" t="s">
        <v>585</v>
      </c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</row>
    <row r="785">
      <c r="A785" s="173"/>
      <c r="B785" s="173"/>
      <c r="C785" s="173"/>
      <c r="D785" s="174"/>
      <c r="E785" s="175"/>
      <c r="F785" s="175"/>
      <c r="G785" s="173" t="s">
        <v>585</v>
      </c>
      <c r="H785" s="173">
        <v>0.0</v>
      </c>
      <c r="I785" s="173"/>
      <c r="J785" s="199">
        <v>0.0</v>
      </c>
      <c r="K785" s="293"/>
      <c r="L785" s="173" t="s">
        <v>585</v>
      </c>
      <c r="M785" s="173"/>
      <c r="N785" s="199" t="s">
        <v>585</v>
      </c>
      <c r="O785" s="173"/>
      <c r="P785" s="173" t="s">
        <v>585</v>
      </c>
      <c r="Q785" s="173"/>
      <c r="R785" s="173" t="s">
        <v>585</v>
      </c>
      <c r="S785" s="173"/>
      <c r="T785" s="173" t="s">
        <v>585</v>
      </c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</row>
    <row r="786">
      <c r="A786" s="173"/>
      <c r="B786" s="173"/>
      <c r="C786" s="173"/>
      <c r="D786" s="174"/>
      <c r="E786" s="175"/>
      <c r="F786" s="175"/>
      <c r="G786" s="173" t="s">
        <v>585</v>
      </c>
      <c r="H786" s="173">
        <v>0.0</v>
      </c>
      <c r="I786" s="173"/>
      <c r="J786" s="199">
        <v>0.0</v>
      </c>
      <c r="K786" s="293"/>
      <c r="L786" s="173" t="s">
        <v>585</v>
      </c>
      <c r="M786" s="173"/>
      <c r="N786" s="199" t="s">
        <v>585</v>
      </c>
      <c r="O786" s="173"/>
      <c r="P786" s="173" t="s">
        <v>585</v>
      </c>
      <c r="Q786" s="173"/>
      <c r="R786" s="173" t="s">
        <v>585</v>
      </c>
      <c r="S786" s="173"/>
      <c r="T786" s="173" t="s">
        <v>585</v>
      </c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</row>
    <row r="787">
      <c r="A787" s="173"/>
      <c r="B787" s="173"/>
      <c r="C787" s="173"/>
      <c r="D787" s="174"/>
      <c r="E787" s="175"/>
      <c r="F787" s="175"/>
      <c r="G787" s="173" t="s">
        <v>585</v>
      </c>
      <c r="H787" s="173">
        <v>0.0</v>
      </c>
      <c r="I787" s="173"/>
      <c r="J787" s="199">
        <v>0.0</v>
      </c>
      <c r="K787" s="293"/>
      <c r="L787" s="173" t="s">
        <v>585</v>
      </c>
      <c r="M787" s="173"/>
      <c r="N787" s="199" t="s">
        <v>585</v>
      </c>
      <c r="O787" s="173"/>
      <c r="P787" s="173" t="s">
        <v>585</v>
      </c>
      <c r="Q787" s="173"/>
      <c r="R787" s="173" t="s">
        <v>585</v>
      </c>
      <c r="S787" s="173"/>
      <c r="T787" s="173" t="s">
        <v>585</v>
      </c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</row>
    <row r="788">
      <c r="A788" s="173"/>
      <c r="B788" s="173"/>
      <c r="C788" s="173"/>
      <c r="D788" s="174"/>
      <c r="E788" s="175"/>
      <c r="F788" s="175"/>
      <c r="G788" s="173" t="s">
        <v>585</v>
      </c>
      <c r="H788" s="173">
        <v>0.0</v>
      </c>
      <c r="I788" s="173"/>
      <c r="J788" s="199">
        <v>0.0</v>
      </c>
      <c r="K788" s="293"/>
      <c r="L788" s="173" t="s">
        <v>585</v>
      </c>
      <c r="M788" s="173"/>
      <c r="N788" s="199" t="s">
        <v>585</v>
      </c>
      <c r="O788" s="173"/>
      <c r="P788" s="173" t="s">
        <v>585</v>
      </c>
      <c r="Q788" s="173"/>
      <c r="R788" s="173" t="s">
        <v>585</v>
      </c>
      <c r="S788" s="173"/>
      <c r="T788" s="173" t="s">
        <v>585</v>
      </c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</row>
    <row r="789">
      <c r="A789" s="173"/>
      <c r="B789" s="173"/>
      <c r="C789" s="173"/>
      <c r="D789" s="174"/>
      <c r="E789" s="175"/>
      <c r="F789" s="175"/>
      <c r="G789" s="173" t="s">
        <v>585</v>
      </c>
      <c r="H789" s="173">
        <v>0.0</v>
      </c>
      <c r="I789" s="173"/>
      <c r="J789" s="199">
        <v>0.0</v>
      </c>
      <c r="K789" s="293"/>
      <c r="L789" s="173" t="s">
        <v>585</v>
      </c>
      <c r="M789" s="173"/>
      <c r="N789" s="199" t="s">
        <v>585</v>
      </c>
      <c r="O789" s="173"/>
      <c r="P789" s="173" t="s">
        <v>585</v>
      </c>
      <c r="Q789" s="173"/>
      <c r="R789" s="173" t="s">
        <v>585</v>
      </c>
      <c r="S789" s="173"/>
      <c r="T789" s="173" t="s">
        <v>585</v>
      </c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</row>
    <row r="790">
      <c r="A790" s="173"/>
      <c r="B790" s="173"/>
      <c r="C790" s="173"/>
      <c r="D790" s="174"/>
      <c r="E790" s="175"/>
      <c r="F790" s="175"/>
      <c r="G790" s="173" t="s">
        <v>585</v>
      </c>
      <c r="H790" s="173">
        <v>0.0</v>
      </c>
      <c r="I790" s="173"/>
      <c r="J790" s="199">
        <v>0.0</v>
      </c>
      <c r="K790" s="293"/>
      <c r="L790" s="173" t="s">
        <v>585</v>
      </c>
      <c r="M790" s="173"/>
      <c r="N790" s="199" t="s">
        <v>585</v>
      </c>
      <c r="O790" s="173"/>
      <c r="P790" s="173" t="s">
        <v>585</v>
      </c>
      <c r="Q790" s="173"/>
      <c r="R790" s="173" t="s">
        <v>585</v>
      </c>
      <c r="S790" s="173"/>
      <c r="T790" s="173" t="s">
        <v>585</v>
      </c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</row>
    <row r="791">
      <c r="A791" s="173"/>
      <c r="B791" s="173"/>
      <c r="C791" s="173"/>
      <c r="D791" s="174"/>
      <c r="E791" s="175"/>
      <c r="F791" s="175"/>
      <c r="G791" s="173" t="s">
        <v>585</v>
      </c>
      <c r="H791" s="173">
        <v>0.0</v>
      </c>
      <c r="I791" s="173"/>
      <c r="J791" s="199">
        <v>0.0</v>
      </c>
      <c r="K791" s="293"/>
      <c r="L791" s="173" t="s">
        <v>585</v>
      </c>
      <c r="M791" s="173"/>
      <c r="N791" s="199" t="s">
        <v>585</v>
      </c>
      <c r="O791" s="173"/>
      <c r="P791" s="173" t="s">
        <v>585</v>
      </c>
      <c r="Q791" s="173"/>
      <c r="R791" s="173" t="s">
        <v>585</v>
      </c>
      <c r="S791" s="173"/>
      <c r="T791" s="173" t="s">
        <v>585</v>
      </c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</row>
    <row r="792">
      <c r="A792" s="173"/>
      <c r="B792" s="173"/>
      <c r="C792" s="173"/>
      <c r="D792" s="174"/>
      <c r="E792" s="175"/>
      <c r="F792" s="175"/>
      <c r="G792" s="173" t="s">
        <v>585</v>
      </c>
      <c r="H792" s="173">
        <v>0.0</v>
      </c>
      <c r="I792" s="173"/>
      <c r="J792" s="199">
        <v>0.0</v>
      </c>
      <c r="K792" s="293"/>
      <c r="L792" s="173" t="s">
        <v>585</v>
      </c>
      <c r="M792" s="173"/>
      <c r="N792" s="199" t="s">
        <v>585</v>
      </c>
      <c r="O792" s="173"/>
      <c r="P792" s="173" t="s">
        <v>585</v>
      </c>
      <c r="Q792" s="173"/>
      <c r="R792" s="173" t="s">
        <v>585</v>
      </c>
      <c r="S792" s="173"/>
      <c r="T792" s="173" t="s">
        <v>585</v>
      </c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</row>
    <row r="793">
      <c r="A793" s="173"/>
      <c r="B793" s="173"/>
      <c r="C793" s="173"/>
      <c r="D793" s="174"/>
      <c r="E793" s="175"/>
      <c r="F793" s="175"/>
      <c r="G793" s="173" t="s">
        <v>585</v>
      </c>
      <c r="H793" s="173">
        <v>0.0</v>
      </c>
      <c r="I793" s="173"/>
      <c r="J793" s="199">
        <v>0.0</v>
      </c>
      <c r="K793" s="293"/>
      <c r="L793" s="173" t="s">
        <v>585</v>
      </c>
      <c r="M793" s="173"/>
      <c r="N793" s="199" t="s">
        <v>585</v>
      </c>
      <c r="O793" s="173"/>
      <c r="P793" s="173" t="s">
        <v>585</v>
      </c>
      <c r="Q793" s="173"/>
      <c r="R793" s="173" t="s">
        <v>585</v>
      </c>
      <c r="S793" s="173"/>
      <c r="T793" s="173" t="s">
        <v>585</v>
      </c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</row>
    <row r="794">
      <c r="A794" s="173"/>
      <c r="B794" s="173"/>
      <c r="C794" s="173"/>
      <c r="D794" s="174"/>
      <c r="E794" s="175"/>
      <c r="F794" s="175"/>
      <c r="G794" s="173" t="s">
        <v>585</v>
      </c>
      <c r="H794" s="173">
        <v>0.0</v>
      </c>
      <c r="I794" s="173"/>
      <c r="J794" s="199">
        <v>0.0</v>
      </c>
      <c r="K794" s="293"/>
      <c r="L794" s="173" t="s">
        <v>585</v>
      </c>
      <c r="M794" s="173"/>
      <c r="N794" s="199" t="s">
        <v>585</v>
      </c>
      <c r="O794" s="173"/>
      <c r="P794" s="173" t="s">
        <v>585</v>
      </c>
      <c r="Q794" s="173"/>
      <c r="R794" s="173" t="s">
        <v>585</v>
      </c>
      <c r="S794" s="173"/>
      <c r="T794" s="173" t="s">
        <v>585</v>
      </c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</row>
    <row r="795">
      <c r="A795" s="173"/>
      <c r="B795" s="173"/>
      <c r="C795" s="173"/>
      <c r="D795" s="174"/>
      <c r="E795" s="175"/>
      <c r="F795" s="175"/>
      <c r="G795" s="173" t="s">
        <v>585</v>
      </c>
      <c r="H795" s="173">
        <v>0.0</v>
      </c>
      <c r="I795" s="173"/>
      <c r="J795" s="199">
        <v>0.0</v>
      </c>
      <c r="K795" s="293"/>
      <c r="L795" s="173" t="s">
        <v>585</v>
      </c>
      <c r="M795" s="173"/>
      <c r="N795" s="199" t="s">
        <v>585</v>
      </c>
      <c r="O795" s="173"/>
      <c r="P795" s="173" t="s">
        <v>585</v>
      </c>
      <c r="Q795" s="173"/>
      <c r="R795" s="173" t="s">
        <v>585</v>
      </c>
      <c r="S795" s="173"/>
      <c r="T795" s="173" t="s">
        <v>585</v>
      </c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</row>
    <row r="796">
      <c r="A796" s="173"/>
      <c r="B796" s="173"/>
      <c r="C796" s="173"/>
      <c r="D796" s="174"/>
      <c r="E796" s="175"/>
      <c r="F796" s="175"/>
      <c r="G796" s="173" t="s">
        <v>585</v>
      </c>
      <c r="H796" s="173">
        <v>0.0</v>
      </c>
      <c r="I796" s="173"/>
      <c r="J796" s="199">
        <v>0.0</v>
      </c>
      <c r="K796" s="293"/>
      <c r="L796" s="173" t="s">
        <v>585</v>
      </c>
      <c r="M796" s="173"/>
      <c r="N796" s="199" t="s">
        <v>585</v>
      </c>
      <c r="O796" s="173"/>
      <c r="P796" s="173" t="s">
        <v>585</v>
      </c>
      <c r="Q796" s="173"/>
      <c r="R796" s="173" t="s">
        <v>585</v>
      </c>
      <c r="S796" s="173"/>
      <c r="T796" s="173" t="s">
        <v>585</v>
      </c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</row>
    <row r="797">
      <c r="A797" s="173"/>
      <c r="B797" s="173"/>
      <c r="C797" s="173"/>
      <c r="D797" s="174"/>
      <c r="E797" s="175"/>
      <c r="F797" s="175"/>
      <c r="G797" s="173" t="s">
        <v>585</v>
      </c>
      <c r="H797" s="173">
        <v>0.0</v>
      </c>
      <c r="I797" s="173"/>
      <c r="J797" s="199">
        <v>0.0</v>
      </c>
      <c r="K797" s="293"/>
      <c r="L797" s="173" t="s">
        <v>585</v>
      </c>
      <c r="M797" s="173"/>
      <c r="N797" s="199" t="s">
        <v>585</v>
      </c>
      <c r="O797" s="173"/>
      <c r="P797" s="173" t="s">
        <v>585</v>
      </c>
      <c r="Q797" s="173"/>
      <c r="R797" s="173" t="s">
        <v>585</v>
      </c>
      <c r="S797" s="173"/>
      <c r="T797" s="173" t="s">
        <v>585</v>
      </c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</row>
    <row r="798">
      <c r="A798" s="173"/>
      <c r="B798" s="173"/>
      <c r="C798" s="173"/>
      <c r="D798" s="174"/>
      <c r="E798" s="175"/>
      <c r="F798" s="175"/>
      <c r="G798" s="173" t="s">
        <v>585</v>
      </c>
      <c r="H798" s="173">
        <v>0.0</v>
      </c>
      <c r="I798" s="173"/>
      <c r="J798" s="199">
        <v>0.0</v>
      </c>
      <c r="K798" s="293"/>
      <c r="L798" s="173" t="s">
        <v>585</v>
      </c>
      <c r="M798" s="173"/>
      <c r="N798" s="199" t="s">
        <v>585</v>
      </c>
      <c r="O798" s="173"/>
      <c r="P798" s="173" t="s">
        <v>585</v>
      </c>
      <c r="Q798" s="173"/>
      <c r="R798" s="173" t="s">
        <v>585</v>
      </c>
      <c r="S798" s="173"/>
      <c r="T798" s="173" t="s">
        <v>585</v>
      </c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</row>
    <row r="799">
      <c r="A799" s="173"/>
      <c r="B799" s="173"/>
      <c r="C799" s="173"/>
      <c r="D799" s="174"/>
      <c r="E799" s="175"/>
      <c r="F799" s="175"/>
      <c r="G799" s="173" t="s">
        <v>585</v>
      </c>
      <c r="H799" s="173">
        <v>0.0</v>
      </c>
      <c r="I799" s="173"/>
      <c r="J799" s="199">
        <v>0.0</v>
      </c>
      <c r="K799" s="293"/>
      <c r="L799" s="173" t="s">
        <v>585</v>
      </c>
      <c r="M799" s="173"/>
      <c r="N799" s="199" t="s">
        <v>585</v>
      </c>
      <c r="O799" s="173"/>
      <c r="P799" s="173" t="s">
        <v>585</v>
      </c>
      <c r="Q799" s="173"/>
      <c r="R799" s="173" t="s">
        <v>585</v>
      </c>
      <c r="S799" s="173"/>
      <c r="T799" s="173" t="s">
        <v>585</v>
      </c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</row>
    <row r="800">
      <c r="A800" s="173"/>
      <c r="B800" s="173"/>
      <c r="C800" s="173"/>
      <c r="D800" s="174"/>
      <c r="E800" s="175"/>
      <c r="F800" s="175"/>
      <c r="G800" s="173" t="s">
        <v>585</v>
      </c>
      <c r="H800" s="173">
        <v>0.0</v>
      </c>
      <c r="I800" s="173"/>
      <c r="J800" s="199">
        <v>0.0</v>
      </c>
      <c r="K800" s="293"/>
      <c r="L800" s="173" t="s">
        <v>585</v>
      </c>
      <c r="M800" s="173"/>
      <c r="N800" s="199" t="s">
        <v>585</v>
      </c>
      <c r="O800" s="173"/>
      <c r="P800" s="173" t="s">
        <v>585</v>
      </c>
      <c r="Q800" s="173"/>
      <c r="R800" s="173" t="s">
        <v>585</v>
      </c>
      <c r="S800" s="173"/>
      <c r="T800" s="173" t="s">
        <v>585</v>
      </c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</row>
    <row r="801">
      <c r="A801" s="173"/>
      <c r="B801" s="173"/>
      <c r="C801" s="173"/>
      <c r="D801" s="174"/>
      <c r="E801" s="175"/>
      <c r="F801" s="175"/>
      <c r="G801" s="173" t="s">
        <v>585</v>
      </c>
      <c r="H801" s="173">
        <v>0.0</v>
      </c>
      <c r="I801" s="173"/>
      <c r="J801" s="199">
        <v>0.0</v>
      </c>
      <c r="K801" s="293"/>
      <c r="L801" s="173" t="s">
        <v>585</v>
      </c>
      <c r="M801" s="173"/>
      <c r="N801" s="199" t="s">
        <v>585</v>
      </c>
      <c r="O801" s="173"/>
      <c r="P801" s="173" t="s">
        <v>585</v>
      </c>
      <c r="Q801" s="173"/>
      <c r="R801" s="173" t="s">
        <v>585</v>
      </c>
      <c r="S801" s="173"/>
      <c r="T801" s="173" t="s">
        <v>585</v>
      </c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</row>
    <row r="802">
      <c r="A802" s="173"/>
      <c r="B802" s="173"/>
      <c r="C802" s="173"/>
      <c r="D802" s="174"/>
      <c r="E802" s="175"/>
      <c r="F802" s="175"/>
      <c r="G802" s="173" t="s">
        <v>585</v>
      </c>
      <c r="H802" s="173">
        <v>0.0</v>
      </c>
      <c r="I802" s="173"/>
      <c r="J802" s="199">
        <v>0.0</v>
      </c>
      <c r="K802" s="293"/>
      <c r="L802" s="173" t="s">
        <v>585</v>
      </c>
      <c r="M802" s="173"/>
      <c r="N802" s="199" t="s">
        <v>585</v>
      </c>
      <c r="O802" s="173"/>
      <c r="P802" s="173" t="s">
        <v>585</v>
      </c>
      <c r="Q802" s="173"/>
      <c r="R802" s="173" t="s">
        <v>585</v>
      </c>
      <c r="S802" s="173"/>
      <c r="T802" s="173" t="s">
        <v>585</v>
      </c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</row>
    <row r="803">
      <c r="A803" s="173"/>
      <c r="B803" s="173"/>
      <c r="C803" s="173"/>
      <c r="D803" s="174"/>
      <c r="E803" s="175"/>
      <c r="F803" s="175"/>
      <c r="G803" s="173" t="s">
        <v>585</v>
      </c>
      <c r="H803" s="173">
        <v>0.0</v>
      </c>
      <c r="I803" s="173"/>
      <c r="J803" s="199">
        <v>0.0</v>
      </c>
      <c r="K803" s="293"/>
      <c r="L803" s="173" t="s">
        <v>585</v>
      </c>
      <c r="M803" s="173"/>
      <c r="N803" s="199" t="s">
        <v>585</v>
      </c>
      <c r="O803" s="173"/>
      <c r="P803" s="173" t="s">
        <v>585</v>
      </c>
      <c r="Q803" s="173"/>
      <c r="R803" s="173" t="s">
        <v>585</v>
      </c>
      <c r="S803" s="173"/>
      <c r="T803" s="173" t="s">
        <v>585</v>
      </c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</row>
    <row r="804">
      <c r="A804" s="173"/>
      <c r="B804" s="173"/>
      <c r="C804" s="173"/>
      <c r="D804" s="174"/>
      <c r="E804" s="175"/>
      <c r="F804" s="175"/>
      <c r="G804" s="173" t="s">
        <v>585</v>
      </c>
      <c r="H804" s="173">
        <v>0.0</v>
      </c>
      <c r="I804" s="173"/>
      <c r="J804" s="199">
        <v>0.0</v>
      </c>
      <c r="K804" s="293"/>
      <c r="L804" s="173" t="s">
        <v>585</v>
      </c>
      <c r="M804" s="173"/>
      <c r="N804" s="199" t="s">
        <v>585</v>
      </c>
      <c r="O804" s="173"/>
      <c r="P804" s="173" t="s">
        <v>585</v>
      </c>
      <c r="Q804" s="173"/>
      <c r="R804" s="173" t="s">
        <v>585</v>
      </c>
      <c r="S804" s="173"/>
      <c r="T804" s="173" t="s">
        <v>585</v>
      </c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</row>
    <row r="805">
      <c r="A805" s="173"/>
      <c r="B805" s="173"/>
      <c r="C805" s="173"/>
      <c r="D805" s="174"/>
      <c r="E805" s="175"/>
      <c r="F805" s="175"/>
      <c r="G805" s="173" t="s">
        <v>585</v>
      </c>
      <c r="H805" s="173">
        <v>0.0</v>
      </c>
      <c r="I805" s="173"/>
      <c r="J805" s="199">
        <v>0.0</v>
      </c>
      <c r="K805" s="293"/>
      <c r="L805" s="173" t="s">
        <v>585</v>
      </c>
      <c r="M805" s="173"/>
      <c r="N805" s="199" t="s">
        <v>585</v>
      </c>
      <c r="O805" s="173"/>
      <c r="P805" s="173" t="s">
        <v>585</v>
      </c>
      <c r="Q805" s="173"/>
      <c r="R805" s="173" t="s">
        <v>585</v>
      </c>
      <c r="S805" s="173"/>
      <c r="T805" s="173" t="s">
        <v>585</v>
      </c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</row>
    <row r="806">
      <c r="A806" s="173"/>
      <c r="B806" s="173"/>
      <c r="C806" s="173"/>
      <c r="D806" s="174"/>
      <c r="E806" s="175"/>
      <c r="F806" s="175"/>
      <c r="G806" s="173" t="s">
        <v>585</v>
      </c>
      <c r="H806" s="173">
        <v>0.0</v>
      </c>
      <c r="I806" s="173"/>
      <c r="J806" s="199">
        <v>0.0</v>
      </c>
      <c r="K806" s="293"/>
      <c r="L806" s="173" t="s">
        <v>585</v>
      </c>
      <c r="M806" s="173"/>
      <c r="N806" s="199" t="s">
        <v>585</v>
      </c>
      <c r="O806" s="173"/>
      <c r="P806" s="173" t="s">
        <v>585</v>
      </c>
      <c r="Q806" s="173"/>
      <c r="R806" s="173" t="s">
        <v>585</v>
      </c>
      <c r="S806" s="173"/>
      <c r="T806" s="173" t="s">
        <v>585</v>
      </c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</row>
    <row r="807">
      <c r="A807" s="173"/>
      <c r="B807" s="173"/>
      <c r="C807" s="173"/>
      <c r="D807" s="174"/>
      <c r="E807" s="175"/>
      <c r="F807" s="175"/>
      <c r="G807" s="173" t="s">
        <v>585</v>
      </c>
      <c r="H807" s="173">
        <v>0.0</v>
      </c>
      <c r="I807" s="173"/>
      <c r="J807" s="199">
        <v>0.0</v>
      </c>
      <c r="K807" s="293"/>
      <c r="L807" s="173" t="s">
        <v>585</v>
      </c>
      <c r="M807" s="173"/>
      <c r="N807" s="199" t="s">
        <v>585</v>
      </c>
      <c r="O807" s="173"/>
      <c r="P807" s="173" t="s">
        <v>585</v>
      </c>
      <c r="Q807" s="173"/>
      <c r="R807" s="173" t="s">
        <v>585</v>
      </c>
      <c r="S807" s="173"/>
      <c r="T807" s="173" t="s">
        <v>585</v>
      </c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</row>
    <row r="808">
      <c r="A808" s="173"/>
      <c r="B808" s="173"/>
      <c r="C808" s="173"/>
      <c r="D808" s="174"/>
      <c r="E808" s="175"/>
      <c r="F808" s="175"/>
      <c r="G808" s="173" t="s">
        <v>585</v>
      </c>
      <c r="H808" s="173">
        <v>0.0</v>
      </c>
      <c r="I808" s="173"/>
      <c r="J808" s="199">
        <v>0.0</v>
      </c>
      <c r="K808" s="293"/>
      <c r="L808" s="173" t="s">
        <v>585</v>
      </c>
      <c r="M808" s="173"/>
      <c r="N808" s="199" t="s">
        <v>585</v>
      </c>
      <c r="O808" s="173"/>
      <c r="P808" s="173" t="s">
        <v>585</v>
      </c>
      <c r="Q808" s="173"/>
      <c r="R808" s="173" t="s">
        <v>585</v>
      </c>
      <c r="S808" s="173"/>
      <c r="T808" s="173" t="s">
        <v>585</v>
      </c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</row>
    <row r="809">
      <c r="A809" s="173"/>
      <c r="B809" s="173"/>
      <c r="C809" s="173"/>
      <c r="D809" s="174"/>
      <c r="E809" s="175"/>
      <c r="F809" s="175"/>
      <c r="G809" s="173" t="s">
        <v>585</v>
      </c>
      <c r="H809" s="173">
        <v>0.0</v>
      </c>
      <c r="I809" s="173"/>
      <c r="J809" s="199">
        <v>0.0</v>
      </c>
      <c r="K809" s="293"/>
      <c r="L809" s="173" t="s">
        <v>585</v>
      </c>
      <c r="M809" s="173"/>
      <c r="N809" s="199" t="s">
        <v>585</v>
      </c>
      <c r="O809" s="173"/>
      <c r="P809" s="173" t="s">
        <v>585</v>
      </c>
      <c r="Q809" s="173"/>
      <c r="R809" s="173" t="s">
        <v>585</v>
      </c>
      <c r="S809" s="173"/>
      <c r="T809" s="173" t="s">
        <v>585</v>
      </c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</row>
    <row r="810">
      <c r="A810" s="173"/>
      <c r="B810" s="173"/>
      <c r="C810" s="173"/>
      <c r="D810" s="174"/>
      <c r="E810" s="175"/>
      <c r="F810" s="175"/>
      <c r="G810" s="173" t="s">
        <v>585</v>
      </c>
      <c r="H810" s="173">
        <v>0.0</v>
      </c>
      <c r="I810" s="173"/>
      <c r="J810" s="199">
        <v>0.0</v>
      </c>
      <c r="K810" s="293"/>
      <c r="L810" s="173" t="s">
        <v>585</v>
      </c>
      <c r="M810" s="173"/>
      <c r="N810" s="199" t="s">
        <v>585</v>
      </c>
      <c r="O810" s="173"/>
      <c r="P810" s="173" t="s">
        <v>585</v>
      </c>
      <c r="Q810" s="173"/>
      <c r="R810" s="173" t="s">
        <v>585</v>
      </c>
      <c r="S810" s="173"/>
      <c r="T810" s="173" t="s">
        <v>585</v>
      </c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</row>
    <row r="811">
      <c r="A811" s="173"/>
      <c r="B811" s="173"/>
      <c r="C811" s="173"/>
      <c r="D811" s="174"/>
      <c r="E811" s="175"/>
      <c r="F811" s="175"/>
      <c r="G811" s="173" t="s">
        <v>585</v>
      </c>
      <c r="H811" s="173">
        <v>0.0</v>
      </c>
      <c r="I811" s="173"/>
      <c r="J811" s="199">
        <v>0.0</v>
      </c>
      <c r="K811" s="293"/>
      <c r="L811" s="173" t="s">
        <v>585</v>
      </c>
      <c r="M811" s="173"/>
      <c r="N811" s="199" t="s">
        <v>585</v>
      </c>
      <c r="O811" s="173"/>
      <c r="P811" s="173" t="s">
        <v>585</v>
      </c>
      <c r="Q811" s="173"/>
      <c r="R811" s="173" t="s">
        <v>585</v>
      </c>
      <c r="S811" s="173"/>
      <c r="T811" s="173" t="s">
        <v>585</v>
      </c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</row>
    <row r="812">
      <c r="A812" s="173"/>
      <c r="B812" s="173"/>
      <c r="C812" s="173"/>
      <c r="D812" s="174"/>
      <c r="E812" s="175"/>
      <c r="F812" s="175"/>
      <c r="G812" s="173" t="s">
        <v>585</v>
      </c>
      <c r="H812" s="173">
        <v>0.0</v>
      </c>
      <c r="I812" s="173"/>
      <c r="J812" s="199">
        <v>0.0</v>
      </c>
      <c r="K812" s="293"/>
      <c r="L812" s="173" t="s">
        <v>585</v>
      </c>
      <c r="M812" s="173"/>
      <c r="N812" s="199" t="s">
        <v>585</v>
      </c>
      <c r="O812" s="173"/>
      <c r="P812" s="173" t="s">
        <v>585</v>
      </c>
      <c r="Q812" s="173"/>
      <c r="R812" s="173" t="s">
        <v>585</v>
      </c>
      <c r="S812" s="173"/>
      <c r="T812" s="173" t="s">
        <v>585</v>
      </c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</row>
    <row r="813">
      <c r="A813" s="173"/>
      <c r="B813" s="173"/>
      <c r="C813" s="173"/>
      <c r="D813" s="174"/>
      <c r="E813" s="175"/>
      <c r="F813" s="175"/>
      <c r="G813" s="173" t="s">
        <v>585</v>
      </c>
      <c r="H813" s="173">
        <v>0.0</v>
      </c>
      <c r="I813" s="173"/>
      <c r="J813" s="199">
        <v>0.0</v>
      </c>
      <c r="K813" s="293"/>
      <c r="L813" s="173" t="s">
        <v>585</v>
      </c>
      <c r="M813" s="173"/>
      <c r="N813" s="199" t="s">
        <v>585</v>
      </c>
      <c r="O813" s="173"/>
      <c r="P813" s="173" t="s">
        <v>585</v>
      </c>
      <c r="Q813" s="173"/>
      <c r="R813" s="173" t="s">
        <v>585</v>
      </c>
      <c r="S813" s="173"/>
      <c r="T813" s="173" t="s">
        <v>585</v>
      </c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</row>
    <row r="814">
      <c r="A814" s="173"/>
      <c r="B814" s="173"/>
      <c r="C814" s="173"/>
      <c r="D814" s="174"/>
      <c r="E814" s="175"/>
      <c r="F814" s="175"/>
      <c r="G814" s="173" t="s">
        <v>585</v>
      </c>
      <c r="H814" s="173">
        <v>0.0</v>
      </c>
      <c r="I814" s="173"/>
      <c r="J814" s="199">
        <v>0.0</v>
      </c>
      <c r="K814" s="293"/>
      <c r="L814" s="173" t="s">
        <v>585</v>
      </c>
      <c r="M814" s="173"/>
      <c r="N814" s="199" t="s">
        <v>585</v>
      </c>
      <c r="O814" s="173"/>
      <c r="P814" s="173" t="s">
        <v>585</v>
      </c>
      <c r="Q814" s="173"/>
      <c r="R814" s="173" t="s">
        <v>585</v>
      </c>
      <c r="S814" s="173"/>
      <c r="T814" s="173" t="s">
        <v>585</v>
      </c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</row>
    <row r="815">
      <c r="A815" s="173"/>
      <c r="B815" s="173"/>
      <c r="C815" s="173"/>
      <c r="D815" s="174"/>
      <c r="E815" s="175"/>
      <c r="F815" s="175"/>
      <c r="G815" s="173" t="s">
        <v>585</v>
      </c>
      <c r="H815" s="173">
        <v>0.0</v>
      </c>
      <c r="I815" s="173"/>
      <c r="J815" s="199">
        <v>0.0</v>
      </c>
      <c r="K815" s="293"/>
      <c r="L815" s="173" t="s">
        <v>585</v>
      </c>
      <c r="M815" s="173"/>
      <c r="N815" s="199" t="s">
        <v>585</v>
      </c>
      <c r="O815" s="173"/>
      <c r="P815" s="173" t="s">
        <v>585</v>
      </c>
      <c r="Q815" s="173"/>
      <c r="R815" s="173" t="s">
        <v>585</v>
      </c>
      <c r="S815" s="173"/>
      <c r="T815" s="173" t="s">
        <v>585</v>
      </c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</row>
    <row r="816">
      <c r="A816" s="173"/>
      <c r="B816" s="173"/>
      <c r="C816" s="173"/>
      <c r="D816" s="174"/>
      <c r="E816" s="175"/>
      <c r="F816" s="175"/>
      <c r="G816" s="173" t="s">
        <v>585</v>
      </c>
      <c r="H816" s="173">
        <v>0.0</v>
      </c>
      <c r="I816" s="173"/>
      <c r="J816" s="199">
        <v>0.0</v>
      </c>
      <c r="K816" s="293"/>
      <c r="L816" s="173" t="s">
        <v>585</v>
      </c>
      <c r="M816" s="173"/>
      <c r="N816" s="199" t="s">
        <v>585</v>
      </c>
      <c r="O816" s="173"/>
      <c r="P816" s="173" t="s">
        <v>585</v>
      </c>
      <c r="Q816" s="173"/>
      <c r="R816" s="173" t="s">
        <v>585</v>
      </c>
      <c r="S816" s="173"/>
      <c r="T816" s="173" t="s">
        <v>585</v>
      </c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</row>
    <row r="817">
      <c r="A817" s="173"/>
      <c r="B817" s="173"/>
      <c r="C817" s="173"/>
      <c r="D817" s="174"/>
      <c r="E817" s="175"/>
      <c r="F817" s="175"/>
      <c r="G817" s="173" t="s">
        <v>585</v>
      </c>
      <c r="H817" s="173">
        <v>0.0</v>
      </c>
      <c r="I817" s="173"/>
      <c r="J817" s="199">
        <v>0.0</v>
      </c>
      <c r="K817" s="293"/>
      <c r="L817" s="173" t="s">
        <v>585</v>
      </c>
      <c r="M817" s="173"/>
      <c r="N817" s="199" t="s">
        <v>585</v>
      </c>
      <c r="O817" s="173"/>
      <c r="P817" s="173" t="s">
        <v>585</v>
      </c>
      <c r="Q817" s="173"/>
      <c r="R817" s="173" t="s">
        <v>585</v>
      </c>
      <c r="S817" s="173"/>
      <c r="T817" s="173" t="s">
        <v>585</v>
      </c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</row>
    <row r="818">
      <c r="A818" s="173"/>
      <c r="B818" s="173"/>
      <c r="C818" s="173"/>
      <c r="D818" s="174"/>
      <c r="E818" s="175"/>
      <c r="F818" s="175"/>
      <c r="G818" s="173" t="s">
        <v>585</v>
      </c>
      <c r="H818" s="173">
        <v>0.0</v>
      </c>
      <c r="I818" s="173"/>
      <c r="J818" s="199">
        <v>0.0</v>
      </c>
      <c r="K818" s="293"/>
      <c r="L818" s="173" t="s">
        <v>585</v>
      </c>
      <c r="M818" s="173"/>
      <c r="N818" s="199" t="s">
        <v>585</v>
      </c>
      <c r="O818" s="173"/>
      <c r="P818" s="173" t="s">
        <v>585</v>
      </c>
      <c r="Q818" s="173"/>
      <c r="R818" s="173" t="s">
        <v>585</v>
      </c>
      <c r="S818" s="173"/>
      <c r="T818" s="173" t="s">
        <v>585</v>
      </c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</row>
    <row r="819">
      <c r="A819" s="173"/>
      <c r="B819" s="173"/>
      <c r="C819" s="173"/>
      <c r="D819" s="174"/>
      <c r="E819" s="175"/>
      <c r="F819" s="175"/>
      <c r="G819" s="173" t="s">
        <v>585</v>
      </c>
      <c r="H819" s="173">
        <v>0.0</v>
      </c>
      <c r="I819" s="173"/>
      <c r="J819" s="199">
        <v>0.0</v>
      </c>
      <c r="K819" s="293"/>
      <c r="L819" s="173" t="s">
        <v>585</v>
      </c>
      <c r="M819" s="173"/>
      <c r="N819" s="199" t="s">
        <v>585</v>
      </c>
      <c r="O819" s="173"/>
      <c r="P819" s="173" t="s">
        <v>585</v>
      </c>
      <c r="Q819" s="173"/>
      <c r="R819" s="173" t="s">
        <v>585</v>
      </c>
      <c r="S819" s="173"/>
      <c r="T819" s="173" t="s">
        <v>585</v>
      </c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</row>
    <row r="820">
      <c r="A820" s="173"/>
      <c r="B820" s="173"/>
      <c r="C820" s="173"/>
      <c r="D820" s="174"/>
      <c r="E820" s="175"/>
      <c r="F820" s="175"/>
      <c r="G820" s="173" t="s">
        <v>585</v>
      </c>
      <c r="H820" s="173">
        <v>0.0</v>
      </c>
      <c r="I820" s="173"/>
      <c r="J820" s="199">
        <v>0.0</v>
      </c>
      <c r="K820" s="293"/>
      <c r="L820" s="173" t="s">
        <v>585</v>
      </c>
      <c r="M820" s="173"/>
      <c r="N820" s="199" t="s">
        <v>585</v>
      </c>
      <c r="O820" s="173"/>
      <c r="P820" s="173" t="s">
        <v>585</v>
      </c>
      <c r="Q820" s="173"/>
      <c r="R820" s="173" t="s">
        <v>585</v>
      </c>
      <c r="S820" s="173"/>
      <c r="T820" s="173" t="s">
        <v>585</v>
      </c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</row>
    <row r="821">
      <c r="A821" s="173"/>
      <c r="B821" s="173"/>
      <c r="C821" s="173"/>
      <c r="D821" s="174"/>
      <c r="E821" s="175"/>
      <c r="F821" s="175"/>
      <c r="G821" s="173" t="s">
        <v>585</v>
      </c>
      <c r="H821" s="173">
        <v>0.0</v>
      </c>
      <c r="I821" s="173"/>
      <c r="J821" s="199">
        <v>0.0</v>
      </c>
      <c r="K821" s="293"/>
      <c r="L821" s="173" t="s">
        <v>585</v>
      </c>
      <c r="M821" s="173"/>
      <c r="N821" s="199" t="s">
        <v>585</v>
      </c>
      <c r="O821" s="173"/>
      <c r="P821" s="173" t="s">
        <v>585</v>
      </c>
      <c r="Q821" s="173"/>
      <c r="R821" s="173" t="s">
        <v>585</v>
      </c>
      <c r="S821" s="173"/>
      <c r="T821" s="173" t="s">
        <v>585</v>
      </c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</row>
    <row r="822">
      <c r="A822" s="173"/>
      <c r="B822" s="173"/>
      <c r="C822" s="173"/>
      <c r="D822" s="174"/>
      <c r="E822" s="175"/>
      <c r="F822" s="175"/>
      <c r="G822" s="173" t="s">
        <v>585</v>
      </c>
      <c r="H822" s="173">
        <v>0.0</v>
      </c>
      <c r="I822" s="173"/>
      <c r="J822" s="199">
        <v>0.0</v>
      </c>
      <c r="K822" s="293"/>
      <c r="L822" s="173" t="s">
        <v>585</v>
      </c>
      <c r="M822" s="173"/>
      <c r="N822" s="199" t="s">
        <v>585</v>
      </c>
      <c r="O822" s="173"/>
      <c r="P822" s="173" t="s">
        <v>585</v>
      </c>
      <c r="Q822" s="173"/>
      <c r="R822" s="173" t="s">
        <v>585</v>
      </c>
      <c r="S822" s="173"/>
      <c r="T822" s="173" t="s">
        <v>585</v>
      </c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</row>
    <row r="823">
      <c r="A823" s="173"/>
      <c r="B823" s="173"/>
      <c r="C823" s="173"/>
      <c r="D823" s="174"/>
      <c r="E823" s="175"/>
      <c r="F823" s="175"/>
      <c r="G823" s="173" t="s">
        <v>585</v>
      </c>
      <c r="H823" s="173">
        <v>0.0</v>
      </c>
      <c r="I823" s="173"/>
      <c r="J823" s="199">
        <v>0.0</v>
      </c>
      <c r="K823" s="293"/>
      <c r="L823" s="173" t="s">
        <v>585</v>
      </c>
      <c r="M823" s="173"/>
      <c r="N823" s="199" t="s">
        <v>585</v>
      </c>
      <c r="O823" s="173"/>
      <c r="P823" s="173" t="s">
        <v>585</v>
      </c>
      <c r="Q823" s="173"/>
      <c r="R823" s="173" t="s">
        <v>585</v>
      </c>
      <c r="S823" s="173"/>
      <c r="T823" s="173" t="s">
        <v>585</v>
      </c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</row>
    <row r="824">
      <c r="A824" s="173"/>
      <c r="B824" s="173"/>
      <c r="C824" s="173"/>
      <c r="D824" s="174"/>
      <c r="E824" s="175"/>
      <c r="F824" s="175"/>
      <c r="G824" s="173" t="s">
        <v>585</v>
      </c>
      <c r="H824" s="173">
        <v>0.0</v>
      </c>
      <c r="I824" s="173"/>
      <c r="J824" s="199">
        <v>0.0</v>
      </c>
      <c r="K824" s="293"/>
      <c r="L824" s="173" t="s">
        <v>585</v>
      </c>
      <c r="M824" s="173"/>
      <c r="N824" s="199" t="s">
        <v>585</v>
      </c>
      <c r="O824" s="173"/>
      <c r="P824" s="173" t="s">
        <v>585</v>
      </c>
      <c r="Q824" s="173"/>
      <c r="R824" s="173" t="s">
        <v>585</v>
      </c>
      <c r="S824" s="173"/>
      <c r="T824" s="173" t="s">
        <v>585</v>
      </c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</row>
    <row r="825">
      <c r="A825" s="173"/>
      <c r="B825" s="173"/>
      <c r="C825" s="173"/>
      <c r="D825" s="174"/>
      <c r="E825" s="175"/>
      <c r="F825" s="175"/>
      <c r="G825" s="173" t="s">
        <v>585</v>
      </c>
      <c r="H825" s="173">
        <v>0.0</v>
      </c>
      <c r="I825" s="173"/>
      <c r="J825" s="199">
        <v>0.0</v>
      </c>
      <c r="K825" s="293"/>
      <c r="L825" s="173" t="s">
        <v>585</v>
      </c>
      <c r="M825" s="173"/>
      <c r="N825" s="199" t="s">
        <v>585</v>
      </c>
      <c r="O825" s="173"/>
      <c r="P825" s="173" t="s">
        <v>585</v>
      </c>
      <c r="Q825" s="173"/>
      <c r="R825" s="173" t="s">
        <v>585</v>
      </c>
      <c r="S825" s="173"/>
      <c r="T825" s="173" t="s">
        <v>585</v>
      </c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</row>
    <row r="826">
      <c r="A826" s="173"/>
      <c r="B826" s="173"/>
      <c r="C826" s="173"/>
      <c r="D826" s="174"/>
      <c r="E826" s="175"/>
      <c r="F826" s="175"/>
      <c r="G826" s="173" t="s">
        <v>585</v>
      </c>
      <c r="H826" s="173">
        <v>0.0</v>
      </c>
      <c r="I826" s="173"/>
      <c r="J826" s="199">
        <v>0.0</v>
      </c>
      <c r="K826" s="293"/>
      <c r="L826" s="173" t="s">
        <v>585</v>
      </c>
      <c r="M826" s="173"/>
      <c r="N826" s="199" t="s">
        <v>585</v>
      </c>
      <c r="O826" s="173"/>
      <c r="P826" s="173" t="s">
        <v>585</v>
      </c>
      <c r="Q826" s="173"/>
      <c r="R826" s="173" t="s">
        <v>585</v>
      </c>
      <c r="S826" s="173"/>
      <c r="T826" s="173" t="s">
        <v>585</v>
      </c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</row>
    <row r="827">
      <c r="A827" s="173"/>
      <c r="B827" s="173"/>
      <c r="C827" s="173"/>
      <c r="D827" s="174"/>
      <c r="E827" s="175"/>
      <c r="F827" s="175"/>
      <c r="G827" s="173" t="s">
        <v>585</v>
      </c>
      <c r="H827" s="173">
        <v>0.0</v>
      </c>
      <c r="I827" s="173"/>
      <c r="J827" s="199">
        <v>0.0</v>
      </c>
      <c r="K827" s="293"/>
      <c r="L827" s="173" t="s">
        <v>585</v>
      </c>
      <c r="M827" s="173"/>
      <c r="N827" s="199" t="s">
        <v>585</v>
      </c>
      <c r="O827" s="173"/>
      <c r="P827" s="173" t="s">
        <v>585</v>
      </c>
      <c r="Q827" s="173"/>
      <c r="R827" s="173" t="s">
        <v>585</v>
      </c>
      <c r="S827" s="173"/>
      <c r="T827" s="173" t="s">
        <v>585</v>
      </c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</row>
    <row r="828">
      <c r="A828" s="173"/>
      <c r="B828" s="173"/>
      <c r="C828" s="173"/>
      <c r="D828" s="174"/>
      <c r="E828" s="175"/>
      <c r="F828" s="175"/>
      <c r="G828" s="173" t="s">
        <v>585</v>
      </c>
      <c r="H828" s="173">
        <v>0.0</v>
      </c>
      <c r="I828" s="173"/>
      <c r="J828" s="199">
        <v>0.0</v>
      </c>
      <c r="K828" s="293"/>
      <c r="L828" s="173" t="s">
        <v>585</v>
      </c>
      <c r="M828" s="173"/>
      <c r="N828" s="199" t="s">
        <v>585</v>
      </c>
      <c r="O828" s="173"/>
      <c r="P828" s="173" t="s">
        <v>585</v>
      </c>
      <c r="Q828" s="173"/>
      <c r="R828" s="173" t="s">
        <v>585</v>
      </c>
      <c r="S828" s="173"/>
      <c r="T828" s="173" t="s">
        <v>585</v>
      </c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</row>
    <row r="829">
      <c r="A829" s="173"/>
      <c r="B829" s="173"/>
      <c r="C829" s="173"/>
      <c r="D829" s="174"/>
      <c r="E829" s="175"/>
      <c r="F829" s="175"/>
      <c r="G829" s="173" t="s">
        <v>585</v>
      </c>
      <c r="H829" s="173">
        <v>0.0</v>
      </c>
      <c r="I829" s="173"/>
      <c r="J829" s="199">
        <v>0.0</v>
      </c>
      <c r="K829" s="293"/>
      <c r="L829" s="173" t="s">
        <v>585</v>
      </c>
      <c r="M829" s="173"/>
      <c r="N829" s="199" t="s">
        <v>585</v>
      </c>
      <c r="O829" s="173"/>
      <c r="P829" s="173" t="s">
        <v>585</v>
      </c>
      <c r="Q829" s="173"/>
      <c r="R829" s="173" t="s">
        <v>585</v>
      </c>
      <c r="S829" s="173"/>
      <c r="T829" s="173" t="s">
        <v>585</v>
      </c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</row>
    <row r="830">
      <c r="A830" s="173"/>
      <c r="B830" s="173"/>
      <c r="C830" s="173"/>
      <c r="D830" s="174"/>
      <c r="E830" s="175"/>
      <c r="F830" s="175"/>
      <c r="G830" s="173" t="s">
        <v>585</v>
      </c>
      <c r="H830" s="173">
        <v>0.0</v>
      </c>
      <c r="I830" s="173"/>
      <c r="J830" s="199">
        <v>0.0</v>
      </c>
      <c r="K830" s="293"/>
      <c r="L830" s="173" t="s">
        <v>585</v>
      </c>
      <c r="M830" s="173"/>
      <c r="N830" s="199" t="s">
        <v>585</v>
      </c>
      <c r="O830" s="173"/>
      <c r="P830" s="173" t="s">
        <v>585</v>
      </c>
      <c r="Q830" s="173"/>
      <c r="R830" s="173" t="s">
        <v>585</v>
      </c>
      <c r="S830" s="173"/>
      <c r="T830" s="173" t="s">
        <v>585</v>
      </c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</row>
    <row r="831">
      <c r="A831" s="173"/>
      <c r="B831" s="173"/>
      <c r="C831" s="173"/>
      <c r="D831" s="174"/>
      <c r="E831" s="175"/>
      <c r="F831" s="175"/>
      <c r="G831" s="173" t="s">
        <v>585</v>
      </c>
      <c r="H831" s="173">
        <v>0.0</v>
      </c>
      <c r="I831" s="173"/>
      <c r="J831" s="199">
        <v>0.0</v>
      </c>
      <c r="K831" s="293"/>
      <c r="L831" s="173" t="s">
        <v>585</v>
      </c>
      <c r="M831" s="173"/>
      <c r="N831" s="199" t="s">
        <v>585</v>
      </c>
      <c r="O831" s="173"/>
      <c r="P831" s="173" t="s">
        <v>585</v>
      </c>
      <c r="Q831" s="173"/>
      <c r="R831" s="173" t="s">
        <v>585</v>
      </c>
      <c r="S831" s="173"/>
      <c r="T831" s="173" t="s">
        <v>585</v>
      </c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</row>
    <row r="832">
      <c r="A832" s="173"/>
      <c r="B832" s="173"/>
      <c r="C832" s="173"/>
      <c r="D832" s="174"/>
      <c r="E832" s="175"/>
      <c r="F832" s="175"/>
      <c r="G832" s="173" t="s">
        <v>585</v>
      </c>
      <c r="H832" s="173">
        <v>0.0</v>
      </c>
      <c r="I832" s="173"/>
      <c r="J832" s="199">
        <v>0.0</v>
      </c>
      <c r="K832" s="293"/>
      <c r="L832" s="173" t="s">
        <v>585</v>
      </c>
      <c r="M832" s="173"/>
      <c r="N832" s="199" t="s">
        <v>585</v>
      </c>
      <c r="O832" s="173"/>
      <c r="P832" s="173" t="s">
        <v>585</v>
      </c>
      <c r="Q832" s="173"/>
      <c r="R832" s="173" t="s">
        <v>585</v>
      </c>
      <c r="S832" s="173"/>
      <c r="T832" s="173" t="s">
        <v>585</v>
      </c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</row>
    <row r="833">
      <c r="A833" s="173"/>
      <c r="B833" s="173"/>
      <c r="C833" s="173"/>
      <c r="D833" s="174"/>
      <c r="E833" s="175"/>
      <c r="F833" s="175"/>
      <c r="G833" s="173" t="s">
        <v>585</v>
      </c>
      <c r="H833" s="173">
        <v>0.0</v>
      </c>
      <c r="I833" s="173"/>
      <c r="J833" s="199">
        <v>0.0</v>
      </c>
      <c r="K833" s="293"/>
      <c r="L833" s="173" t="s">
        <v>585</v>
      </c>
      <c r="M833" s="173"/>
      <c r="N833" s="199" t="s">
        <v>585</v>
      </c>
      <c r="O833" s="173"/>
      <c r="P833" s="173" t="s">
        <v>585</v>
      </c>
      <c r="Q833" s="173"/>
      <c r="R833" s="173" t="s">
        <v>585</v>
      </c>
      <c r="S833" s="173"/>
      <c r="T833" s="173" t="s">
        <v>585</v>
      </c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</row>
    <row r="834">
      <c r="A834" s="173"/>
      <c r="B834" s="173"/>
      <c r="C834" s="173"/>
      <c r="D834" s="174"/>
      <c r="E834" s="175"/>
      <c r="F834" s="175"/>
      <c r="G834" s="173" t="s">
        <v>585</v>
      </c>
      <c r="H834" s="173">
        <v>0.0</v>
      </c>
      <c r="I834" s="173"/>
      <c r="J834" s="199">
        <v>0.0</v>
      </c>
      <c r="K834" s="293"/>
      <c r="L834" s="173" t="s">
        <v>585</v>
      </c>
      <c r="M834" s="173"/>
      <c r="N834" s="199" t="s">
        <v>585</v>
      </c>
      <c r="O834" s="173"/>
      <c r="P834" s="173" t="s">
        <v>585</v>
      </c>
      <c r="Q834" s="173"/>
      <c r="R834" s="173" t="s">
        <v>585</v>
      </c>
      <c r="S834" s="173"/>
      <c r="T834" s="173" t="s">
        <v>585</v>
      </c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</row>
    <row r="835">
      <c r="A835" s="173"/>
      <c r="B835" s="173"/>
      <c r="C835" s="173"/>
      <c r="D835" s="174"/>
      <c r="E835" s="175"/>
      <c r="F835" s="175"/>
      <c r="G835" s="173" t="s">
        <v>585</v>
      </c>
      <c r="H835" s="173">
        <v>0.0</v>
      </c>
      <c r="I835" s="173"/>
      <c r="J835" s="199">
        <v>0.0</v>
      </c>
      <c r="K835" s="293"/>
      <c r="L835" s="173" t="s">
        <v>585</v>
      </c>
      <c r="M835" s="173"/>
      <c r="N835" s="199" t="s">
        <v>585</v>
      </c>
      <c r="O835" s="173"/>
      <c r="P835" s="173" t="s">
        <v>585</v>
      </c>
      <c r="Q835" s="173"/>
      <c r="R835" s="173" t="s">
        <v>585</v>
      </c>
      <c r="S835" s="173"/>
      <c r="T835" s="173" t="s">
        <v>585</v>
      </c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</row>
    <row r="836">
      <c r="A836" s="173"/>
      <c r="B836" s="173"/>
      <c r="C836" s="173"/>
      <c r="D836" s="174"/>
      <c r="E836" s="175"/>
      <c r="F836" s="175"/>
      <c r="G836" s="173" t="s">
        <v>585</v>
      </c>
      <c r="H836" s="173">
        <v>0.0</v>
      </c>
      <c r="I836" s="173"/>
      <c r="J836" s="199">
        <v>0.0</v>
      </c>
      <c r="K836" s="293"/>
      <c r="L836" s="173" t="s">
        <v>585</v>
      </c>
      <c r="M836" s="173"/>
      <c r="N836" s="199" t="s">
        <v>585</v>
      </c>
      <c r="O836" s="173"/>
      <c r="P836" s="173" t="s">
        <v>585</v>
      </c>
      <c r="Q836" s="173"/>
      <c r="R836" s="173" t="s">
        <v>585</v>
      </c>
      <c r="S836" s="173"/>
      <c r="T836" s="173" t="s">
        <v>585</v>
      </c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</row>
    <row r="837">
      <c r="A837" s="173"/>
      <c r="B837" s="173"/>
      <c r="C837" s="173"/>
      <c r="D837" s="174"/>
      <c r="E837" s="175"/>
      <c r="F837" s="175"/>
      <c r="G837" s="173" t="s">
        <v>585</v>
      </c>
      <c r="H837" s="173">
        <v>0.0</v>
      </c>
      <c r="I837" s="173"/>
      <c r="J837" s="199">
        <v>0.0</v>
      </c>
      <c r="K837" s="293"/>
      <c r="L837" s="173" t="s">
        <v>585</v>
      </c>
      <c r="M837" s="173"/>
      <c r="N837" s="199" t="s">
        <v>585</v>
      </c>
      <c r="O837" s="173"/>
      <c r="P837" s="173" t="s">
        <v>585</v>
      </c>
      <c r="Q837" s="173"/>
      <c r="R837" s="173" t="s">
        <v>585</v>
      </c>
      <c r="S837" s="173"/>
      <c r="T837" s="173" t="s">
        <v>585</v>
      </c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</row>
    <row r="838">
      <c r="A838" s="173"/>
      <c r="B838" s="173"/>
      <c r="C838" s="173"/>
      <c r="D838" s="174"/>
      <c r="E838" s="175"/>
      <c r="F838" s="175"/>
      <c r="G838" s="173" t="s">
        <v>585</v>
      </c>
      <c r="H838" s="173">
        <v>0.0</v>
      </c>
      <c r="I838" s="173"/>
      <c r="J838" s="199">
        <v>0.0</v>
      </c>
      <c r="K838" s="293"/>
      <c r="L838" s="173" t="s">
        <v>585</v>
      </c>
      <c r="M838" s="173"/>
      <c r="N838" s="199" t="s">
        <v>585</v>
      </c>
      <c r="O838" s="173"/>
      <c r="P838" s="173" t="s">
        <v>585</v>
      </c>
      <c r="Q838" s="173"/>
      <c r="R838" s="173" t="s">
        <v>585</v>
      </c>
      <c r="S838" s="173"/>
      <c r="T838" s="173" t="s">
        <v>585</v>
      </c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</row>
    <row r="839">
      <c r="A839" s="173"/>
      <c r="B839" s="173"/>
      <c r="C839" s="173"/>
      <c r="D839" s="174"/>
      <c r="E839" s="175"/>
      <c r="F839" s="175"/>
      <c r="G839" s="173" t="s">
        <v>585</v>
      </c>
      <c r="H839" s="173">
        <v>0.0</v>
      </c>
      <c r="I839" s="173"/>
      <c r="J839" s="199">
        <v>0.0</v>
      </c>
      <c r="K839" s="293"/>
      <c r="L839" s="173" t="s">
        <v>585</v>
      </c>
      <c r="M839" s="173"/>
      <c r="N839" s="199" t="s">
        <v>585</v>
      </c>
      <c r="O839" s="173"/>
      <c r="P839" s="173" t="s">
        <v>585</v>
      </c>
      <c r="Q839" s="173"/>
      <c r="R839" s="173" t="s">
        <v>585</v>
      </c>
      <c r="S839" s="173"/>
      <c r="T839" s="173" t="s">
        <v>585</v>
      </c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</row>
    <row r="840">
      <c r="A840" s="173"/>
      <c r="B840" s="173"/>
      <c r="C840" s="173"/>
      <c r="D840" s="174"/>
      <c r="E840" s="175"/>
      <c r="F840" s="175"/>
      <c r="G840" s="173" t="s">
        <v>585</v>
      </c>
      <c r="H840" s="173">
        <v>0.0</v>
      </c>
      <c r="I840" s="173"/>
      <c r="J840" s="199">
        <v>0.0</v>
      </c>
      <c r="K840" s="293"/>
      <c r="L840" s="173" t="s">
        <v>585</v>
      </c>
      <c r="M840" s="173"/>
      <c r="N840" s="199" t="s">
        <v>585</v>
      </c>
      <c r="O840" s="173"/>
      <c r="P840" s="173" t="s">
        <v>585</v>
      </c>
      <c r="Q840" s="173"/>
      <c r="R840" s="173" t="s">
        <v>585</v>
      </c>
      <c r="S840" s="173"/>
      <c r="T840" s="173" t="s">
        <v>585</v>
      </c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</row>
    <row r="841">
      <c r="A841" s="173"/>
      <c r="B841" s="173"/>
      <c r="C841" s="173"/>
      <c r="D841" s="174"/>
      <c r="E841" s="175"/>
      <c r="F841" s="175"/>
      <c r="G841" s="173" t="s">
        <v>585</v>
      </c>
      <c r="H841" s="173">
        <v>0.0</v>
      </c>
      <c r="I841" s="173"/>
      <c r="J841" s="199">
        <v>0.0</v>
      </c>
      <c r="K841" s="293"/>
      <c r="L841" s="173" t="s">
        <v>585</v>
      </c>
      <c r="M841" s="173"/>
      <c r="N841" s="199" t="s">
        <v>585</v>
      </c>
      <c r="O841" s="173"/>
      <c r="P841" s="173" t="s">
        <v>585</v>
      </c>
      <c r="Q841" s="173"/>
      <c r="R841" s="173" t="s">
        <v>585</v>
      </c>
      <c r="S841" s="173"/>
      <c r="T841" s="173" t="s">
        <v>585</v>
      </c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</row>
    <row r="842">
      <c r="A842" s="173"/>
      <c r="B842" s="173"/>
      <c r="C842" s="173"/>
      <c r="D842" s="174"/>
      <c r="E842" s="175"/>
      <c r="F842" s="175"/>
      <c r="G842" s="173" t="s">
        <v>585</v>
      </c>
      <c r="H842" s="173">
        <v>0.0</v>
      </c>
      <c r="I842" s="173"/>
      <c r="J842" s="199">
        <v>0.0</v>
      </c>
      <c r="K842" s="293"/>
      <c r="L842" s="173" t="s">
        <v>585</v>
      </c>
      <c r="M842" s="173"/>
      <c r="N842" s="199" t="s">
        <v>585</v>
      </c>
      <c r="O842" s="173"/>
      <c r="P842" s="173" t="s">
        <v>585</v>
      </c>
      <c r="Q842" s="173"/>
      <c r="R842" s="173" t="s">
        <v>585</v>
      </c>
      <c r="S842" s="173"/>
      <c r="T842" s="173" t="s">
        <v>585</v>
      </c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</row>
    <row r="843">
      <c r="A843" s="173"/>
      <c r="B843" s="173"/>
      <c r="C843" s="173"/>
      <c r="D843" s="174"/>
      <c r="E843" s="175"/>
      <c r="F843" s="175"/>
      <c r="G843" s="173" t="s">
        <v>585</v>
      </c>
      <c r="H843" s="173">
        <v>0.0</v>
      </c>
      <c r="I843" s="173"/>
      <c r="J843" s="199">
        <v>0.0</v>
      </c>
      <c r="K843" s="293"/>
      <c r="L843" s="173" t="s">
        <v>585</v>
      </c>
      <c r="M843" s="173"/>
      <c r="N843" s="199" t="s">
        <v>585</v>
      </c>
      <c r="O843" s="173"/>
      <c r="P843" s="173" t="s">
        <v>585</v>
      </c>
      <c r="Q843" s="173"/>
      <c r="R843" s="173" t="s">
        <v>585</v>
      </c>
      <c r="S843" s="173"/>
      <c r="T843" s="173" t="s">
        <v>585</v>
      </c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</row>
    <row r="844">
      <c r="A844" s="173"/>
      <c r="B844" s="173"/>
      <c r="C844" s="173"/>
      <c r="D844" s="174"/>
      <c r="E844" s="175"/>
      <c r="F844" s="175"/>
      <c r="G844" s="173" t="s">
        <v>585</v>
      </c>
      <c r="H844" s="173">
        <v>0.0</v>
      </c>
      <c r="I844" s="173"/>
      <c r="J844" s="199">
        <v>0.0</v>
      </c>
      <c r="K844" s="293"/>
      <c r="L844" s="173" t="s">
        <v>585</v>
      </c>
      <c r="M844" s="173"/>
      <c r="N844" s="199" t="s">
        <v>585</v>
      </c>
      <c r="O844" s="173"/>
      <c r="P844" s="173" t="s">
        <v>585</v>
      </c>
      <c r="Q844" s="173"/>
      <c r="R844" s="173" t="s">
        <v>585</v>
      </c>
      <c r="S844" s="173"/>
      <c r="T844" s="173" t="s">
        <v>585</v>
      </c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</row>
    <row r="845">
      <c r="A845" s="173"/>
      <c r="B845" s="173"/>
      <c r="C845" s="173"/>
      <c r="D845" s="174"/>
      <c r="E845" s="175"/>
      <c r="F845" s="175"/>
      <c r="G845" s="173" t="s">
        <v>585</v>
      </c>
      <c r="H845" s="173">
        <v>0.0</v>
      </c>
      <c r="I845" s="173"/>
      <c r="J845" s="199">
        <v>0.0</v>
      </c>
      <c r="K845" s="293"/>
      <c r="L845" s="173" t="s">
        <v>585</v>
      </c>
      <c r="M845" s="173"/>
      <c r="N845" s="199" t="s">
        <v>585</v>
      </c>
      <c r="O845" s="173"/>
      <c r="P845" s="173" t="s">
        <v>585</v>
      </c>
      <c r="Q845" s="173"/>
      <c r="R845" s="173" t="s">
        <v>585</v>
      </c>
      <c r="S845" s="173"/>
      <c r="T845" s="173" t="s">
        <v>585</v>
      </c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</row>
    <row r="846">
      <c r="A846" s="173"/>
      <c r="B846" s="173"/>
      <c r="C846" s="173"/>
      <c r="D846" s="174"/>
      <c r="E846" s="175"/>
      <c r="F846" s="175"/>
      <c r="G846" s="173" t="s">
        <v>585</v>
      </c>
      <c r="H846" s="173">
        <v>0.0</v>
      </c>
      <c r="I846" s="173"/>
      <c r="J846" s="199">
        <v>0.0</v>
      </c>
      <c r="K846" s="293"/>
      <c r="L846" s="173" t="s">
        <v>585</v>
      </c>
      <c r="M846" s="173"/>
      <c r="N846" s="199" t="s">
        <v>585</v>
      </c>
      <c r="O846" s="173"/>
      <c r="P846" s="173" t="s">
        <v>585</v>
      </c>
      <c r="Q846" s="173"/>
      <c r="R846" s="173" t="s">
        <v>585</v>
      </c>
      <c r="S846" s="173"/>
      <c r="T846" s="173" t="s">
        <v>585</v>
      </c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</row>
    <row r="847">
      <c r="A847" s="173"/>
      <c r="B847" s="173"/>
      <c r="C847" s="173"/>
      <c r="D847" s="174"/>
      <c r="E847" s="175"/>
      <c r="F847" s="175"/>
      <c r="G847" s="173" t="s">
        <v>585</v>
      </c>
      <c r="H847" s="173">
        <v>0.0</v>
      </c>
      <c r="I847" s="173"/>
      <c r="J847" s="199">
        <v>0.0</v>
      </c>
      <c r="K847" s="293"/>
      <c r="L847" s="173" t="s">
        <v>585</v>
      </c>
      <c r="M847" s="173"/>
      <c r="N847" s="199" t="s">
        <v>585</v>
      </c>
      <c r="O847" s="173"/>
      <c r="P847" s="173" t="s">
        <v>585</v>
      </c>
      <c r="Q847" s="173"/>
      <c r="R847" s="173" t="s">
        <v>585</v>
      </c>
      <c r="S847" s="173"/>
      <c r="T847" s="173" t="s">
        <v>585</v>
      </c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</row>
    <row r="848">
      <c r="A848" s="173"/>
      <c r="B848" s="173"/>
      <c r="C848" s="173"/>
      <c r="D848" s="174"/>
      <c r="E848" s="175"/>
      <c r="F848" s="175"/>
      <c r="G848" s="173" t="s">
        <v>585</v>
      </c>
      <c r="H848" s="173">
        <v>0.0</v>
      </c>
      <c r="I848" s="173"/>
      <c r="J848" s="199">
        <v>0.0</v>
      </c>
      <c r="K848" s="293"/>
      <c r="L848" s="173" t="s">
        <v>585</v>
      </c>
      <c r="M848" s="173"/>
      <c r="N848" s="199" t="s">
        <v>585</v>
      </c>
      <c r="O848" s="173"/>
      <c r="P848" s="173" t="s">
        <v>585</v>
      </c>
      <c r="Q848" s="173"/>
      <c r="R848" s="173" t="s">
        <v>585</v>
      </c>
      <c r="S848" s="173"/>
      <c r="T848" s="173" t="s">
        <v>585</v>
      </c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</row>
    <row r="849">
      <c r="A849" s="173"/>
      <c r="B849" s="173"/>
      <c r="C849" s="173"/>
      <c r="D849" s="174"/>
      <c r="E849" s="175"/>
      <c r="F849" s="175"/>
      <c r="G849" s="173" t="s">
        <v>585</v>
      </c>
      <c r="H849" s="173">
        <v>0.0</v>
      </c>
      <c r="I849" s="173"/>
      <c r="J849" s="199">
        <v>0.0</v>
      </c>
      <c r="K849" s="293"/>
      <c r="L849" s="173" t="s">
        <v>585</v>
      </c>
      <c r="M849" s="173"/>
      <c r="N849" s="199" t="s">
        <v>585</v>
      </c>
      <c r="O849" s="173"/>
      <c r="P849" s="173" t="s">
        <v>585</v>
      </c>
      <c r="Q849" s="173"/>
      <c r="R849" s="173" t="s">
        <v>585</v>
      </c>
      <c r="S849" s="173"/>
      <c r="T849" s="173" t="s">
        <v>585</v>
      </c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</row>
    <row r="850">
      <c r="A850" s="173"/>
      <c r="B850" s="173"/>
      <c r="C850" s="173"/>
      <c r="D850" s="174"/>
      <c r="E850" s="175"/>
      <c r="F850" s="175"/>
      <c r="G850" s="173" t="s">
        <v>585</v>
      </c>
      <c r="H850" s="173">
        <v>0.0</v>
      </c>
      <c r="I850" s="173"/>
      <c r="J850" s="199">
        <v>0.0</v>
      </c>
      <c r="K850" s="293"/>
      <c r="L850" s="173" t="s">
        <v>585</v>
      </c>
      <c r="M850" s="173"/>
      <c r="N850" s="199" t="s">
        <v>585</v>
      </c>
      <c r="O850" s="173"/>
      <c r="P850" s="173" t="s">
        <v>585</v>
      </c>
      <c r="Q850" s="173"/>
      <c r="R850" s="173" t="s">
        <v>585</v>
      </c>
      <c r="S850" s="173"/>
      <c r="T850" s="173" t="s">
        <v>585</v>
      </c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</row>
    <row r="851">
      <c r="A851" s="173"/>
      <c r="B851" s="173"/>
      <c r="C851" s="173"/>
      <c r="D851" s="174"/>
      <c r="E851" s="175"/>
      <c r="F851" s="175"/>
      <c r="G851" s="173" t="s">
        <v>585</v>
      </c>
      <c r="H851" s="173">
        <v>0.0</v>
      </c>
      <c r="I851" s="173"/>
      <c r="J851" s="199">
        <v>0.0</v>
      </c>
      <c r="K851" s="293"/>
      <c r="L851" s="173" t="s">
        <v>585</v>
      </c>
      <c r="M851" s="173"/>
      <c r="N851" s="199" t="s">
        <v>585</v>
      </c>
      <c r="O851" s="173"/>
      <c r="P851" s="173" t="s">
        <v>585</v>
      </c>
      <c r="Q851" s="173"/>
      <c r="R851" s="173" t="s">
        <v>585</v>
      </c>
      <c r="S851" s="173"/>
      <c r="T851" s="173" t="s">
        <v>585</v>
      </c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</row>
    <row r="852">
      <c r="A852" s="173"/>
      <c r="B852" s="173"/>
      <c r="C852" s="173"/>
      <c r="D852" s="174"/>
      <c r="E852" s="175"/>
      <c r="F852" s="175"/>
      <c r="G852" s="173" t="s">
        <v>585</v>
      </c>
      <c r="H852" s="173">
        <v>0.0</v>
      </c>
      <c r="I852" s="173"/>
      <c r="J852" s="199">
        <v>0.0</v>
      </c>
      <c r="K852" s="293"/>
      <c r="L852" s="173" t="s">
        <v>585</v>
      </c>
      <c r="M852" s="173"/>
      <c r="N852" s="199" t="s">
        <v>585</v>
      </c>
      <c r="O852" s="173"/>
      <c r="P852" s="173" t="s">
        <v>585</v>
      </c>
      <c r="Q852" s="173"/>
      <c r="R852" s="173" t="s">
        <v>585</v>
      </c>
      <c r="S852" s="173"/>
      <c r="T852" s="173" t="s">
        <v>585</v>
      </c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</row>
    <row r="853">
      <c r="A853" s="173"/>
      <c r="B853" s="173"/>
      <c r="C853" s="173"/>
      <c r="D853" s="174"/>
      <c r="E853" s="175"/>
      <c r="F853" s="175"/>
      <c r="G853" s="173" t="s">
        <v>585</v>
      </c>
      <c r="H853" s="173">
        <v>0.0</v>
      </c>
      <c r="I853" s="173"/>
      <c r="J853" s="199">
        <v>0.0</v>
      </c>
      <c r="K853" s="293"/>
      <c r="L853" s="173" t="s">
        <v>585</v>
      </c>
      <c r="M853" s="173"/>
      <c r="N853" s="199" t="s">
        <v>585</v>
      </c>
      <c r="O853" s="173"/>
      <c r="P853" s="173" t="s">
        <v>585</v>
      </c>
      <c r="Q853" s="173"/>
      <c r="R853" s="173" t="s">
        <v>585</v>
      </c>
      <c r="S853" s="173"/>
      <c r="T853" s="173" t="s">
        <v>585</v>
      </c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</row>
    <row r="854">
      <c r="A854" s="173"/>
      <c r="B854" s="173"/>
      <c r="C854" s="173"/>
      <c r="D854" s="174"/>
      <c r="E854" s="175"/>
      <c r="F854" s="175"/>
      <c r="G854" s="173" t="s">
        <v>585</v>
      </c>
      <c r="H854" s="173">
        <v>0.0</v>
      </c>
      <c r="I854" s="173"/>
      <c r="J854" s="199">
        <v>0.0</v>
      </c>
      <c r="K854" s="293"/>
      <c r="L854" s="173" t="s">
        <v>585</v>
      </c>
      <c r="M854" s="173"/>
      <c r="N854" s="199" t="s">
        <v>585</v>
      </c>
      <c r="O854" s="173"/>
      <c r="P854" s="173" t="s">
        <v>585</v>
      </c>
      <c r="Q854" s="173"/>
      <c r="R854" s="173" t="s">
        <v>585</v>
      </c>
      <c r="S854" s="173"/>
      <c r="T854" s="173" t="s">
        <v>585</v>
      </c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</row>
    <row r="855">
      <c r="A855" s="173"/>
      <c r="B855" s="173"/>
      <c r="C855" s="173"/>
      <c r="D855" s="174"/>
      <c r="E855" s="175"/>
      <c r="F855" s="175"/>
      <c r="G855" s="173" t="s">
        <v>585</v>
      </c>
      <c r="H855" s="173">
        <v>0.0</v>
      </c>
      <c r="I855" s="173"/>
      <c r="J855" s="199">
        <v>0.0</v>
      </c>
      <c r="K855" s="293"/>
      <c r="L855" s="173" t="s">
        <v>585</v>
      </c>
      <c r="M855" s="173"/>
      <c r="N855" s="199" t="s">
        <v>585</v>
      </c>
      <c r="O855" s="173"/>
      <c r="P855" s="173" t="s">
        <v>585</v>
      </c>
      <c r="Q855" s="173"/>
      <c r="R855" s="173" t="s">
        <v>585</v>
      </c>
      <c r="S855" s="173"/>
      <c r="T855" s="173" t="s">
        <v>585</v>
      </c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</row>
    <row r="856">
      <c r="A856" s="173"/>
      <c r="B856" s="173"/>
      <c r="C856" s="173"/>
      <c r="D856" s="174"/>
      <c r="E856" s="175"/>
      <c r="F856" s="175"/>
      <c r="G856" s="173" t="s">
        <v>585</v>
      </c>
      <c r="H856" s="173">
        <v>0.0</v>
      </c>
      <c r="I856" s="173"/>
      <c r="J856" s="199">
        <v>0.0</v>
      </c>
      <c r="K856" s="293"/>
      <c r="L856" s="173" t="s">
        <v>585</v>
      </c>
      <c r="M856" s="173"/>
      <c r="N856" s="199" t="s">
        <v>585</v>
      </c>
      <c r="O856" s="173"/>
      <c r="P856" s="173" t="s">
        <v>585</v>
      </c>
      <c r="Q856" s="173"/>
      <c r="R856" s="173" t="s">
        <v>585</v>
      </c>
      <c r="S856" s="173"/>
      <c r="T856" s="173" t="s">
        <v>585</v>
      </c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</row>
    <row r="857">
      <c r="A857" s="173"/>
      <c r="B857" s="173"/>
      <c r="C857" s="173"/>
      <c r="D857" s="174"/>
      <c r="E857" s="175"/>
      <c r="F857" s="175"/>
      <c r="G857" s="173" t="s">
        <v>585</v>
      </c>
      <c r="H857" s="173">
        <v>0.0</v>
      </c>
      <c r="I857" s="173"/>
      <c r="J857" s="199">
        <v>0.0</v>
      </c>
      <c r="K857" s="293"/>
      <c r="L857" s="173" t="s">
        <v>585</v>
      </c>
      <c r="M857" s="173"/>
      <c r="N857" s="199" t="s">
        <v>585</v>
      </c>
      <c r="O857" s="173"/>
      <c r="P857" s="173" t="s">
        <v>585</v>
      </c>
      <c r="Q857" s="173"/>
      <c r="R857" s="173" t="s">
        <v>585</v>
      </c>
      <c r="S857" s="173"/>
      <c r="T857" s="173" t="s">
        <v>585</v>
      </c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</row>
    <row r="858">
      <c r="A858" s="173"/>
      <c r="B858" s="173"/>
      <c r="C858" s="173"/>
      <c r="D858" s="174"/>
      <c r="E858" s="175"/>
      <c r="F858" s="175"/>
      <c r="G858" s="173" t="s">
        <v>585</v>
      </c>
      <c r="H858" s="173">
        <v>0.0</v>
      </c>
      <c r="I858" s="173"/>
      <c r="J858" s="199">
        <v>0.0</v>
      </c>
      <c r="K858" s="293"/>
      <c r="L858" s="173" t="s">
        <v>585</v>
      </c>
      <c r="M858" s="173"/>
      <c r="N858" s="199" t="s">
        <v>585</v>
      </c>
      <c r="O858" s="173"/>
      <c r="P858" s="173" t="s">
        <v>585</v>
      </c>
      <c r="Q858" s="173"/>
      <c r="R858" s="173" t="s">
        <v>585</v>
      </c>
      <c r="S858" s="173"/>
      <c r="T858" s="173" t="s">
        <v>585</v>
      </c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</row>
    <row r="859">
      <c r="A859" s="173"/>
      <c r="B859" s="173"/>
      <c r="C859" s="173"/>
      <c r="D859" s="174"/>
      <c r="E859" s="175"/>
      <c r="F859" s="175"/>
      <c r="G859" s="173" t="s">
        <v>585</v>
      </c>
      <c r="H859" s="173">
        <v>0.0</v>
      </c>
      <c r="I859" s="173"/>
      <c r="J859" s="199">
        <v>0.0</v>
      </c>
      <c r="K859" s="293"/>
      <c r="L859" s="173" t="s">
        <v>585</v>
      </c>
      <c r="M859" s="173"/>
      <c r="N859" s="199" t="s">
        <v>585</v>
      </c>
      <c r="O859" s="173"/>
      <c r="P859" s="173" t="s">
        <v>585</v>
      </c>
      <c r="Q859" s="173"/>
      <c r="R859" s="173" t="s">
        <v>585</v>
      </c>
      <c r="S859" s="173"/>
      <c r="T859" s="173" t="s">
        <v>585</v>
      </c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</row>
    <row r="860">
      <c r="A860" s="173"/>
      <c r="B860" s="173"/>
      <c r="C860" s="173"/>
      <c r="D860" s="174"/>
      <c r="E860" s="175"/>
      <c r="F860" s="175"/>
      <c r="G860" s="173" t="s">
        <v>585</v>
      </c>
      <c r="H860" s="173">
        <v>0.0</v>
      </c>
      <c r="I860" s="173"/>
      <c r="J860" s="199">
        <v>0.0</v>
      </c>
      <c r="K860" s="293"/>
      <c r="L860" s="173" t="s">
        <v>585</v>
      </c>
      <c r="M860" s="173"/>
      <c r="N860" s="199" t="s">
        <v>585</v>
      </c>
      <c r="O860" s="173"/>
      <c r="P860" s="173" t="s">
        <v>585</v>
      </c>
      <c r="Q860" s="173"/>
      <c r="R860" s="173" t="s">
        <v>585</v>
      </c>
      <c r="S860" s="173"/>
      <c r="T860" s="173" t="s">
        <v>585</v>
      </c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</row>
    <row r="861">
      <c r="A861" s="173"/>
      <c r="B861" s="173"/>
      <c r="C861" s="173"/>
      <c r="D861" s="174"/>
      <c r="E861" s="175"/>
      <c r="F861" s="175"/>
      <c r="G861" s="173" t="s">
        <v>585</v>
      </c>
      <c r="H861" s="173">
        <v>0.0</v>
      </c>
      <c r="I861" s="173"/>
      <c r="J861" s="199">
        <v>0.0</v>
      </c>
      <c r="K861" s="293"/>
      <c r="L861" s="173" t="s">
        <v>585</v>
      </c>
      <c r="M861" s="173"/>
      <c r="N861" s="199" t="s">
        <v>585</v>
      </c>
      <c r="O861" s="173"/>
      <c r="P861" s="173" t="s">
        <v>585</v>
      </c>
      <c r="Q861" s="173"/>
      <c r="R861" s="173" t="s">
        <v>585</v>
      </c>
      <c r="S861" s="173"/>
      <c r="T861" s="173" t="s">
        <v>585</v>
      </c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</row>
    <row r="862">
      <c r="A862" s="173"/>
      <c r="B862" s="173"/>
      <c r="C862" s="173"/>
      <c r="D862" s="174"/>
      <c r="E862" s="175"/>
      <c r="F862" s="175"/>
      <c r="G862" s="173" t="s">
        <v>585</v>
      </c>
      <c r="H862" s="173">
        <v>0.0</v>
      </c>
      <c r="I862" s="173"/>
      <c r="J862" s="199">
        <v>0.0</v>
      </c>
      <c r="K862" s="293"/>
      <c r="L862" s="173" t="s">
        <v>585</v>
      </c>
      <c r="M862" s="173"/>
      <c r="N862" s="199" t="s">
        <v>585</v>
      </c>
      <c r="O862" s="173"/>
      <c r="P862" s="173" t="s">
        <v>585</v>
      </c>
      <c r="Q862" s="173"/>
      <c r="R862" s="173" t="s">
        <v>585</v>
      </c>
      <c r="S862" s="173"/>
      <c r="T862" s="173" t="s">
        <v>585</v>
      </c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</row>
    <row r="863">
      <c r="A863" s="173"/>
      <c r="B863" s="173"/>
      <c r="C863" s="173"/>
      <c r="D863" s="174"/>
      <c r="E863" s="175"/>
      <c r="F863" s="175"/>
      <c r="G863" s="173" t="s">
        <v>585</v>
      </c>
      <c r="H863" s="173">
        <v>0.0</v>
      </c>
      <c r="I863" s="173"/>
      <c r="J863" s="199">
        <v>0.0</v>
      </c>
      <c r="K863" s="293"/>
      <c r="L863" s="173" t="s">
        <v>585</v>
      </c>
      <c r="M863" s="173"/>
      <c r="N863" s="199" t="s">
        <v>585</v>
      </c>
      <c r="O863" s="173"/>
      <c r="P863" s="173" t="s">
        <v>585</v>
      </c>
      <c r="Q863" s="173"/>
      <c r="R863" s="173" t="s">
        <v>585</v>
      </c>
      <c r="S863" s="173"/>
      <c r="T863" s="173" t="s">
        <v>585</v>
      </c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</row>
    <row r="864">
      <c r="A864" s="173"/>
      <c r="B864" s="173"/>
      <c r="C864" s="173"/>
      <c r="D864" s="174"/>
      <c r="E864" s="175"/>
      <c r="F864" s="175"/>
      <c r="G864" s="173" t="s">
        <v>585</v>
      </c>
      <c r="H864" s="173">
        <v>0.0</v>
      </c>
      <c r="I864" s="173"/>
      <c r="J864" s="199">
        <v>0.0</v>
      </c>
      <c r="K864" s="293"/>
      <c r="L864" s="173" t="s">
        <v>585</v>
      </c>
      <c r="M864" s="173"/>
      <c r="N864" s="199" t="s">
        <v>585</v>
      </c>
      <c r="O864" s="173"/>
      <c r="P864" s="173" t="s">
        <v>585</v>
      </c>
      <c r="Q864" s="173"/>
      <c r="R864" s="173" t="s">
        <v>585</v>
      </c>
      <c r="S864" s="173"/>
      <c r="T864" s="173" t="s">
        <v>585</v>
      </c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</row>
    <row r="865">
      <c r="A865" s="173"/>
      <c r="B865" s="173"/>
      <c r="C865" s="173"/>
      <c r="D865" s="174"/>
      <c r="E865" s="175"/>
      <c r="F865" s="175"/>
      <c r="G865" s="173" t="s">
        <v>585</v>
      </c>
      <c r="H865" s="173">
        <v>0.0</v>
      </c>
      <c r="I865" s="173"/>
      <c r="J865" s="199">
        <v>0.0</v>
      </c>
      <c r="K865" s="293"/>
      <c r="L865" s="173" t="s">
        <v>585</v>
      </c>
      <c r="M865" s="173"/>
      <c r="N865" s="199" t="s">
        <v>585</v>
      </c>
      <c r="O865" s="173"/>
      <c r="P865" s="173" t="s">
        <v>585</v>
      </c>
      <c r="Q865" s="173"/>
      <c r="R865" s="173" t="s">
        <v>585</v>
      </c>
      <c r="S865" s="173"/>
      <c r="T865" s="173" t="s">
        <v>585</v>
      </c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</row>
    <row r="866">
      <c r="A866" s="173"/>
      <c r="B866" s="173"/>
      <c r="C866" s="173"/>
      <c r="D866" s="174"/>
      <c r="E866" s="175"/>
      <c r="F866" s="175"/>
      <c r="G866" s="173" t="s">
        <v>585</v>
      </c>
      <c r="H866" s="173">
        <v>0.0</v>
      </c>
      <c r="I866" s="173"/>
      <c r="J866" s="199">
        <v>0.0</v>
      </c>
      <c r="K866" s="293"/>
      <c r="L866" s="173" t="s">
        <v>585</v>
      </c>
      <c r="M866" s="173"/>
      <c r="N866" s="199" t="s">
        <v>585</v>
      </c>
      <c r="O866" s="173"/>
      <c r="P866" s="173" t="s">
        <v>585</v>
      </c>
      <c r="Q866" s="173"/>
      <c r="R866" s="173" t="s">
        <v>585</v>
      </c>
      <c r="S866" s="173"/>
      <c r="T866" s="173" t="s">
        <v>585</v>
      </c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</row>
    <row r="867">
      <c r="A867" s="173"/>
      <c r="B867" s="173"/>
      <c r="C867" s="173"/>
      <c r="D867" s="174"/>
      <c r="E867" s="175"/>
      <c r="F867" s="175"/>
      <c r="G867" s="173" t="s">
        <v>585</v>
      </c>
      <c r="H867" s="173">
        <v>0.0</v>
      </c>
      <c r="I867" s="173"/>
      <c r="J867" s="199">
        <v>0.0</v>
      </c>
      <c r="K867" s="293"/>
      <c r="L867" s="173" t="s">
        <v>585</v>
      </c>
      <c r="M867" s="173"/>
      <c r="N867" s="199" t="s">
        <v>585</v>
      </c>
      <c r="O867" s="173"/>
      <c r="P867" s="173" t="s">
        <v>585</v>
      </c>
      <c r="Q867" s="173"/>
      <c r="R867" s="173" t="s">
        <v>585</v>
      </c>
      <c r="S867" s="173"/>
      <c r="T867" s="173" t="s">
        <v>585</v>
      </c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</row>
    <row r="868">
      <c r="A868" s="173"/>
      <c r="B868" s="173"/>
      <c r="C868" s="173"/>
      <c r="D868" s="174"/>
      <c r="E868" s="175"/>
      <c r="F868" s="175"/>
      <c r="G868" s="173" t="s">
        <v>585</v>
      </c>
      <c r="H868" s="173">
        <v>0.0</v>
      </c>
      <c r="I868" s="173"/>
      <c r="J868" s="199">
        <v>0.0</v>
      </c>
      <c r="K868" s="293"/>
      <c r="L868" s="173" t="s">
        <v>585</v>
      </c>
      <c r="M868" s="173"/>
      <c r="N868" s="199" t="s">
        <v>585</v>
      </c>
      <c r="O868" s="173"/>
      <c r="P868" s="173" t="s">
        <v>585</v>
      </c>
      <c r="Q868" s="173"/>
      <c r="R868" s="173" t="s">
        <v>585</v>
      </c>
      <c r="S868" s="173"/>
      <c r="T868" s="173" t="s">
        <v>585</v>
      </c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</row>
    <row r="869">
      <c r="A869" s="173"/>
      <c r="B869" s="173"/>
      <c r="C869" s="173"/>
      <c r="D869" s="174"/>
      <c r="E869" s="175"/>
      <c r="F869" s="175"/>
      <c r="G869" s="173" t="s">
        <v>585</v>
      </c>
      <c r="H869" s="173">
        <v>0.0</v>
      </c>
      <c r="I869" s="173"/>
      <c r="J869" s="199">
        <v>0.0</v>
      </c>
      <c r="K869" s="293"/>
      <c r="L869" s="173" t="s">
        <v>585</v>
      </c>
      <c r="M869" s="173"/>
      <c r="N869" s="199" t="s">
        <v>585</v>
      </c>
      <c r="O869" s="173"/>
      <c r="P869" s="173" t="s">
        <v>585</v>
      </c>
      <c r="Q869" s="173"/>
      <c r="R869" s="173" t="s">
        <v>585</v>
      </c>
      <c r="S869" s="173"/>
      <c r="T869" s="173" t="s">
        <v>585</v>
      </c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</row>
    <row r="870">
      <c r="A870" s="173"/>
      <c r="B870" s="173"/>
      <c r="C870" s="173"/>
      <c r="D870" s="174"/>
      <c r="E870" s="175"/>
      <c r="F870" s="175"/>
      <c r="G870" s="173" t="s">
        <v>585</v>
      </c>
      <c r="H870" s="173">
        <v>0.0</v>
      </c>
      <c r="I870" s="173"/>
      <c r="J870" s="199">
        <v>0.0</v>
      </c>
      <c r="K870" s="293"/>
      <c r="L870" s="173" t="s">
        <v>585</v>
      </c>
      <c r="M870" s="173"/>
      <c r="N870" s="199" t="s">
        <v>585</v>
      </c>
      <c r="O870" s="173"/>
      <c r="P870" s="173" t="s">
        <v>585</v>
      </c>
      <c r="Q870" s="173"/>
      <c r="R870" s="173" t="s">
        <v>585</v>
      </c>
      <c r="S870" s="173"/>
      <c r="T870" s="173" t="s">
        <v>585</v>
      </c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</row>
    <row r="871">
      <c r="A871" s="173"/>
      <c r="B871" s="173"/>
      <c r="C871" s="173"/>
      <c r="D871" s="174"/>
      <c r="E871" s="175"/>
      <c r="F871" s="175"/>
      <c r="G871" s="173" t="s">
        <v>585</v>
      </c>
      <c r="H871" s="173">
        <v>0.0</v>
      </c>
      <c r="I871" s="173"/>
      <c r="J871" s="199">
        <v>0.0</v>
      </c>
      <c r="K871" s="293"/>
      <c r="L871" s="173" t="s">
        <v>585</v>
      </c>
      <c r="M871" s="173"/>
      <c r="N871" s="199" t="s">
        <v>585</v>
      </c>
      <c r="O871" s="173"/>
      <c r="P871" s="173" t="s">
        <v>585</v>
      </c>
      <c r="Q871" s="173"/>
      <c r="R871" s="173" t="s">
        <v>585</v>
      </c>
      <c r="S871" s="173"/>
      <c r="T871" s="173" t="s">
        <v>585</v>
      </c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</row>
    <row r="872">
      <c r="A872" s="173"/>
      <c r="B872" s="173"/>
      <c r="C872" s="173"/>
      <c r="D872" s="174"/>
      <c r="E872" s="175"/>
      <c r="F872" s="175"/>
      <c r="G872" s="173" t="s">
        <v>585</v>
      </c>
      <c r="H872" s="173">
        <v>0.0</v>
      </c>
      <c r="I872" s="173"/>
      <c r="J872" s="199">
        <v>0.0</v>
      </c>
      <c r="K872" s="293"/>
      <c r="L872" s="173" t="s">
        <v>585</v>
      </c>
      <c r="M872" s="173"/>
      <c r="N872" s="199" t="s">
        <v>585</v>
      </c>
      <c r="O872" s="173"/>
      <c r="P872" s="173" t="s">
        <v>585</v>
      </c>
      <c r="Q872" s="173"/>
      <c r="R872" s="173" t="s">
        <v>585</v>
      </c>
      <c r="S872" s="173"/>
      <c r="T872" s="173" t="s">
        <v>585</v>
      </c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</row>
    <row r="873">
      <c r="A873" s="173"/>
      <c r="B873" s="173"/>
      <c r="C873" s="173"/>
      <c r="D873" s="174"/>
      <c r="E873" s="175"/>
      <c r="F873" s="175"/>
      <c r="G873" s="173" t="s">
        <v>585</v>
      </c>
      <c r="H873" s="173">
        <v>0.0</v>
      </c>
      <c r="I873" s="173"/>
      <c r="J873" s="199">
        <v>0.0</v>
      </c>
      <c r="K873" s="293"/>
      <c r="L873" s="173" t="s">
        <v>585</v>
      </c>
      <c r="M873" s="173"/>
      <c r="N873" s="199" t="s">
        <v>585</v>
      </c>
      <c r="O873" s="173"/>
      <c r="P873" s="173" t="s">
        <v>585</v>
      </c>
      <c r="Q873" s="173"/>
      <c r="R873" s="173" t="s">
        <v>585</v>
      </c>
      <c r="S873" s="173"/>
      <c r="T873" s="173" t="s">
        <v>585</v>
      </c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</row>
    <row r="874">
      <c r="A874" s="173"/>
      <c r="B874" s="173"/>
      <c r="C874" s="173"/>
      <c r="D874" s="174"/>
      <c r="E874" s="175"/>
      <c r="F874" s="175"/>
      <c r="G874" s="173" t="s">
        <v>585</v>
      </c>
      <c r="H874" s="173">
        <v>0.0</v>
      </c>
      <c r="I874" s="173"/>
      <c r="J874" s="199">
        <v>0.0</v>
      </c>
      <c r="K874" s="293"/>
      <c r="L874" s="173" t="s">
        <v>585</v>
      </c>
      <c r="M874" s="173"/>
      <c r="N874" s="199" t="s">
        <v>585</v>
      </c>
      <c r="O874" s="173"/>
      <c r="P874" s="173" t="s">
        <v>585</v>
      </c>
      <c r="Q874" s="173"/>
      <c r="R874" s="173" t="s">
        <v>585</v>
      </c>
      <c r="S874" s="173"/>
      <c r="T874" s="173" t="s">
        <v>585</v>
      </c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</row>
    <row r="875">
      <c r="A875" s="173"/>
      <c r="B875" s="173"/>
      <c r="C875" s="173"/>
      <c r="D875" s="174"/>
      <c r="E875" s="175"/>
      <c r="F875" s="175"/>
      <c r="G875" s="173" t="s">
        <v>585</v>
      </c>
      <c r="H875" s="173">
        <v>0.0</v>
      </c>
      <c r="I875" s="173"/>
      <c r="J875" s="199">
        <v>0.0</v>
      </c>
      <c r="K875" s="293"/>
      <c r="L875" s="173" t="s">
        <v>585</v>
      </c>
      <c r="M875" s="173"/>
      <c r="N875" s="199" t="s">
        <v>585</v>
      </c>
      <c r="O875" s="173"/>
      <c r="P875" s="173" t="s">
        <v>585</v>
      </c>
      <c r="Q875" s="173"/>
      <c r="R875" s="173" t="s">
        <v>585</v>
      </c>
      <c r="S875" s="173"/>
      <c r="T875" s="173" t="s">
        <v>585</v>
      </c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</row>
    <row r="876">
      <c r="A876" s="173"/>
      <c r="B876" s="173"/>
      <c r="C876" s="173"/>
      <c r="D876" s="174"/>
      <c r="E876" s="175"/>
      <c r="F876" s="175"/>
      <c r="G876" s="173" t="s">
        <v>585</v>
      </c>
      <c r="H876" s="173">
        <v>0.0</v>
      </c>
      <c r="I876" s="173"/>
      <c r="J876" s="199">
        <v>0.0</v>
      </c>
      <c r="K876" s="293"/>
      <c r="L876" s="173" t="s">
        <v>585</v>
      </c>
      <c r="M876" s="173"/>
      <c r="N876" s="199" t="s">
        <v>585</v>
      </c>
      <c r="O876" s="173"/>
      <c r="P876" s="173" t="s">
        <v>585</v>
      </c>
      <c r="Q876" s="173"/>
      <c r="R876" s="173" t="s">
        <v>585</v>
      </c>
      <c r="S876" s="173"/>
      <c r="T876" s="173" t="s">
        <v>585</v>
      </c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</row>
    <row r="877">
      <c r="A877" s="173"/>
      <c r="B877" s="173"/>
      <c r="C877" s="173"/>
      <c r="D877" s="174"/>
      <c r="E877" s="175"/>
      <c r="F877" s="175"/>
      <c r="G877" s="173" t="s">
        <v>585</v>
      </c>
      <c r="H877" s="173">
        <v>0.0</v>
      </c>
      <c r="I877" s="173"/>
      <c r="J877" s="199">
        <v>0.0</v>
      </c>
      <c r="K877" s="293"/>
      <c r="L877" s="173" t="s">
        <v>585</v>
      </c>
      <c r="M877" s="173"/>
      <c r="N877" s="199" t="s">
        <v>585</v>
      </c>
      <c r="O877" s="173"/>
      <c r="P877" s="173" t="s">
        <v>585</v>
      </c>
      <c r="Q877" s="173"/>
      <c r="R877" s="173" t="s">
        <v>585</v>
      </c>
      <c r="S877" s="173"/>
      <c r="T877" s="173" t="s">
        <v>585</v>
      </c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</row>
    <row r="878">
      <c r="A878" s="173"/>
      <c r="B878" s="173"/>
      <c r="C878" s="173"/>
      <c r="D878" s="174"/>
      <c r="E878" s="175"/>
      <c r="F878" s="175"/>
      <c r="G878" s="173" t="s">
        <v>585</v>
      </c>
      <c r="H878" s="173">
        <v>0.0</v>
      </c>
      <c r="I878" s="173"/>
      <c r="J878" s="199">
        <v>0.0</v>
      </c>
      <c r="K878" s="293"/>
      <c r="L878" s="173" t="s">
        <v>585</v>
      </c>
      <c r="M878" s="173"/>
      <c r="N878" s="199" t="s">
        <v>585</v>
      </c>
      <c r="O878" s="173"/>
      <c r="P878" s="173" t="s">
        <v>585</v>
      </c>
      <c r="Q878" s="173"/>
      <c r="R878" s="173" t="s">
        <v>585</v>
      </c>
      <c r="S878" s="173"/>
      <c r="T878" s="173" t="s">
        <v>585</v>
      </c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</row>
    <row r="879">
      <c r="A879" s="173"/>
      <c r="B879" s="173"/>
      <c r="C879" s="173"/>
      <c r="D879" s="174"/>
      <c r="E879" s="175"/>
      <c r="F879" s="175"/>
      <c r="G879" s="173" t="s">
        <v>585</v>
      </c>
      <c r="H879" s="173">
        <v>0.0</v>
      </c>
      <c r="I879" s="173"/>
      <c r="J879" s="199">
        <v>0.0</v>
      </c>
      <c r="K879" s="293"/>
      <c r="L879" s="173" t="s">
        <v>585</v>
      </c>
      <c r="M879" s="173"/>
      <c r="N879" s="199" t="s">
        <v>585</v>
      </c>
      <c r="O879" s="173"/>
      <c r="P879" s="173" t="s">
        <v>585</v>
      </c>
      <c r="Q879" s="173"/>
      <c r="R879" s="173" t="s">
        <v>585</v>
      </c>
      <c r="S879" s="173"/>
      <c r="T879" s="173" t="s">
        <v>585</v>
      </c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</row>
    <row r="880">
      <c r="A880" s="173"/>
      <c r="B880" s="173"/>
      <c r="C880" s="173"/>
      <c r="D880" s="174"/>
      <c r="E880" s="175"/>
      <c r="F880" s="175"/>
      <c r="G880" s="173" t="s">
        <v>585</v>
      </c>
      <c r="H880" s="173">
        <v>0.0</v>
      </c>
      <c r="I880" s="173"/>
      <c r="J880" s="199">
        <v>0.0</v>
      </c>
      <c r="K880" s="293"/>
      <c r="L880" s="173" t="s">
        <v>585</v>
      </c>
      <c r="M880" s="173"/>
      <c r="N880" s="199" t="s">
        <v>585</v>
      </c>
      <c r="O880" s="173"/>
      <c r="P880" s="173" t="s">
        <v>585</v>
      </c>
      <c r="Q880" s="173"/>
      <c r="R880" s="173" t="s">
        <v>585</v>
      </c>
      <c r="S880" s="173"/>
      <c r="T880" s="173" t="s">
        <v>585</v>
      </c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</row>
    <row r="881">
      <c r="A881" s="173"/>
      <c r="B881" s="173"/>
      <c r="C881" s="173"/>
      <c r="D881" s="174"/>
      <c r="E881" s="175"/>
      <c r="F881" s="175"/>
      <c r="G881" s="173" t="s">
        <v>585</v>
      </c>
      <c r="H881" s="173">
        <v>0.0</v>
      </c>
      <c r="I881" s="173"/>
      <c r="J881" s="199">
        <v>0.0</v>
      </c>
      <c r="K881" s="293"/>
      <c r="L881" s="173" t="s">
        <v>585</v>
      </c>
      <c r="M881" s="173"/>
      <c r="N881" s="199" t="s">
        <v>585</v>
      </c>
      <c r="O881" s="173"/>
      <c r="P881" s="173" t="s">
        <v>585</v>
      </c>
      <c r="Q881" s="173"/>
      <c r="R881" s="173" t="s">
        <v>585</v>
      </c>
      <c r="S881" s="173"/>
      <c r="T881" s="173" t="s">
        <v>585</v>
      </c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</row>
    <row r="882">
      <c r="A882" s="173"/>
      <c r="B882" s="173"/>
      <c r="C882" s="173"/>
      <c r="D882" s="174"/>
      <c r="E882" s="175"/>
      <c r="F882" s="175"/>
      <c r="G882" s="173" t="s">
        <v>585</v>
      </c>
      <c r="H882" s="173">
        <v>0.0</v>
      </c>
      <c r="I882" s="173"/>
      <c r="J882" s="199">
        <v>0.0</v>
      </c>
      <c r="K882" s="293"/>
      <c r="L882" s="173" t="s">
        <v>585</v>
      </c>
      <c r="M882" s="173"/>
      <c r="N882" s="199" t="s">
        <v>585</v>
      </c>
      <c r="O882" s="173"/>
      <c r="P882" s="173" t="s">
        <v>585</v>
      </c>
      <c r="Q882" s="173"/>
      <c r="R882" s="173" t="s">
        <v>585</v>
      </c>
      <c r="S882" s="173"/>
      <c r="T882" s="173" t="s">
        <v>585</v>
      </c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</row>
    <row r="883">
      <c r="A883" s="173"/>
      <c r="B883" s="173"/>
      <c r="C883" s="173"/>
      <c r="D883" s="174"/>
      <c r="E883" s="175"/>
      <c r="F883" s="175"/>
      <c r="G883" s="173" t="s">
        <v>585</v>
      </c>
      <c r="H883" s="173">
        <v>0.0</v>
      </c>
      <c r="I883" s="173"/>
      <c r="J883" s="199">
        <v>0.0</v>
      </c>
      <c r="K883" s="293"/>
      <c r="L883" s="173" t="s">
        <v>585</v>
      </c>
      <c r="M883" s="173"/>
      <c r="N883" s="199" t="s">
        <v>585</v>
      </c>
      <c r="O883" s="173"/>
      <c r="P883" s="173" t="s">
        <v>585</v>
      </c>
      <c r="Q883" s="173"/>
      <c r="R883" s="173" t="s">
        <v>585</v>
      </c>
      <c r="S883" s="173"/>
      <c r="T883" s="173" t="s">
        <v>585</v>
      </c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</row>
    <row r="884">
      <c r="A884" s="173"/>
      <c r="B884" s="173"/>
      <c r="C884" s="173"/>
      <c r="D884" s="174"/>
      <c r="E884" s="175"/>
      <c r="F884" s="175"/>
      <c r="G884" s="173" t="s">
        <v>585</v>
      </c>
      <c r="H884" s="173">
        <v>0.0</v>
      </c>
      <c r="I884" s="173"/>
      <c r="J884" s="199">
        <v>0.0</v>
      </c>
      <c r="K884" s="293"/>
      <c r="L884" s="173" t="s">
        <v>585</v>
      </c>
      <c r="M884" s="173"/>
      <c r="N884" s="199" t="s">
        <v>585</v>
      </c>
      <c r="O884" s="173"/>
      <c r="P884" s="173" t="s">
        <v>585</v>
      </c>
      <c r="Q884" s="173"/>
      <c r="R884" s="173" t="s">
        <v>585</v>
      </c>
      <c r="S884" s="173"/>
      <c r="T884" s="173" t="s">
        <v>585</v>
      </c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</row>
    <row r="885">
      <c r="A885" s="173"/>
      <c r="B885" s="173"/>
      <c r="C885" s="173"/>
      <c r="D885" s="174"/>
      <c r="E885" s="175"/>
      <c r="F885" s="175"/>
      <c r="G885" s="173" t="s">
        <v>585</v>
      </c>
      <c r="H885" s="173">
        <v>0.0</v>
      </c>
      <c r="I885" s="173"/>
      <c r="J885" s="199">
        <v>0.0</v>
      </c>
      <c r="K885" s="293"/>
      <c r="L885" s="173" t="s">
        <v>585</v>
      </c>
      <c r="M885" s="173"/>
      <c r="N885" s="199" t="s">
        <v>585</v>
      </c>
      <c r="O885" s="173"/>
      <c r="P885" s="173" t="s">
        <v>585</v>
      </c>
      <c r="Q885" s="173"/>
      <c r="R885" s="173" t="s">
        <v>585</v>
      </c>
      <c r="S885" s="173"/>
      <c r="T885" s="173" t="s">
        <v>585</v>
      </c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</row>
    <row r="886">
      <c r="A886" s="173"/>
      <c r="B886" s="173"/>
      <c r="C886" s="173"/>
      <c r="D886" s="174"/>
      <c r="E886" s="175"/>
      <c r="F886" s="175"/>
      <c r="G886" s="173" t="s">
        <v>585</v>
      </c>
      <c r="H886" s="173">
        <v>0.0</v>
      </c>
      <c r="I886" s="173"/>
      <c r="J886" s="199">
        <v>0.0</v>
      </c>
      <c r="K886" s="293"/>
      <c r="L886" s="173" t="s">
        <v>585</v>
      </c>
      <c r="M886" s="173"/>
      <c r="N886" s="199" t="s">
        <v>585</v>
      </c>
      <c r="O886" s="173"/>
      <c r="P886" s="173" t="s">
        <v>585</v>
      </c>
      <c r="Q886" s="173"/>
      <c r="R886" s="173" t="s">
        <v>585</v>
      </c>
      <c r="S886" s="173"/>
      <c r="T886" s="173" t="s">
        <v>585</v>
      </c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</row>
    <row r="887">
      <c r="A887" s="173"/>
      <c r="B887" s="173"/>
      <c r="C887" s="173"/>
      <c r="D887" s="174"/>
      <c r="E887" s="175"/>
      <c r="F887" s="175"/>
      <c r="G887" s="173" t="s">
        <v>585</v>
      </c>
      <c r="H887" s="173">
        <v>0.0</v>
      </c>
      <c r="I887" s="173"/>
      <c r="J887" s="199">
        <v>0.0</v>
      </c>
      <c r="K887" s="293"/>
      <c r="L887" s="173" t="s">
        <v>585</v>
      </c>
      <c r="M887" s="173"/>
      <c r="N887" s="199" t="s">
        <v>585</v>
      </c>
      <c r="O887" s="173"/>
      <c r="P887" s="173" t="s">
        <v>585</v>
      </c>
      <c r="Q887" s="173"/>
      <c r="R887" s="173" t="s">
        <v>585</v>
      </c>
      <c r="S887" s="173"/>
      <c r="T887" s="173" t="s">
        <v>585</v>
      </c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</row>
    <row r="888">
      <c r="A888" s="173"/>
      <c r="B888" s="173"/>
      <c r="C888" s="173"/>
      <c r="D888" s="174"/>
      <c r="E888" s="175"/>
      <c r="F888" s="175"/>
      <c r="G888" s="173" t="s">
        <v>585</v>
      </c>
      <c r="H888" s="173">
        <v>0.0</v>
      </c>
      <c r="I888" s="173"/>
      <c r="J888" s="199">
        <v>0.0</v>
      </c>
      <c r="K888" s="293"/>
      <c r="L888" s="173" t="s">
        <v>585</v>
      </c>
      <c r="M888" s="173"/>
      <c r="N888" s="199" t="s">
        <v>585</v>
      </c>
      <c r="O888" s="173"/>
      <c r="P888" s="173" t="s">
        <v>585</v>
      </c>
      <c r="Q888" s="173"/>
      <c r="R888" s="173" t="s">
        <v>585</v>
      </c>
      <c r="S888" s="173"/>
      <c r="T888" s="173" t="s">
        <v>585</v>
      </c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</row>
    <row r="889">
      <c r="A889" s="173"/>
      <c r="B889" s="173"/>
      <c r="C889" s="173"/>
      <c r="D889" s="174"/>
      <c r="E889" s="175"/>
      <c r="F889" s="175"/>
      <c r="G889" s="173" t="s">
        <v>585</v>
      </c>
      <c r="H889" s="173">
        <v>0.0</v>
      </c>
      <c r="I889" s="173"/>
      <c r="J889" s="199">
        <v>0.0</v>
      </c>
      <c r="K889" s="293"/>
      <c r="L889" s="173" t="s">
        <v>585</v>
      </c>
      <c r="M889" s="173"/>
      <c r="N889" s="199" t="s">
        <v>585</v>
      </c>
      <c r="O889" s="173"/>
      <c r="P889" s="173" t="s">
        <v>585</v>
      </c>
      <c r="Q889" s="173"/>
      <c r="R889" s="173" t="s">
        <v>585</v>
      </c>
      <c r="S889" s="173"/>
      <c r="T889" s="173" t="s">
        <v>585</v>
      </c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</row>
    <row r="890">
      <c r="A890" s="173"/>
      <c r="B890" s="173"/>
      <c r="C890" s="173"/>
      <c r="D890" s="174"/>
      <c r="E890" s="175"/>
      <c r="F890" s="175"/>
      <c r="G890" s="173" t="s">
        <v>585</v>
      </c>
      <c r="H890" s="173">
        <v>0.0</v>
      </c>
      <c r="I890" s="173"/>
      <c r="J890" s="199">
        <v>0.0</v>
      </c>
      <c r="K890" s="293"/>
      <c r="L890" s="173" t="s">
        <v>585</v>
      </c>
      <c r="M890" s="173"/>
      <c r="N890" s="199" t="s">
        <v>585</v>
      </c>
      <c r="O890" s="173"/>
      <c r="P890" s="173" t="s">
        <v>585</v>
      </c>
      <c r="Q890" s="173"/>
      <c r="R890" s="173" t="s">
        <v>585</v>
      </c>
      <c r="S890" s="173"/>
      <c r="T890" s="173" t="s">
        <v>585</v>
      </c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</row>
    <row r="891">
      <c r="A891" s="173"/>
      <c r="B891" s="173"/>
      <c r="C891" s="173"/>
      <c r="D891" s="174"/>
      <c r="E891" s="175"/>
      <c r="F891" s="175"/>
      <c r="G891" s="173" t="s">
        <v>585</v>
      </c>
      <c r="H891" s="173">
        <v>0.0</v>
      </c>
      <c r="I891" s="173"/>
      <c r="J891" s="199">
        <v>0.0</v>
      </c>
      <c r="K891" s="293"/>
      <c r="L891" s="173" t="s">
        <v>585</v>
      </c>
      <c r="M891" s="173"/>
      <c r="N891" s="199" t="s">
        <v>585</v>
      </c>
      <c r="O891" s="173"/>
      <c r="P891" s="173" t="s">
        <v>585</v>
      </c>
      <c r="Q891" s="173"/>
      <c r="R891" s="173" t="s">
        <v>585</v>
      </c>
      <c r="S891" s="173"/>
      <c r="T891" s="173" t="s">
        <v>585</v>
      </c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</row>
    <row r="892">
      <c r="A892" s="173"/>
      <c r="B892" s="173"/>
      <c r="C892" s="173"/>
      <c r="D892" s="174"/>
      <c r="E892" s="175"/>
      <c r="F892" s="175"/>
      <c r="G892" s="173" t="s">
        <v>585</v>
      </c>
      <c r="H892" s="173">
        <v>0.0</v>
      </c>
      <c r="I892" s="173"/>
      <c r="J892" s="199">
        <v>0.0</v>
      </c>
      <c r="K892" s="293"/>
      <c r="L892" s="173" t="s">
        <v>585</v>
      </c>
      <c r="M892" s="173"/>
      <c r="N892" s="199" t="s">
        <v>585</v>
      </c>
      <c r="O892" s="173"/>
      <c r="P892" s="173" t="s">
        <v>585</v>
      </c>
      <c r="Q892" s="173"/>
      <c r="R892" s="173" t="s">
        <v>585</v>
      </c>
      <c r="S892" s="173"/>
      <c r="T892" s="173" t="s">
        <v>585</v>
      </c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</row>
    <row r="893">
      <c r="A893" s="173"/>
      <c r="B893" s="173"/>
      <c r="C893" s="173"/>
      <c r="D893" s="174"/>
      <c r="E893" s="175"/>
      <c r="F893" s="175"/>
      <c r="G893" s="173" t="s">
        <v>585</v>
      </c>
      <c r="H893" s="173">
        <v>0.0</v>
      </c>
      <c r="I893" s="173"/>
      <c r="J893" s="199">
        <v>0.0</v>
      </c>
      <c r="K893" s="293"/>
      <c r="L893" s="173" t="s">
        <v>585</v>
      </c>
      <c r="M893" s="173"/>
      <c r="N893" s="199" t="s">
        <v>585</v>
      </c>
      <c r="O893" s="173"/>
      <c r="P893" s="173" t="s">
        <v>585</v>
      </c>
      <c r="Q893" s="173"/>
      <c r="R893" s="173" t="s">
        <v>585</v>
      </c>
      <c r="S893" s="173"/>
      <c r="T893" s="173" t="s">
        <v>585</v>
      </c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</row>
    <row r="894">
      <c r="A894" s="173"/>
      <c r="B894" s="173"/>
      <c r="C894" s="173"/>
      <c r="D894" s="174"/>
      <c r="E894" s="175"/>
      <c r="F894" s="175"/>
      <c r="G894" s="173" t="s">
        <v>585</v>
      </c>
      <c r="H894" s="173">
        <v>0.0</v>
      </c>
      <c r="I894" s="173"/>
      <c r="J894" s="199">
        <v>0.0</v>
      </c>
      <c r="K894" s="293"/>
      <c r="L894" s="173" t="s">
        <v>585</v>
      </c>
      <c r="M894" s="173"/>
      <c r="N894" s="199" t="s">
        <v>585</v>
      </c>
      <c r="O894" s="173"/>
      <c r="P894" s="173" t="s">
        <v>585</v>
      </c>
      <c r="Q894" s="173"/>
      <c r="R894" s="173" t="s">
        <v>585</v>
      </c>
      <c r="S894" s="173"/>
      <c r="T894" s="173" t="s">
        <v>585</v>
      </c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</row>
    <row r="895">
      <c r="A895" s="173"/>
      <c r="B895" s="173"/>
      <c r="C895" s="173"/>
      <c r="D895" s="174"/>
      <c r="E895" s="175"/>
      <c r="F895" s="175"/>
      <c r="G895" s="173" t="s">
        <v>585</v>
      </c>
      <c r="H895" s="173">
        <v>0.0</v>
      </c>
      <c r="I895" s="173"/>
      <c r="J895" s="199">
        <v>0.0</v>
      </c>
      <c r="K895" s="293"/>
      <c r="L895" s="173" t="s">
        <v>585</v>
      </c>
      <c r="M895" s="173"/>
      <c r="N895" s="199" t="s">
        <v>585</v>
      </c>
      <c r="O895" s="173"/>
      <c r="P895" s="173" t="s">
        <v>585</v>
      </c>
      <c r="Q895" s="173"/>
      <c r="R895" s="173" t="s">
        <v>585</v>
      </c>
      <c r="S895" s="173"/>
      <c r="T895" s="173" t="s">
        <v>585</v>
      </c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</row>
    <row r="896">
      <c r="A896" s="173"/>
      <c r="B896" s="173"/>
      <c r="C896" s="173"/>
      <c r="D896" s="174"/>
      <c r="E896" s="175"/>
      <c r="F896" s="175"/>
      <c r="G896" s="173" t="s">
        <v>585</v>
      </c>
      <c r="H896" s="173">
        <v>0.0</v>
      </c>
      <c r="I896" s="173"/>
      <c r="J896" s="199">
        <v>0.0</v>
      </c>
      <c r="K896" s="293"/>
      <c r="L896" s="173" t="s">
        <v>585</v>
      </c>
      <c r="M896" s="173"/>
      <c r="N896" s="199" t="s">
        <v>585</v>
      </c>
      <c r="O896" s="173"/>
      <c r="P896" s="173" t="s">
        <v>585</v>
      </c>
      <c r="Q896" s="173"/>
      <c r="R896" s="173" t="s">
        <v>585</v>
      </c>
      <c r="S896" s="173"/>
      <c r="T896" s="173" t="s">
        <v>585</v>
      </c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</row>
    <row r="897">
      <c r="A897" s="173"/>
      <c r="B897" s="173"/>
      <c r="C897" s="173"/>
      <c r="D897" s="174"/>
      <c r="E897" s="175"/>
      <c r="F897" s="175"/>
      <c r="G897" s="173" t="s">
        <v>585</v>
      </c>
      <c r="H897" s="173">
        <v>0.0</v>
      </c>
      <c r="I897" s="173"/>
      <c r="J897" s="199">
        <v>0.0</v>
      </c>
      <c r="K897" s="293"/>
      <c r="L897" s="173" t="s">
        <v>585</v>
      </c>
      <c r="M897" s="173"/>
      <c r="N897" s="199" t="s">
        <v>585</v>
      </c>
      <c r="O897" s="173"/>
      <c r="P897" s="173" t="s">
        <v>585</v>
      </c>
      <c r="Q897" s="173"/>
      <c r="R897" s="173" t="s">
        <v>585</v>
      </c>
      <c r="S897" s="173"/>
      <c r="T897" s="173" t="s">
        <v>585</v>
      </c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</row>
    <row r="898">
      <c r="A898" s="173"/>
      <c r="B898" s="173"/>
      <c r="C898" s="173"/>
      <c r="D898" s="174"/>
      <c r="E898" s="175"/>
      <c r="F898" s="175"/>
      <c r="G898" s="173" t="s">
        <v>585</v>
      </c>
      <c r="H898" s="173">
        <v>0.0</v>
      </c>
      <c r="I898" s="173"/>
      <c r="J898" s="199">
        <v>0.0</v>
      </c>
      <c r="K898" s="293"/>
      <c r="L898" s="173" t="s">
        <v>585</v>
      </c>
      <c r="M898" s="173"/>
      <c r="N898" s="199" t="s">
        <v>585</v>
      </c>
      <c r="O898" s="173"/>
      <c r="P898" s="173" t="s">
        <v>585</v>
      </c>
      <c r="Q898" s="173"/>
      <c r="R898" s="173" t="s">
        <v>585</v>
      </c>
      <c r="S898" s="173"/>
      <c r="T898" s="173" t="s">
        <v>585</v>
      </c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</row>
    <row r="899">
      <c r="A899" s="173"/>
      <c r="B899" s="173"/>
      <c r="C899" s="173"/>
      <c r="D899" s="174"/>
      <c r="E899" s="175"/>
      <c r="F899" s="175"/>
      <c r="G899" s="173" t="s">
        <v>585</v>
      </c>
      <c r="H899" s="173">
        <v>0.0</v>
      </c>
      <c r="I899" s="173"/>
      <c r="J899" s="199">
        <v>0.0</v>
      </c>
      <c r="K899" s="293"/>
      <c r="L899" s="173" t="s">
        <v>585</v>
      </c>
      <c r="M899" s="173"/>
      <c r="N899" s="199" t="s">
        <v>585</v>
      </c>
      <c r="O899" s="173"/>
      <c r="P899" s="173" t="s">
        <v>585</v>
      </c>
      <c r="Q899" s="173"/>
      <c r="R899" s="173" t="s">
        <v>585</v>
      </c>
      <c r="S899" s="173"/>
      <c r="T899" s="173" t="s">
        <v>585</v>
      </c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</row>
    <row r="900">
      <c r="A900" s="173"/>
      <c r="B900" s="173"/>
      <c r="C900" s="173"/>
      <c r="D900" s="174"/>
      <c r="E900" s="175"/>
      <c r="F900" s="175"/>
      <c r="G900" s="173" t="s">
        <v>585</v>
      </c>
      <c r="H900" s="173">
        <v>0.0</v>
      </c>
      <c r="I900" s="173"/>
      <c r="J900" s="199">
        <v>0.0</v>
      </c>
      <c r="K900" s="293"/>
      <c r="L900" s="173" t="s">
        <v>585</v>
      </c>
      <c r="M900" s="173"/>
      <c r="N900" s="199" t="s">
        <v>585</v>
      </c>
      <c r="O900" s="173"/>
      <c r="P900" s="173" t="s">
        <v>585</v>
      </c>
      <c r="Q900" s="173"/>
      <c r="R900" s="173" t="s">
        <v>585</v>
      </c>
      <c r="S900" s="173"/>
      <c r="T900" s="173" t="s">
        <v>585</v>
      </c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</row>
    <row r="901">
      <c r="A901" s="173"/>
      <c r="B901" s="173"/>
      <c r="C901" s="173"/>
      <c r="D901" s="174"/>
      <c r="E901" s="175"/>
      <c r="F901" s="175"/>
      <c r="G901" s="173" t="s">
        <v>585</v>
      </c>
      <c r="H901" s="173">
        <v>0.0</v>
      </c>
      <c r="I901" s="173"/>
      <c r="J901" s="199">
        <v>0.0</v>
      </c>
      <c r="K901" s="293"/>
      <c r="L901" s="173" t="s">
        <v>585</v>
      </c>
      <c r="M901" s="173"/>
      <c r="N901" s="199" t="s">
        <v>585</v>
      </c>
      <c r="O901" s="173"/>
      <c r="P901" s="173" t="s">
        <v>585</v>
      </c>
      <c r="Q901" s="173"/>
      <c r="R901" s="173" t="s">
        <v>585</v>
      </c>
      <c r="S901" s="173"/>
      <c r="T901" s="173" t="s">
        <v>585</v>
      </c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</row>
    <row r="902">
      <c r="A902" s="173"/>
      <c r="B902" s="173"/>
      <c r="C902" s="173"/>
      <c r="D902" s="174"/>
      <c r="E902" s="175"/>
      <c r="F902" s="175"/>
      <c r="G902" s="173" t="s">
        <v>585</v>
      </c>
      <c r="H902" s="173">
        <v>0.0</v>
      </c>
      <c r="I902" s="173"/>
      <c r="J902" s="199">
        <v>0.0</v>
      </c>
      <c r="K902" s="293"/>
      <c r="L902" s="173" t="s">
        <v>585</v>
      </c>
      <c r="M902" s="173"/>
      <c r="N902" s="199" t="s">
        <v>585</v>
      </c>
      <c r="O902" s="173"/>
      <c r="P902" s="173" t="s">
        <v>585</v>
      </c>
      <c r="Q902" s="173"/>
      <c r="R902" s="173" t="s">
        <v>585</v>
      </c>
      <c r="S902" s="173"/>
      <c r="T902" s="173" t="s">
        <v>585</v>
      </c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</row>
    <row r="903">
      <c r="A903" s="173"/>
      <c r="B903" s="173"/>
      <c r="C903" s="173"/>
      <c r="D903" s="174"/>
      <c r="E903" s="175"/>
      <c r="F903" s="175"/>
      <c r="G903" s="173" t="s">
        <v>585</v>
      </c>
      <c r="H903" s="173">
        <v>0.0</v>
      </c>
      <c r="I903" s="173"/>
      <c r="J903" s="199">
        <v>0.0</v>
      </c>
      <c r="K903" s="293"/>
      <c r="L903" s="173" t="s">
        <v>585</v>
      </c>
      <c r="M903" s="173"/>
      <c r="N903" s="199" t="s">
        <v>585</v>
      </c>
      <c r="O903" s="173"/>
      <c r="P903" s="173" t="s">
        <v>585</v>
      </c>
      <c r="Q903" s="173"/>
      <c r="R903" s="173" t="s">
        <v>585</v>
      </c>
      <c r="S903" s="173"/>
      <c r="T903" s="173" t="s">
        <v>585</v>
      </c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</row>
    <row r="904">
      <c r="A904" s="173"/>
      <c r="B904" s="173"/>
      <c r="C904" s="173"/>
      <c r="D904" s="174"/>
      <c r="E904" s="175"/>
      <c r="F904" s="175"/>
      <c r="G904" s="173" t="s">
        <v>585</v>
      </c>
      <c r="H904" s="173">
        <v>0.0</v>
      </c>
      <c r="I904" s="173"/>
      <c r="J904" s="199">
        <v>0.0</v>
      </c>
      <c r="K904" s="293"/>
      <c r="L904" s="173" t="s">
        <v>585</v>
      </c>
      <c r="M904" s="173"/>
      <c r="N904" s="199" t="s">
        <v>585</v>
      </c>
      <c r="O904" s="173"/>
      <c r="P904" s="173" t="s">
        <v>585</v>
      </c>
      <c r="Q904" s="173"/>
      <c r="R904" s="173" t="s">
        <v>585</v>
      </c>
      <c r="S904" s="173"/>
      <c r="T904" s="173" t="s">
        <v>585</v>
      </c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</row>
    <row r="905">
      <c r="A905" s="173"/>
      <c r="B905" s="173"/>
      <c r="C905" s="173"/>
      <c r="D905" s="174"/>
      <c r="E905" s="175"/>
      <c r="F905" s="175"/>
      <c r="G905" s="173" t="s">
        <v>585</v>
      </c>
      <c r="H905" s="173">
        <v>0.0</v>
      </c>
      <c r="I905" s="173"/>
      <c r="J905" s="199">
        <v>0.0</v>
      </c>
      <c r="K905" s="293"/>
      <c r="L905" s="173" t="s">
        <v>585</v>
      </c>
      <c r="M905" s="173"/>
      <c r="N905" s="199" t="s">
        <v>585</v>
      </c>
      <c r="O905" s="173"/>
      <c r="P905" s="173" t="s">
        <v>585</v>
      </c>
      <c r="Q905" s="173"/>
      <c r="R905" s="173" t="s">
        <v>585</v>
      </c>
      <c r="S905" s="173"/>
      <c r="T905" s="173" t="s">
        <v>585</v>
      </c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</row>
    <row r="906">
      <c r="A906" s="173"/>
      <c r="B906" s="173"/>
      <c r="C906" s="173"/>
      <c r="D906" s="174"/>
      <c r="E906" s="175"/>
      <c r="F906" s="175"/>
      <c r="G906" s="173" t="s">
        <v>585</v>
      </c>
      <c r="H906" s="173">
        <v>0.0</v>
      </c>
      <c r="I906" s="173"/>
      <c r="J906" s="199">
        <v>0.0</v>
      </c>
      <c r="K906" s="293"/>
      <c r="L906" s="173" t="s">
        <v>585</v>
      </c>
      <c r="M906" s="173"/>
      <c r="N906" s="199" t="s">
        <v>585</v>
      </c>
      <c r="O906" s="173"/>
      <c r="P906" s="173" t="s">
        <v>585</v>
      </c>
      <c r="Q906" s="173"/>
      <c r="R906" s="173" t="s">
        <v>585</v>
      </c>
      <c r="S906" s="173"/>
      <c r="T906" s="173" t="s">
        <v>585</v>
      </c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</row>
    <row r="907">
      <c r="A907" s="173"/>
      <c r="B907" s="173"/>
      <c r="C907" s="173"/>
      <c r="D907" s="174"/>
      <c r="E907" s="175"/>
      <c r="F907" s="175"/>
      <c r="G907" s="173" t="s">
        <v>585</v>
      </c>
      <c r="H907" s="173">
        <v>0.0</v>
      </c>
      <c r="I907" s="173"/>
      <c r="J907" s="199">
        <v>0.0</v>
      </c>
      <c r="K907" s="293"/>
      <c r="L907" s="173" t="s">
        <v>585</v>
      </c>
      <c r="M907" s="173"/>
      <c r="N907" s="199" t="s">
        <v>585</v>
      </c>
      <c r="O907" s="173"/>
      <c r="P907" s="173" t="s">
        <v>585</v>
      </c>
      <c r="Q907" s="173"/>
      <c r="R907" s="173" t="s">
        <v>585</v>
      </c>
      <c r="S907" s="173"/>
      <c r="T907" s="173" t="s">
        <v>585</v>
      </c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</row>
    <row r="908">
      <c r="A908" s="173"/>
      <c r="B908" s="173"/>
      <c r="C908" s="173"/>
      <c r="D908" s="174"/>
      <c r="E908" s="175"/>
      <c r="F908" s="175"/>
      <c r="G908" s="173" t="s">
        <v>585</v>
      </c>
      <c r="H908" s="173">
        <v>0.0</v>
      </c>
      <c r="I908" s="173"/>
      <c r="J908" s="199">
        <v>0.0</v>
      </c>
      <c r="K908" s="293"/>
      <c r="L908" s="173" t="s">
        <v>585</v>
      </c>
      <c r="M908" s="173"/>
      <c r="N908" s="199" t="s">
        <v>585</v>
      </c>
      <c r="O908" s="173"/>
      <c r="P908" s="173" t="s">
        <v>585</v>
      </c>
      <c r="Q908" s="173"/>
      <c r="R908" s="173" t="s">
        <v>585</v>
      </c>
      <c r="S908" s="173"/>
      <c r="T908" s="173" t="s">
        <v>585</v>
      </c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</row>
    <row r="909">
      <c r="A909" s="173"/>
      <c r="B909" s="173"/>
      <c r="C909" s="173"/>
      <c r="D909" s="174"/>
      <c r="E909" s="175"/>
      <c r="F909" s="175"/>
      <c r="G909" s="173" t="s">
        <v>585</v>
      </c>
      <c r="H909" s="173">
        <v>0.0</v>
      </c>
      <c r="I909" s="173"/>
      <c r="J909" s="199">
        <v>0.0</v>
      </c>
      <c r="K909" s="293"/>
      <c r="L909" s="173" t="s">
        <v>585</v>
      </c>
      <c r="M909" s="173"/>
      <c r="N909" s="199" t="s">
        <v>585</v>
      </c>
      <c r="O909" s="173"/>
      <c r="P909" s="173" t="s">
        <v>585</v>
      </c>
      <c r="Q909" s="173"/>
      <c r="R909" s="173" t="s">
        <v>585</v>
      </c>
      <c r="S909" s="173"/>
      <c r="T909" s="173" t="s">
        <v>585</v>
      </c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</row>
    <row r="910">
      <c r="A910" s="173"/>
      <c r="B910" s="173"/>
      <c r="C910" s="173"/>
      <c r="D910" s="174"/>
      <c r="E910" s="175"/>
      <c r="F910" s="175"/>
      <c r="G910" s="173" t="s">
        <v>585</v>
      </c>
      <c r="H910" s="173">
        <v>0.0</v>
      </c>
      <c r="I910" s="173"/>
      <c r="J910" s="199">
        <v>0.0</v>
      </c>
      <c r="K910" s="293"/>
      <c r="L910" s="173" t="s">
        <v>585</v>
      </c>
      <c r="M910" s="173"/>
      <c r="N910" s="199" t="s">
        <v>585</v>
      </c>
      <c r="O910" s="173"/>
      <c r="P910" s="173" t="s">
        <v>585</v>
      </c>
      <c r="Q910" s="173"/>
      <c r="R910" s="173" t="s">
        <v>585</v>
      </c>
      <c r="S910" s="173"/>
      <c r="T910" s="173" t="s">
        <v>585</v>
      </c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</row>
    <row r="911">
      <c r="A911" s="173"/>
      <c r="B911" s="173"/>
      <c r="C911" s="173"/>
      <c r="D911" s="174"/>
      <c r="E911" s="175"/>
      <c r="F911" s="175"/>
      <c r="G911" s="173" t="s">
        <v>585</v>
      </c>
      <c r="H911" s="173">
        <v>0.0</v>
      </c>
      <c r="I911" s="173"/>
      <c r="J911" s="199">
        <v>0.0</v>
      </c>
      <c r="K911" s="293"/>
      <c r="L911" s="173" t="s">
        <v>585</v>
      </c>
      <c r="M911" s="173"/>
      <c r="N911" s="199" t="s">
        <v>585</v>
      </c>
      <c r="O911" s="173"/>
      <c r="P911" s="173" t="s">
        <v>585</v>
      </c>
      <c r="Q911" s="173"/>
      <c r="R911" s="173" t="s">
        <v>585</v>
      </c>
      <c r="S911" s="173"/>
      <c r="T911" s="173" t="s">
        <v>585</v>
      </c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</row>
    <row r="912">
      <c r="A912" s="173"/>
      <c r="B912" s="173"/>
      <c r="C912" s="173"/>
      <c r="D912" s="174"/>
      <c r="E912" s="175"/>
      <c r="F912" s="175"/>
      <c r="G912" s="173" t="s">
        <v>585</v>
      </c>
      <c r="H912" s="173">
        <v>0.0</v>
      </c>
      <c r="I912" s="173"/>
      <c r="J912" s="199">
        <v>0.0</v>
      </c>
      <c r="K912" s="293"/>
      <c r="L912" s="173" t="s">
        <v>585</v>
      </c>
      <c r="M912" s="173"/>
      <c r="N912" s="199" t="s">
        <v>585</v>
      </c>
      <c r="O912" s="173"/>
      <c r="P912" s="173" t="s">
        <v>585</v>
      </c>
      <c r="Q912" s="173"/>
      <c r="R912" s="173" t="s">
        <v>585</v>
      </c>
      <c r="S912" s="173"/>
      <c r="T912" s="173" t="s">
        <v>585</v>
      </c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</row>
    <row r="913">
      <c r="A913" s="173"/>
      <c r="B913" s="173"/>
      <c r="C913" s="173"/>
      <c r="D913" s="174"/>
      <c r="E913" s="175"/>
      <c r="F913" s="175"/>
      <c r="G913" s="173" t="s">
        <v>585</v>
      </c>
      <c r="H913" s="173">
        <v>0.0</v>
      </c>
      <c r="I913" s="173"/>
      <c r="J913" s="199">
        <v>0.0</v>
      </c>
      <c r="K913" s="293"/>
      <c r="L913" s="173" t="s">
        <v>585</v>
      </c>
      <c r="M913" s="173"/>
      <c r="N913" s="199" t="s">
        <v>585</v>
      </c>
      <c r="O913" s="173"/>
      <c r="P913" s="173" t="s">
        <v>585</v>
      </c>
      <c r="Q913" s="173"/>
      <c r="R913" s="173" t="s">
        <v>585</v>
      </c>
      <c r="S913" s="173"/>
      <c r="T913" s="173" t="s">
        <v>585</v>
      </c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</row>
    <row r="914">
      <c r="A914" s="173"/>
      <c r="B914" s="173"/>
      <c r="C914" s="173"/>
      <c r="D914" s="174"/>
      <c r="E914" s="175"/>
      <c r="F914" s="175"/>
      <c r="G914" s="173" t="s">
        <v>585</v>
      </c>
      <c r="H914" s="173">
        <v>0.0</v>
      </c>
      <c r="I914" s="173"/>
      <c r="J914" s="199">
        <v>0.0</v>
      </c>
      <c r="K914" s="293"/>
      <c r="L914" s="173" t="s">
        <v>585</v>
      </c>
      <c r="M914" s="173"/>
      <c r="N914" s="199" t="s">
        <v>585</v>
      </c>
      <c r="O914" s="173"/>
      <c r="P914" s="173" t="s">
        <v>585</v>
      </c>
      <c r="Q914" s="173"/>
      <c r="R914" s="173" t="s">
        <v>585</v>
      </c>
      <c r="S914" s="173"/>
      <c r="T914" s="173" t="s">
        <v>585</v>
      </c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</row>
    <row r="915">
      <c r="A915" s="173"/>
      <c r="B915" s="173"/>
      <c r="C915" s="173"/>
      <c r="D915" s="174"/>
      <c r="E915" s="175"/>
      <c r="F915" s="175"/>
      <c r="G915" s="173" t="s">
        <v>585</v>
      </c>
      <c r="H915" s="173">
        <v>0.0</v>
      </c>
      <c r="I915" s="173"/>
      <c r="J915" s="199">
        <v>0.0</v>
      </c>
      <c r="K915" s="293"/>
      <c r="L915" s="173" t="s">
        <v>585</v>
      </c>
      <c r="M915" s="173"/>
      <c r="N915" s="199" t="s">
        <v>585</v>
      </c>
      <c r="O915" s="173"/>
      <c r="P915" s="173" t="s">
        <v>585</v>
      </c>
      <c r="Q915" s="173"/>
      <c r="R915" s="173" t="s">
        <v>585</v>
      </c>
      <c r="S915" s="173"/>
      <c r="T915" s="173" t="s">
        <v>585</v>
      </c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</row>
    <row r="916">
      <c r="A916" s="173"/>
      <c r="B916" s="173"/>
      <c r="C916" s="173"/>
      <c r="D916" s="174"/>
      <c r="E916" s="175"/>
      <c r="F916" s="175"/>
      <c r="G916" s="173" t="s">
        <v>585</v>
      </c>
      <c r="H916" s="173">
        <v>0.0</v>
      </c>
      <c r="I916" s="173"/>
      <c r="J916" s="199">
        <v>0.0</v>
      </c>
      <c r="K916" s="293"/>
      <c r="L916" s="173" t="s">
        <v>585</v>
      </c>
      <c r="M916" s="173"/>
      <c r="N916" s="199" t="s">
        <v>585</v>
      </c>
      <c r="O916" s="173"/>
      <c r="P916" s="173" t="s">
        <v>585</v>
      </c>
      <c r="Q916" s="173"/>
      <c r="R916" s="173" t="s">
        <v>585</v>
      </c>
      <c r="S916" s="173"/>
      <c r="T916" s="173" t="s">
        <v>585</v>
      </c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</row>
    <row r="917">
      <c r="A917" s="173"/>
      <c r="B917" s="173"/>
      <c r="C917" s="173"/>
      <c r="D917" s="174"/>
      <c r="E917" s="175"/>
      <c r="F917" s="175"/>
      <c r="G917" s="173" t="s">
        <v>585</v>
      </c>
      <c r="H917" s="173">
        <v>0.0</v>
      </c>
      <c r="I917" s="173"/>
      <c r="J917" s="199">
        <v>0.0</v>
      </c>
      <c r="K917" s="293"/>
      <c r="L917" s="173" t="s">
        <v>585</v>
      </c>
      <c r="M917" s="173"/>
      <c r="N917" s="199" t="s">
        <v>585</v>
      </c>
      <c r="O917" s="173"/>
      <c r="P917" s="173" t="s">
        <v>585</v>
      </c>
      <c r="Q917" s="173"/>
      <c r="R917" s="173" t="s">
        <v>585</v>
      </c>
      <c r="S917" s="173"/>
      <c r="T917" s="173" t="s">
        <v>585</v>
      </c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</row>
    <row r="918">
      <c r="A918" s="173"/>
      <c r="B918" s="173"/>
      <c r="C918" s="173"/>
      <c r="D918" s="174"/>
      <c r="E918" s="175"/>
      <c r="F918" s="175"/>
      <c r="G918" s="173" t="s">
        <v>585</v>
      </c>
      <c r="H918" s="173">
        <v>0.0</v>
      </c>
      <c r="I918" s="173"/>
      <c r="J918" s="199">
        <v>0.0</v>
      </c>
      <c r="K918" s="293"/>
      <c r="L918" s="173" t="s">
        <v>585</v>
      </c>
      <c r="M918" s="173"/>
      <c r="N918" s="199" t="s">
        <v>585</v>
      </c>
      <c r="O918" s="173"/>
      <c r="P918" s="173" t="s">
        <v>585</v>
      </c>
      <c r="Q918" s="173"/>
      <c r="R918" s="173" t="s">
        <v>585</v>
      </c>
      <c r="S918" s="173"/>
      <c r="T918" s="173" t="s">
        <v>585</v>
      </c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</row>
    <row r="919">
      <c r="A919" s="173"/>
      <c r="B919" s="173"/>
      <c r="C919" s="173"/>
      <c r="D919" s="174"/>
      <c r="E919" s="175"/>
      <c r="F919" s="175"/>
      <c r="G919" s="173" t="s">
        <v>585</v>
      </c>
      <c r="H919" s="173">
        <v>0.0</v>
      </c>
      <c r="I919" s="173"/>
      <c r="J919" s="199">
        <v>0.0</v>
      </c>
      <c r="K919" s="293"/>
      <c r="L919" s="173" t="s">
        <v>585</v>
      </c>
      <c r="M919" s="173"/>
      <c r="N919" s="199" t="s">
        <v>585</v>
      </c>
      <c r="O919" s="173"/>
      <c r="P919" s="173" t="s">
        <v>585</v>
      </c>
      <c r="Q919" s="173"/>
      <c r="R919" s="173" t="s">
        <v>585</v>
      </c>
      <c r="S919" s="173"/>
      <c r="T919" s="173" t="s">
        <v>585</v>
      </c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</row>
    <row r="920">
      <c r="A920" s="173"/>
      <c r="B920" s="173"/>
      <c r="C920" s="173"/>
      <c r="D920" s="174"/>
      <c r="E920" s="175"/>
      <c r="F920" s="175"/>
      <c r="G920" s="173" t="s">
        <v>585</v>
      </c>
      <c r="H920" s="173">
        <v>0.0</v>
      </c>
      <c r="I920" s="173"/>
      <c r="J920" s="199">
        <v>0.0</v>
      </c>
      <c r="K920" s="293"/>
      <c r="L920" s="173" t="s">
        <v>585</v>
      </c>
      <c r="M920" s="173"/>
      <c r="N920" s="199" t="s">
        <v>585</v>
      </c>
      <c r="O920" s="173"/>
      <c r="P920" s="173" t="s">
        <v>585</v>
      </c>
      <c r="Q920" s="173"/>
      <c r="R920" s="173" t="s">
        <v>585</v>
      </c>
      <c r="S920" s="173"/>
      <c r="T920" s="173" t="s">
        <v>585</v>
      </c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</row>
    <row r="921">
      <c r="A921" s="173"/>
      <c r="B921" s="173"/>
      <c r="C921" s="173"/>
      <c r="D921" s="174"/>
      <c r="E921" s="175"/>
      <c r="F921" s="175"/>
      <c r="G921" s="173" t="s">
        <v>585</v>
      </c>
      <c r="H921" s="173">
        <v>0.0</v>
      </c>
      <c r="I921" s="173"/>
      <c r="J921" s="199">
        <v>0.0</v>
      </c>
      <c r="K921" s="293"/>
      <c r="L921" s="173" t="s">
        <v>585</v>
      </c>
      <c r="M921" s="173"/>
      <c r="N921" s="199" t="s">
        <v>585</v>
      </c>
      <c r="O921" s="173"/>
      <c r="P921" s="173" t="s">
        <v>585</v>
      </c>
      <c r="Q921" s="173"/>
      <c r="R921" s="173" t="s">
        <v>585</v>
      </c>
      <c r="S921" s="173"/>
      <c r="T921" s="173" t="s">
        <v>585</v>
      </c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</row>
    <row r="922">
      <c r="A922" s="173"/>
      <c r="B922" s="173"/>
      <c r="C922" s="173"/>
      <c r="D922" s="174"/>
      <c r="E922" s="175"/>
      <c r="F922" s="175"/>
      <c r="G922" s="173" t="s">
        <v>585</v>
      </c>
      <c r="H922" s="173">
        <v>0.0</v>
      </c>
      <c r="I922" s="173"/>
      <c r="J922" s="199">
        <v>0.0</v>
      </c>
      <c r="K922" s="293"/>
      <c r="L922" s="173" t="s">
        <v>585</v>
      </c>
      <c r="M922" s="173"/>
      <c r="N922" s="199" t="s">
        <v>585</v>
      </c>
      <c r="O922" s="173"/>
      <c r="P922" s="173" t="s">
        <v>585</v>
      </c>
      <c r="Q922" s="173"/>
      <c r="R922" s="173" t="s">
        <v>585</v>
      </c>
      <c r="S922" s="173"/>
      <c r="T922" s="173" t="s">
        <v>585</v>
      </c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</row>
    <row r="923">
      <c r="A923" s="173"/>
      <c r="B923" s="173"/>
      <c r="C923" s="173"/>
      <c r="D923" s="174"/>
      <c r="E923" s="175"/>
      <c r="F923" s="175"/>
      <c r="G923" s="173" t="s">
        <v>585</v>
      </c>
      <c r="H923" s="173">
        <v>0.0</v>
      </c>
      <c r="I923" s="173"/>
      <c r="J923" s="199">
        <v>0.0</v>
      </c>
      <c r="K923" s="293"/>
      <c r="L923" s="173" t="s">
        <v>585</v>
      </c>
      <c r="M923" s="173"/>
      <c r="N923" s="199" t="s">
        <v>585</v>
      </c>
      <c r="O923" s="173"/>
      <c r="P923" s="173" t="s">
        <v>585</v>
      </c>
      <c r="Q923" s="173"/>
      <c r="R923" s="173" t="s">
        <v>585</v>
      </c>
      <c r="S923" s="173"/>
      <c r="T923" s="173" t="s">
        <v>585</v>
      </c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</row>
    <row r="924">
      <c r="A924" s="173"/>
      <c r="B924" s="173"/>
      <c r="C924" s="173"/>
      <c r="D924" s="174"/>
      <c r="E924" s="175"/>
      <c r="F924" s="175"/>
      <c r="G924" s="173" t="s">
        <v>585</v>
      </c>
      <c r="H924" s="173">
        <v>0.0</v>
      </c>
      <c r="I924" s="173"/>
      <c r="J924" s="199">
        <v>0.0</v>
      </c>
      <c r="K924" s="293"/>
      <c r="L924" s="173" t="s">
        <v>585</v>
      </c>
      <c r="M924" s="173"/>
      <c r="N924" s="199" t="s">
        <v>585</v>
      </c>
      <c r="O924" s="173"/>
      <c r="P924" s="173" t="s">
        <v>585</v>
      </c>
      <c r="Q924" s="173"/>
      <c r="R924" s="173" t="s">
        <v>585</v>
      </c>
      <c r="S924" s="173"/>
      <c r="T924" s="173" t="s">
        <v>585</v>
      </c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</row>
    <row r="925">
      <c r="A925" s="173"/>
      <c r="B925" s="173"/>
      <c r="C925" s="173"/>
      <c r="D925" s="174"/>
      <c r="E925" s="175"/>
      <c r="F925" s="175"/>
      <c r="G925" s="173" t="s">
        <v>585</v>
      </c>
      <c r="H925" s="173">
        <v>0.0</v>
      </c>
      <c r="I925" s="173"/>
      <c r="J925" s="199">
        <v>0.0</v>
      </c>
      <c r="K925" s="293"/>
      <c r="L925" s="173" t="s">
        <v>585</v>
      </c>
      <c r="M925" s="173"/>
      <c r="N925" s="199" t="s">
        <v>585</v>
      </c>
      <c r="O925" s="173"/>
      <c r="P925" s="173" t="s">
        <v>585</v>
      </c>
      <c r="Q925" s="173"/>
      <c r="R925" s="173" t="s">
        <v>585</v>
      </c>
      <c r="S925" s="173"/>
      <c r="T925" s="173" t="s">
        <v>585</v>
      </c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</row>
    <row r="926">
      <c r="A926" s="173"/>
      <c r="B926" s="173"/>
      <c r="C926" s="173"/>
      <c r="D926" s="174"/>
      <c r="E926" s="175"/>
      <c r="F926" s="175"/>
      <c r="G926" s="173" t="s">
        <v>585</v>
      </c>
      <c r="H926" s="173">
        <v>0.0</v>
      </c>
      <c r="I926" s="173"/>
      <c r="J926" s="199">
        <v>0.0</v>
      </c>
      <c r="K926" s="293"/>
      <c r="L926" s="173" t="s">
        <v>585</v>
      </c>
      <c r="M926" s="173"/>
      <c r="N926" s="199" t="s">
        <v>585</v>
      </c>
      <c r="O926" s="173"/>
      <c r="P926" s="173" t="s">
        <v>585</v>
      </c>
      <c r="Q926" s="173"/>
      <c r="R926" s="173" t="s">
        <v>585</v>
      </c>
      <c r="S926" s="173"/>
      <c r="T926" s="173" t="s">
        <v>585</v>
      </c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</row>
    <row r="927">
      <c r="A927" s="173"/>
      <c r="B927" s="173"/>
      <c r="C927" s="173"/>
      <c r="D927" s="174"/>
      <c r="E927" s="175"/>
      <c r="F927" s="175"/>
      <c r="G927" s="173" t="s">
        <v>585</v>
      </c>
      <c r="H927" s="173">
        <v>0.0</v>
      </c>
      <c r="I927" s="173"/>
      <c r="J927" s="199">
        <v>0.0</v>
      </c>
      <c r="K927" s="293"/>
      <c r="L927" s="173" t="s">
        <v>585</v>
      </c>
      <c r="M927" s="173"/>
      <c r="N927" s="199" t="s">
        <v>585</v>
      </c>
      <c r="O927" s="173"/>
      <c r="P927" s="173" t="s">
        <v>585</v>
      </c>
      <c r="Q927" s="173"/>
      <c r="R927" s="173" t="s">
        <v>585</v>
      </c>
      <c r="S927" s="173"/>
      <c r="T927" s="173" t="s">
        <v>585</v>
      </c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</row>
    <row r="928">
      <c r="A928" s="173"/>
      <c r="B928" s="173"/>
      <c r="C928" s="173"/>
      <c r="D928" s="174"/>
      <c r="E928" s="175"/>
      <c r="F928" s="175"/>
      <c r="G928" s="173" t="s">
        <v>585</v>
      </c>
      <c r="H928" s="173">
        <v>0.0</v>
      </c>
      <c r="I928" s="173"/>
      <c r="J928" s="199">
        <v>0.0</v>
      </c>
      <c r="K928" s="293"/>
      <c r="L928" s="173" t="s">
        <v>585</v>
      </c>
      <c r="M928" s="173"/>
      <c r="N928" s="199" t="s">
        <v>585</v>
      </c>
      <c r="O928" s="173"/>
      <c r="P928" s="173" t="s">
        <v>585</v>
      </c>
      <c r="Q928" s="173"/>
      <c r="R928" s="173" t="s">
        <v>585</v>
      </c>
      <c r="S928" s="173"/>
      <c r="T928" s="173" t="s">
        <v>585</v>
      </c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</row>
    <row r="929">
      <c r="A929" s="173"/>
      <c r="B929" s="173"/>
      <c r="C929" s="173"/>
      <c r="D929" s="174"/>
      <c r="E929" s="175"/>
      <c r="F929" s="175"/>
      <c r="G929" s="173" t="s">
        <v>585</v>
      </c>
      <c r="H929" s="173">
        <v>0.0</v>
      </c>
      <c r="I929" s="173"/>
      <c r="J929" s="199">
        <v>0.0</v>
      </c>
      <c r="K929" s="293"/>
      <c r="L929" s="173" t="s">
        <v>585</v>
      </c>
      <c r="M929" s="173"/>
      <c r="N929" s="199" t="s">
        <v>585</v>
      </c>
      <c r="O929" s="173"/>
      <c r="P929" s="173" t="s">
        <v>585</v>
      </c>
      <c r="Q929" s="173"/>
      <c r="R929" s="173" t="s">
        <v>585</v>
      </c>
      <c r="S929" s="173"/>
      <c r="T929" s="173" t="s">
        <v>585</v>
      </c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</row>
    <row r="930">
      <c r="A930" s="173"/>
      <c r="B930" s="173"/>
      <c r="C930" s="173"/>
      <c r="D930" s="174"/>
      <c r="E930" s="175"/>
      <c r="F930" s="175"/>
      <c r="G930" s="173" t="s">
        <v>585</v>
      </c>
      <c r="H930" s="173">
        <v>0.0</v>
      </c>
      <c r="I930" s="173"/>
      <c r="J930" s="199">
        <v>0.0</v>
      </c>
      <c r="K930" s="293"/>
      <c r="L930" s="173" t="s">
        <v>585</v>
      </c>
      <c r="M930" s="173"/>
      <c r="N930" s="199" t="s">
        <v>585</v>
      </c>
      <c r="O930" s="173"/>
      <c r="P930" s="173" t="s">
        <v>585</v>
      </c>
      <c r="Q930" s="173"/>
      <c r="R930" s="173" t="s">
        <v>585</v>
      </c>
      <c r="S930" s="173"/>
      <c r="T930" s="173" t="s">
        <v>585</v>
      </c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</row>
    <row r="931">
      <c r="A931" s="173"/>
      <c r="B931" s="173"/>
      <c r="C931" s="173"/>
      <c r="D931" s="174"/>
      <c r="E931" s="175"/>
      <c r="F931" s="175"/>
      <c r="G931" s="173" t="s">
        <v>585</v>
      </c>
      <c r="H931" s="173">
        <v>0.0</v>
      </c>
      <c r="I931" s="173"/>
      <c r="J931" s="199">
        <v>0.0</v>
      </c>
      <c r="K931" s="293"/>
      <c r="L931" s="173" t="s">
        <v>585</v>
      </c>
      <c r="M931" s="173"/>
      <c r="N931" s="199" t="s">
        <v>585</v>
      </c>
      <c r="O931" s="173"/>
      <c r="P931" s="173" t="s">
        <v>585</v>
      </c>
      <c r="Q931" s="173"/>
      <c r="R931" s="173" t="s">
        <v>585</v>
      </c>
      <c r="S931" s="173"/>
      <c r="T931" s="173" t="s">
        <v>585</v>
      </c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</row>
    <row r="932">
      <c r="A932" s="173"/>
      <c r="B932" s="173"/>
      <c r="C932" s="173"/>
      <c r="D932" s="174"/>
      <c r="E932" s="175"/>
      <c r="F932" s="175"/>
      <c r="G932" s="173" t="s">
        <v>585</v>
      </c>
      <c r="H932" s="173">
        <v>0.0</v>
      </c>
      <c r="I932" s="173"/>
      <c r="J932" s="199">
        <v>0.0</v>
      </c>
      <c r="K932" s="293"/>
      <c r="L932" s="173" t="s">
        <v>585</v>
      </c>
      <c r="M932" s="173"/>
      <c r="N932" s="199" t="s">
        <v>585</v>
      </c>
      <c r="O932" s="173"/>
      <c r="P932" s="173" t="s">
        <v>585</v>
      </c>
      <c r="Q932" s="173"/>
      <c r="R932" s="173" t="s">
        <v>585</v>
      </c>
      <c r="S932" s="173"/>
      <c r="T932" s="173" t="s">
        <v>585</v>
      </c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</row>
    <row r="933">
      <c r="A933" s="173"/>
      <c r="B933" s="173"/>
      <c r="C933" s="173"/>
      <c r="D933" s="174"/>
      <c r="E933" s="175"/>
      <c r="F933" s="175"/>
      <c r="G933" s="173" t="s">
        <v>585</v>
      </c>
      <c r="H933" s="173">
        <v>0.0</v>
      </c>
      <c r="I933" s="173"/>
      <c r="J933" s="199">
        <v>0.0</v>
      </c>
      <c r="K933" s="293"/>
      <c r="L933" s="173" t="s">
        <v>585</v>
      </c>
      <c r="M933" s="173"/>
      <c r="N933" s="199" t="s">
        <v>585</v>
      </c>
      <c r="O933" s="173"/>
      <c r="P933" s="173" t="s">
        <v>585</v>
      </c>
      <c r="Q933" s="173"/>
      <c r="R933" s="173" t="s">
        <v>585</v>
      </c>
      <c r="S933" s="173"/>
      <c r="T933" s="173" t="s">
        <v>585</v>
      </c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</row>
    <row r="934">
      <c r="A934" s="173"/>
      <c r="B934" s="173"/>
      <c r="C934" s="173"/>
      <c r="D934" s="174"/>
      <c r="E934" s="175"/>
      <c r="F934" s="175"/>
      <c r="G934" s="173" t="s">
        <v>585</v>
      </c>
      <c r="H934" s="173">
        <v>0.0</v>
      </c>
      <c r="I934" s="173"/>
      <c r="J934" s="199">
        <v>0.0</v>
      </c>
      <c r="K934" s="293"/>
      <c r="L934" s="173" t="s">
        <v>585</v>
      </c>
      <c r="M934" s="173"/>
      <c r="N934" s="199" t="s">
        <v>585</v>
      </c>
      <c r="O934" s="173"/>
      <c r="P934" s="173" t="s">
        <v>585</v>
      </c>
      <c r="Q934" s="173"/>
      <c r="R934" s="173" t="s">
        <v>585</v>
      </c>
      <c r="S934" s="173"/>
      <c r="T934" s="173" t="s">
        <v>585</v>
      </c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</row>
    <row r="935">
      <c r="A935" s="173"/>
      <c r="B935" s="173"/>
      <c r="C935" s="173"/>
      <c r="D935" s="174"/>
      <c r="E935" s="175"/>
      <c r="F935" s="175"/>
      <c r="G935" s="173" t="s">
        <v>585</v>
      </c>
      <c r="H935" s="173">
        <v>0.0</v>
      </c>
      <c r="I935" s="173"/>
      <c r="J935" s="199">
        <v>0.0</v>
      </c>
      <c r="K935" s="293"/>
      <c r="L935" s="173" t="s">
        <v>585</v>
      </c>
      <c r="M935" s="173"/>
      <c r="N935" s="199" t="s">
        <v>585</v>
      </c>
      <c r="O935" s="173"/>
      <c r="P935" s="173" t="s">
        <v>585</v>
      </c>
      <c r="Q935" s="173"/>
      <c r="R935" s="173" t="s">
        <v>585</v>
      </c>
      <c r="S935" s="173"/>
      <c r="T935" s="173" t="s">
        <v>585</v>
      </c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</row>
    <row r="936">
      <c r="A936" s="173"/>
      <c r="B936" s="173"/>
      <c r="C936" s="173"/>
      <c r="D936" s="174"/>
      <c r="E936" s="175"/>
      <c r="F936" s="175"/>
      <c r="G936" s="173" t="s">
        <v>585</v>
      </c>
      <c r="H936" s="173">
        <v>0.0</v>
      </c>
      <c r="I936" s="173"/>
      <c r="J936" s="199">
        <v>0.0</v>
      </c>
      <c r="K936" s="293"/>
      <c r="L936" s="173" t="s">
        <v>585</v>
      </c>
      <c r="M936" s="173"/>
      <c r="N936" s="199" t="s">
        <v>585</v>
      </c>
      <c r="O936" s="173"/>
      <c r="P936" s="173" t="s">
        <v>585</v>
      </c>
      <c r="Q936" s="173"/>
      <c r="R936" s="173" t="s">
        <v>585</v>
      </c>
      <c r="S936" s="173"/>
      <c r="T936" s="173" t="s">
        <v>585</v>
      </c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</row>
    <row r="937">
      <c r="A937" s="173"/>
      <c r="B937" s="173"/>
      <c r="C937" s="173"/>
      <c r="D937" s="174"/>
      <c r="E937" s="175"/>
      <c r="F937" s="175"/>
      <c r="G937" s="173" t="s">
        <v>585</v>
      </c>
      <c r="H937" s="173">
        <v>0.0</v>
      </c>
      <c r="I937" s="173"/>
      <c r="J937" s="199">
        <v>0.0</v>
      </c>
      <c r="K937" s="293"/>
      <c r="L937" s="173" t="s">
        <v>585</v>
      </c>
      <c r="M937" s="173"/>
      <c r="N937" s="199" t="s">
        <v>585</v>
      </c>
      <c r="O937" s="173"/>
      <c r="P937" s="173" t="s">
        <v>585</v>
      </c>
      <c r="Q937" s="173"/>
      <c r="R937" s="173" t="s">
        <v>585</v>
      </c>
      <c r="S937" s="173"/>
      <c r="T937" s="173" t="s">
        <v>585</v>
      </c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</row>
    <row r="938">
      <c r="A938" s="173"/>
      <c r="B938" s="173"/>
      <c r="C938" s="173"/>
      <c r="D938" s="174"/>
      <c r="E938" s="175"/>
      <c r="F938" s="175"/>
      <c r="G938" s="173" t="s">
        <v>585</v>
      </c>
      <c r="H938" s="173">
        <v>0.0</v>
      </c>
      <c r="I938" s="173"/>
      <c r="J938" s="199">
        <v>0.0</v>
      </c>
      <c r="K938" s="293"/>
      <c r="L938" s="173" t="s">
        <v>585</v>
      </c>
      <c r="M938" s="173"/>
      <c r="N938" s="199" t="s">
        <v>585</v>
      </c>
      <c r="O938" s="173"/>
      <c r="P938" s="173" t="s">
        <v>585</v>
      </c>
      <c r="Q938" s="173"/>
      <c r="R938" s="173" t="s">
        <v>585</v>
      </c>
      <c r="S938" s="173"/>
      <c r="T938" s="173" t="s">
        <v>585</v>
      </c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</row>
    <row r="939">
      <c r="A939" s="173"/>
      <c r="B939" s="173"/>
      <c r="C939" s="173"/>
      <c r="D939" s="174"/>
      <c r="E939" s="175"/>
      <c r="F939" s="175"/>
      <c r="G939" s="173" t="s">
        <v>585</v>
      </c>
      <c r="H939" s="173">
        <v>0.0</v>
      </c>
      <c r="I939" s="173"/>
      <c r="J939" s="199">
        <v>0.0</v>
      </c>
      <c r="K939" s="293"/>
      <c r="L939" s="173" t="s">
        <v>585</v>
      </c>
      <c r="M939" s="173"/>
      <c r="N939" s="199" t="s">
        <v>585</v>
      </c>
      <c r="O939" s="173"/>
      <c r="P939" s="173" t="s">
        <v>585</v>
      </c>
      <c r="Q939" s="173"/>
      <c r="R939" s="173" t="s">
        <v>585</v>
      </c>
      <c r="S939" s="173"/>
      <c r="T939" s="173" t="s">
        <v>585</v>
      </c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</row>
    <row r="940">
      <c r="A940" s="173"/>
      <c r="B940" s="173"/>
      <c r="C940" s="173"/>
      <c r="D940" s="174"/>
      <c r="E940" s="175"/>
      <c r="F940" s="175"/>
      <c r="G940" s="173" t="s">
        <v>585</v>
      </c>
      <c r="H940" s="173">
        <v>0.0</v>
      </c>
      <c r="I940" s="173"/>
      <c r="J940" s="199">
        <v>0.0</v>
      </c>
      <c r="K940" s="293"/>
      <c r="L940" s="173" t="s">
        <v>585</v>
      </c>
      <c r="M940" s="173"/>
      <c r="N940" s="199" t="s">
        <v>585</v>
      </c>
      <c r="O940" s="173"/>
      <c r="P940" s="173" t="s">
        <v>585</v>
      </c>
      <c r="Q940" s="173"/>
      <c r="R940" s="173" t="s">
        <v>585</v>
      </c>
      <c r="S940" s="173"/>
      <c r="T940" s="173" t="s">
        <v>585</v>
      </c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</row>
    <row r="941">
      <c r="A941" s="173"/>
      <c r="B941" s="173"/>
      <c r="C941" s="173"/>
      <c r="D941" s="174"/>
      <c r="E941" s="175"/>
      <c r="F941" s="175"/>
      <c r="G941" s="173" t="s">
        <v>585</v>
      </c>
      <c r="H941" s="173">
        <v>0.0</v>
      </c>
      <c r="I941" s="173"/>
      <c r="J941" s="199">
        <v>0.0</v>
      </c>
      <c r="K941" s="293"/>
      <c r="L941" s="173" t="s">
        <v>585</v>
      </c>
      <c r="M941" s="173"/>
      <c r="N941" s="199" t="s">
        <v>585</v>
      </c>
      <c r="O941" s="173"/>
      <c r="P941" s="173" t="s">
        <v>585</v>
      </c>
      <c r="Q941" s="173"/>
      <c r="R941" s="173" t="s">
        <v>585</v>
      </c>
      <c r="S941" s="173"/>
      <c r="T941" s="173" t="s">
        <v>585</v>
      </c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</row>
    <row r="942">
      <c r="A942" s="173"/>
      <c r="B942" s="173"/>
      <c r="C942" s="173"/>
      <c r="D942" s="174"/>
      <c r="E942" s="175"/>
      <c r="F942" s="175"/>
      <c r="G942" s="173" t="s">
        <v>585</v>
      </c>
      <c r="H942" s="173">
        <v>0.0</v>
      </c>
      <c r="I942" s="173"/>
      <c r="J942" s="199">
        <v>0.0</v>
      </c>
      <c r="K942" s="293"/>
      <c r="L942" s="173" t="s">
        <v>585</v>
      </c>
      <c r="M942" s="173"/>
      <c r="N942" s="199" t="s">
        <v>585</v>
      </c>
      <c r="O942" s="173"/>
      <c r="P942" s="173" t="s">
        <v>585</v>
      </c>
      <c r="Q942" s="173"/>
      <c r="R942" s="173" t="s">
        <v>585</v>
      </c>
      <c r="S942" s="173"/>
      <c r="T942" s="173" t="s">
        <v>585</v>
      </c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</row>
    <row r="943">
      <c r="A943" s="173"/>
      <c r="B943" s="173"/>
      <c r="C943" s="173"/>
      <c r="D943" s="174"/>
      <c r="E943" s="175"/>
      <c r="F943" s="175"/>
      <c r="G943" s="173" t="s">
        <v>585</v>
      </c>
      <c r="H943" s="173">
        <v>0.0</v>
      </c>
      <c r="I943" s="173"/>
      <c r="J943" s="199">
        <v>0.0</v>
      </c>
      <c r="K943" s="293"/>
      <c r="L943" s="173" t="s">
        <v>585</v>
      </c>
      <c r="M943" s="173"/>
      <c r="N943" s="199" t="s">
        <v>585</v>
      </c>
      <c r="O943" s="173"/>
      <c r="P943" s="173" t="s">
        <v>585</v>
      </c>
      <c r="Q943" s="173"/>
      <c r="R943" s="173" t="s">
        <v>585</v>
      </c>
      <c r="S943" s="173"/>
      <c r="T943" s="173" t="s">
        <v>585</v>
      </c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</row>
    <row r="944">
      <c r="A944" s="173"/>
      <c r="B944" s="173"/>
      <c r="C944" s="173"/>
      <c r="D944" s="174"/>
      <c r="E944" s="175"/>
      <c r="F944" s="175"/>
      <c r="G944" s="173" t="s">
        <v>585</v>
      </c>
      <c r="H944" s="173">
        <v>0.0</v>
      </c>
      <c r="I944" s="173"/>
      <c r="J944" s="199">
        <v>0.0</v>
      </c>
      <c r="K944" s="293"/>
      <c r="L944" s="173" t="s">
        <v>585</v>
      </c>
      <c r="M944" s="173"/>
      <c r="N944" s="199" t="s">
        <v>585</v>
      </c>
      <c r="O944" s="173"/>
      <c r="P944" s="173" t="s">
        <v>585</v>
      </c>
      <c r="Q944" s="173"/>
      <c r="R944" s="173" t="s">
        <v>585</v>
      </c>
      <c r="S944" s="173"/>
      <c r="T944" s="173" t="s">
        <v>585</v>
      </c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</row>
    <row r="945">
      <c r="A945" s="173"/>
      <c r="B945" s="173"/>
      <c r="C945" s="173"/>
      <c r="D945" s="174"/>
      <c r="E945" s="175"/>
      <c r="F945" s="175"/>
      <c r="G945" s="173" t="s">
        <v>585</v>
      </c>
      <c r="H945" s="173">
        <v>0.0</v>
      </c>
      <c r="I945" s="173"/>
      <c r="J945" s="199">
        <v>0.0</v>
      </c>
      <c r="K945" s="293"/>
      <c r="L945" s="173" t="s">
        <v>585</v>
      </c>
      <c r="M945" s="173"/>
      <c r="N945" s="199" t="s">
        <v>585</v>
      </c>
      <c r="O945" s="173"/>
      <c r="P945" s="173" t="s">
        <v>585</v>
      </c>
      <c r="Q945" s="173"/>
      <c r="R945" s="173" t="s">
        <v>585</v>
      </c>
      <c r="S945" s="173"/>
      <c r="T945" s="173" t="s">
        <v>585</v>
      </c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</row>
    <row r="946">
      <c r="A946" s="173"/>
      <c r="B946" s="173"/>
      <c r="C946" s="173"/>
      <c r="D946" s="174"/>
      <c r="E946" s="175"/>
      <c r="F946" s="175"/>
      <c r="G946" s="173" t="s">
        <v>585</v>
      </c>
      <c r="H946" s="173">
        <v>0.0</v>
      </c>
      <c r="I946" s="173"/>
      <c r="J946" s="199">
        <v>0.0</v>
      </c>
      <c r="K946" s="293"/>
      <c r="L946" s="173" t="s">
        <v>585</v>
      </c>
      <c r="M946" s="173"/>
      <c r="N946" s="199" t="s">
        <v>585</v>
      </c>
      <c r="O946" s="173"/>
      <c r="P946" s="173" t="s">
        <v>585</v>
      </c>
      <c r="Q946" s="173"/>
      <c r="R946" s="173" t="s">
        <v>585</v>
      </c>
      <c r="S946" s="173"/>
      <c r="T946" s="173" t="s">
        <v>585</v>
      </c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</row>
    <row r="947">
      <c r="A947" s="173"/>
      <c r="B947" s="173"/>
      <c r="C947" s="173"/>
      <c r="D947" s="174"/>
      <c r="E947" s="175"/>
      <c r="F947" s="175"/>
      <c r="G947" s="173" t="s">
        <v>585</v>
      </c>
      <c r="H947" s="173">
        <v>0.0</v>
      </c>
      <c r="I947" s="173"/>
      <c r="J947" s="199">
        <v>0.0</v>
      </c>
      <c r="K947" s="293"/>
      <c r="L947" s="173" t="s">
        <v>585</v>
      </c>
      <c r="M947" s="173"/>
      <c r="N947" s="199" t="s">
        <v>585</v>
      </c>
      <c r="O947" s="173"/>
      <c r="P947" s="173" t="s">
        <v>585</v>
      </c>
      <c r="Q947" s="173"/>
      <c r="R947" s="173" t="s">
        <v>585</v>
      </c>
      <c r="S947" s="173"/>
      <c r="T947" s="173" t="s">
        <v>585</v>
      </c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</row>
    <row r="948">
      <c r="A948" s="173"/>
      <c r="B948" s="173"/>
      <c r="C948" s="173"/>
      <c r="D948" s="174"/>
      <c r="E948" s="175"/>
      <c r="F948" s="175"/>
      <c r="G948" s="173" t="s">
        <v>585</v>
      </c>
      <c r="H948" s="173">
        <v>0.0</v>
      </c>
      <c r="I948" s="173"/>
      <c r="J948" s="199">
        <v>0.0</v>
      </c>
      <c r="K948" s="293"/>
      <c r="L948" s="173" t="s">
        <v>585</v>
      </c>
      <c r="M948" s="173"/>
      <c r="N948" s="199" t="s">
        <v>585</v>
      </c>
      <c r="O948" s="173"/>
      <c r="P948" s="173" t="s">
        <v>585</v>
      </c>
      <c r="Q948" s="173"/>
      <c r="R948" s="173" t="s">
        <v>585</v>
      </c>
      <c r="S948" s="173"/>
      <c r="T948" s="173" t="s">
        <v>585</v>
      </c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</row>
    <row r="949">
      <c r="A949" s="173"/>
      <c r="B949" s="173"/>
      <c r="C949" s="173"/>
      <c r="D949" s="174"/>
      <c r="E949" s="175"/>
      <c r="F949" s="175"/>
      <c r="G949" s="173" t="s">
        <v>585</v>
      </c>
      <c r="H949" s="173">
        <v>0.0</v>
      </c>
      <c r="I949" s="173"/>
      <c r="J949" s="199">
        <v>0.0</v>
      </c>
      <c r="K949" s="293"/>
      <c r="L949" s="173" t="s">
        <v>585</v>
      </c>
      <c r="M949" s="173"/>
      <c r="N949" s="199" t="s">
        <v>585</v>
      </c>
      <c r="O949" s="173"/>
      <c r="P949" s="173" t="s">
        <v>585</v>
      </c>
      <c r="Q949" s="173"/>
      <c r="R949" s="173" t="s">
        <v>585</v>
      </c>
      <c r="S949" s="173"/>
      <c r="T949" s="173" t="s">
        <v>585</v>
      </c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</row>
    <row r="950">
      <c r="A950" s="173"/>
      <c r="B950" s="173"/>
      <c r="C950" s="173"/>
      <c r="D950" s="174"/>
      <c r="E950" s="175"/>
      <c r="F950" s="175"/>
      <c r="G950" s="173" t="s">
        <v>585</v>
      </c>
      <c r="H950" s="173">
        <v>0.0</v>
      </c>
      <c r="I950" s="173"/>
      <c r="J950" s="199">
        <v>0.0</v>
      </c>
      <c r="K950" s="293"/>
      <c r="L950" s="173" t="s">
        <v>585</v>
      </c>
      <c r="M950" s="173"/>
      <c r="N950" s="199" t="s">
        <v>585</v>
      </c>
      <c r="O950" s="173"/>
      <c r="P950" s="173" t="s">
        <v>585</v>
      </c>
      <c r="Q950" s="173"/>
      <c r="R950" s="173" t="s">
        <v>585</v>
      </c>
      <c r="S950" s="173"/>
      <c r="T950" s="173" t="s">
        <v>585</v>
      </c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</row>
    <row r="951">
      <c r="A951" s="173"/>
      <c r="B951" s="173"/>
      <c r="C951" s="173"/>
      <c r="D951" s="174"/>
      <c r="E951" s="175"/>
      <c r="F951" s="175"/>
      <c r="G951" s="173" t="s">
        <v>585</v>
      </c>
      <c r="H951" s="173">
        <v>0.0</v>
      </c>
      <c r="I951" s="173"/>
      <c r="J951" s="199">
        <v>0.0</v>
      </c>
      <c r="K951" s="293"/>
      <c r="L951" s="173" t="s">
        <v>585</v>
      </c>
      <c r="M951" s="173"/>
      <c r="N951" s="199" t="s">
        <v>585</v>
      </c>
      <c r="O951" s="173"/>
      <c r="P951" s="173" t="s">
        <v>585</v>
      </c>
      <c r="Q951" s="173"/>
      <c r="R951" s="173" t="s">
        <v>585</v>
      </c>
      <c r="S951" s="173"/>
      <c r="T951" s="173" t="s">
        <v>585</v>
      </c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</row>
    <row r="952">
      <c r="A952" s="173"/>
      <c r="B952" s="173"/>
      <c r="C952" s="173"/>
      <c r="D952" s="174"/>
      <c r="E952" s="175"/>
      <c r="F952" s="175"/>
      <c r="G952" s="173" t="s">
        <v>585</v>
      </c>
      <c r="H952" s="173">
        <v>0.0</v>
      </c>
      <c r="I952" s="173"/>
      <c r="J952" s="199">
        <v>0.0</v>
      </c>
      <c r="K952" s="293"/>
      <c r="L952" s="173" t="s">
        <v>585</v>
      </c>
      <c r="M952" s="173"/>
      <c r="N952" s="199" t="s">
        <v>585</v>
      </c>
      <c r="O952" s="173"/>
      <c r="P952" s="173" t="s">
        <v>585</v>
      </c>
      <c r="Q952" s="173"/>
      <c r="R952" s="173" t="s">
        <v>585</v>
      </c>
      <c r="S952" s="173"/>
      <c r="T952" s="173" t="s">
        <v>585</v>
      </c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</row>
    <row r="953">
      <c r="A953" s="173"/>
      <c r="B953" s="173"/>
      <c r="C953" s="173"/>
      <c r="D953" s="174"/>
      <c r="E953" s="175"/>
      <c r="F953" s="175"/>
      <c r="G953" s="173" t="s">
        <v>585</v>
      </c>
      <c r="H953" s="173">
        <v>0.0</v>
      </c>
      <c r="I953" s="173"/>
      <c r="J953" s="199">
        <v>0.0</v>
      </c>
      <c r="K953" s="293"/>
      <c r="L953" s="173" t="s">
        <v>585</v>
      </c>
      <c r="M953" s="173"/>
      <c r="N953" s="199" t="s">
        <v>585</v>
      </c>
      <c r="O953" s="173"/>
      <c r="P953" s="173" t="s">
        <v>585</v>
      </c>
      <c r="Q953" s="173"/>
      <c r="R953" s="173" t="s">
        <v>585</v>
      </c>
      <c r="S953" s="173"/>
      <c r="T953" s="173" t="s">
        <v>585</v>
      </c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</row>
    <row r="954">
      <c r="A954" s="173"/>
      <c r="B954" s="173"/>
      <c r="C954" s="173"/>
      <c r="D954" s="174"/>
      <c r="E954" s="175"/>
      <c r="F954" s="175"/>
      <c r="G954" s="173" t="s">
        <v>585</v>
      </c>
      <c r="H954" s="173">
        <v>0.0</v>
      </c>
      <c r="I954" s="173"/>
      <c r="J954" s="199">
        <v>0.0</v>
      </c>
      <c r="K954" s="293"/>
      <c r="L954" s="173" t="s">
        <v>585</v>
      </c>
      <c r="M954" s="173"/>
      <c r="N954" s="199" t="s">
        <v>585</v>
      </c>
      <c r="O954" s="173"/>
      <c r="P954" s="173" t="s">
        <v>585</v>
      </c>
      <c r="Q954" s="173"/>
      <c r="R954" s="173" t="s">
        <v>585</v>
      </c>
      <c r="S954" s="173"/>
      <c r="T954" s="173" t="s">
        <v>585</v>
      </c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</row>
    <row r="955">
      <c r="A955" s="173"/>
      <c r="B955" s="173"/>
      <c r="C955" s="173"/>
      <c r="D955" s="174"/>
      <c r="E955" s="175"/>
      <c r="F955" s="175"/>
      <c r="G955" s="173" t="s">
        <v>585</v>
      </c>
      <c r="H955" s="173">
        <v>0.0</v>
      </c>
      <c r="I955" s="173"/>
      <c r="J955" s="199">
        <v>0.0</v>
      </c>
      <c r="K955" s="293"/>
      <c r="L955" s="173" t="s">
        <v>585</v>
      </c>
      <c r="M955" s="173"/>
      <c r="N955" s="199" t="s">
        <v>585</v>
      </c>
      <c r="O955" s="173"/>
      <c r="P955" s="173" t="s">
        <v>585</v>
      </c>
      <c r="Q955" s="173"/>
      <c r="R955" s="173" t="s">
        <v>585</v>
      </c>
      <c r="S955" s="173"/>
      <c r="T955" s="173" t="s">
        <v>585</v>
      </c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</row>
    <row r="956">
      <c r="A956" s="173"/>
      <c r="B956" s="173"/>
      <c r="C956" s="173"/>
      <c r="D956" s="174"/>
      <c r="E956" s="175"/>
      <c r="F956" s="175"/>
      <c r="G956" s="173" t="s">
        <v>585</v>
      </c>
      <c r="H956" s="173">
        <v>0.0</v>
      </c>
      <c r="I956" s="173"/>
      <c r="J956" s="199">
        <v>0.0</v>
      </c>
      <c r="K956" s="293"/>
      <c r="L956" s="173" t="s">
        <v>585</v>
      </c>
      <c r="M956" s="173"/>
      <c r="N956" s="199" t="s">
        <v>585</v>
      </c>
      <c r="O956" s="173"/>
      <c r="P956" s="173" t="s">
        <v>585</v>
      </c>
      <c r="Q956" s="173"/>
      <c r="R956" s="173" t="s">
        <v>585</v>
      </c>
      <c r="S956" s="173"/>
      <c r="T956" s="173" t="s">
        <v>585</v>
      </c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</row>
    <row r="957">
      <c r="A957" s="173"/>
      <c r="B957" s="173"/>
      <c r="C957" s="173"/>
      <c r="D957" s="174"/>
      <c r="E957" s="175"/>
      <c r="F957" s="175"/>
      <c r="G957" s="173" t="s">
        <v>585</v>
      </c>
      <c r="H957" s="173">
        <v>0.0</v>
      </c>
      <c r="I957" s="173"/>
      <c r="J957" s="199">
        <v>0.0</v>
      </c>
      <c r="K957" s="293"/>
      <c r="L957" s="173" t="s">
        <v>585</v>
      </c>
      <c r="M957" s="173"/>
      <c r="N957" s="199" t="s">
        <v>585</v>
      </c>
      <c r="O957" s="173"/>
      <c r="P957" s="173" t="s">
        <v>585</v>
      </c>
      <c r="Q957" s="173"/>
      <c r="R957" s="173" t="s">
        <v>585</v>
      </c>
      <c r="S957" s="173"/>
      <c r="T957" s="173" t="s">
        <v>585</v>
      </c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</row>
    <row r="958">
      <c r="A958" s="173"/>
      <c r="B958" s="173"/>
      <c r="C958" s="173"/>
      <c r="D958" s="174"/>
      <c r="E958" s="175"/>
      <c r="F958" s="175"/>
      <c r="G958" s="173" t="s">
        <v>585</v>
      </c>
      <c r="H958" s="173">
        <v>0.0</v>
      </c>
      <c r="I958" s="173"/>
      <c r="J958" s="199">
        <v>0.0</v>
      </c>
      <c r="K958" s="293"/>
      <c r="L958" s="173" t="s">
        <v>585</v>
      </c>
      <c r="M958" s="173"/>
      <c r="N958" s="199" t="s">
        <v>585</v>
      </c>
      <c r="O958" s="173"/>
      <c r="P958" s="173" t="s">
        <v>585</v>
      </c>
      <c r="Q958" s="173"/>
      <c r="R958" s="173" t="s">
        <v>585</v>
      </c>
      <c r="S958" s="173"/>
      <c r="T958" s="173" t="s">
        <v>585</v>
      </c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</row>
    <row r="959">
      <c r="A959" s="173"/>
      <c r="B959" s="173"/>
      <c r="C959" s="173"/>
      <c r="D959" s="174"/>
      <c r="E959" s="175"/>
      <c r="F959" s="175"/>
      <c r="G959" s="173" t="s">
        <v>585</v>
      </c>
      <c r="H959" s="173">
        <v>0.0</v>
      </c>
      <c r="I959" s="173"/>
      <c r="J959" s="199">
        <v>0.0</v>
      </c>
      <c r="K959" s="293"/>
      <c r="L959" s="173" t="s">
        <v>585</v>
      </c>
      <c r="M959" s="173"/>
      <c r="N959" s="199" t="s">
        <v>585</v>
      </c>
      <c r="O959" s="173"/>
      <c r="P959" s="173" t="s">
        <v>585</v>
      </c>
      <c r="Q959" s="173"/>
      <c r="R959" s="173" t="s">
        <v>585</v>
      </c>
      <c r="S959" s="173"/>
      <c r="T959" s="173" t="s">
        <v>585</v>
      </c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</row>
    <row r="960">
      <c r="A960" s="173"/>
      <c r="B960" s="173"/>
      <c r="C960" s="173"/>
      <c r="D960" s="174"/>
      <c r="E960" s="175"/>
      <c r="F960" s="175"/>
      <c r="G960" s="173" t="s">
        <v>585</v>
      </c>
      <c r="H960" s="173">
        <v>0.0</v>
      </c>
      <c r="I960" s="173"/>
      <c r="J960" s="199">
        <v>0.0</v>
      </c>
      <c r="K960" s="293"/>
      <c r="L960" s="173" t="s">
        <v>585</v>
      </c>
      <c r="M960" s="173"/>
      <c r="N960" s="199" t="s">
        <v>585</v>
      </c>
      <c r="O960" s="173"/>
      <c r="P960" s="173" t="s">
        <v>585</v>
      </c>
      <c r="Q960" s="173"/>
      <c r="R960" s="173" t="s">
        <v>585</v>
      </c>
      <c r="S960" s="173"/>
      <c r="T960" s="173" t="s">
        <v>585</v>
      </c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</row>
    <row r="961">
      <c r="A961" s="173"/>
      <c r="B961" s="173"/>
      <c r="C961" s="173"/>
      <c r="D961" s="174"/>
      <c r="E961" s="175"/>
      <c r="F961" s="175"/>
      <c r="G961" s="173" t="s">
        <v>585</v>
      </c>
      <c r="H961" s="173">
        <v>0.0</v>
      </c>
      <c r="I961" s="173"/>
      <c r="J961" s="199">
        <v>0.0</v>
      </c>
      <c r="K961" s="293"/>
      <c r="L961" s="173" t="s">
        <v>585</v>
      </c>
      <c r="M961" s="173"/>
      <c r="N961" s="199" t="s">
        <v>585</v>
      </c>
      <c r="O961" s="173"/>
      <c r="P961" s="173" t="s">
        <v>585</v>
      </c>
      <c r="Q961" s="173"/>
      <c r="R961" s="173" t="s">
        <v>585</v>
      </c>
      <c r="S961" s="173"/>
      <c r="T961" s="173" t="s">
        <v>585</v>
      </c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</row>
    <row r="962">
      <c r="A962" s="173"/>
      <c r="B962" s="173"/>
      <c r="C962" s="173"/>
      <c r="D962" s="174"/>
      <c r="E962" s="175"/>
      <c r="F962" s="175"/>
      <c r="G962" s="173" t="s">
        <v>585</v>
      </c>
      <c r="H962" s="173">
        <v>0.0</v>
      </c>
      <c r="I962" s="173"/>
      <c r="J962" s="199">
        <v>0.0</v>
      </c>
      <c r="K962" s="293"/>
      <c r="L962" s="173" t="s">
        <v>585</v>
      </c>
      <c r="M962" s="173"/>
      <c r="N962" s="199" t="s">
        <v>585</v>
      </c>
      <c r="O962" s="173"/>
      <c r="P962" s="173" t="s">
        <v>585</v>
      </c>
      <c r="Q962" s="173"/>
      <c r="R962" s="173" t="s">
        <v>585</v>
      </c>
      <c r="S962" s="173"/>
      <c r="T962" s="173" t="s">
        <v>585</v>
      </c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</row>
    <row r="963">
      <c r="A963" s="173"/>
      <c r="B963" s="173"/>
      <c r="C963" s="173"/>
      <c r="D963" s="174"/>
      <c r="E963" s="175"/>
      <c r="F963" s="175"/>
      <c r="G963" s="173" t="s">
        <v>585</v>
      </c>
      <c r="H963" s="173">
        <v>0.0</v>
      </c>
      <c r="I963" s="173"/>
      <c r="J963" s="199">
        <v>0.0</v>
      </c>
      <c r="K963" s="293"/>
      <c r="L963" s="173" t="s">
        <v>585</v>
      </c>
      <c r="M963" s="173"/>
      <c r="N963" s="199" t="s">
        <v>585</v>
      </c>
      <c r="O963" s="173"/>
      <c r="P963" s="173" t="s">
        <v>585</v>
      </c>
      <c r="Q963" s="173"/>
      <c r="R963" s="173" t="s">
        <v>585</v>
      </c>
      <c r="S963" s="173"/>
      <c r="T963" s="173" t="s">
        <v>585</v>
      </c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</row>
    <row r="964">
      <c r="A964" s="173"/>
      <c r="B964" s="173"/>
      <c r="C964" s="173"/>
      <c r="D964" s="174"/>
      <c r="E964" s="175"/>
      <c r="F964" s="175"/>
      <c r="G964" s="173" t="s">
        <v>585</v>
      </c>
      <c r="H964" s="173">
        <v>0.0</v>
      </c>
      <c r="I964" s="173"/>
      <c r="J964" s="199">
        <v>0.0</v>
      </c>
      <c r="K964" s="293"/>
      <c r="L964" s="173" t="s">
        <v>585</v>
      </c>
      <c r="M964" s="173"/>
      <c r="N964" s="199" t="s">
        <v>585</v>
      </c>
      <c r="O964" s="173"/>
      <c r="P964" s="173" t="s">
        <v>585</v>
      </c>
      <c r="Q964" s="173"/>
      <c r="R964" s="173" t="s">
        <v>585</v>
      </c>
      <c r="S964" s="173"/>
      <c r="T964" s="173" t="s">
        <v>585</v>
      </c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</row>
    <row r="965">
      <c r="A965" s="173"/>
      <c r="B965" s="173"/>
      <c r="C965" s="173"/>
      <c r="D965" s="174"/>
      <c r="E965" s="175"/>
      <c r="F965" s="175"/>
      <c r="G965" s="173" t="s">
        <v>585</v>
      </c>
      <c r="H965" s="173">
        <v>0.0</v>
      </c>
      <c r="I965" s="173"/>
      <c r="J965" s="199">
        <v>0.0</v>
      </c>
      <c r="K965" s="293"/>
      <c r="L965" s="173" t="s">
        <v>585</v>
      </c>
      <c r="M965" s="173"/>
      <c r="N965" s="199" t="s">
        <v>585</v>
      </c>
      <c r="O965" s="173"/>
      <c r="P965" s="173" t="s">
        <v>585</v>
      </c>
      <c r="Q965" s="173"/>
      <c r="R965" s="173" t="s">
        <v>585</v>
      </c>
      <c r="S965" s="173"/>
      <c r="T965" s="173" t="s">
        <v>585</v>
      </c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</row>
    <row r="966">
      <c r="A966" s="173"/>
      <c r="B966" s="173"/>
      <c r="C966" s="173"/>
      <c r="D966" s="174"/>
      <c r="E966" s="175"/>
      <c r="F966" s="175"/>
      <c r="G966" s="173" t="s">
        <v>585</v>
      </c>
      <c r="H966" s="173">
        <v>0.0</v>
      </c>
      <c r="I966" s="173"/>
      <c r="J966" s="199">
        <v>0.0</v>
      </c>
      <c r="K966" s="293"/>
      <c r="L966" s="173" t="s">
        <v>585</v>
      </c>
      <c r="M966" s="173"/>
      <c r="N966" s="199" t="s">
        <v>585</v>
      </c>
      <c r="O966" s="173"/>
      <c r="P966" s="173" t="s">
        <v>585</v>
      </c>
      <c r="Q966" s="173"/>
      <c r="R966" s="173" t="s">
        <v>585</v>
      </c>
      <c r="S966" s="173"/>
      <c r="T966" s="173" t="s">
        <v>585</v>
      </c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</row>
    <row r="967">
      <c r="A967" s="173"/>
      <c r="B967" s="173"/>
      <c r="C967" s="173"/>
      <c r="D967" s="174"/>
      <c r="E967" s="175"/>
      <c r="F967" s="175"/>
      <c r="G967" s="173" t="s">
        <v>585</v>
      </c>
      <c r="H967" s="173">
        <v>0.0</v>
      </c>
      <c r="I967" s="173"/>
      <c r="J967" s="199">
        <v>0.0</v>
      </c>
      <c r="K967" s="293"/>
      <c r="L967" s="173" t="s">
        <v>585</v>
      </c>
      <c r="M967" s="173"/>
      <c r="N967" s="199" t="s">
        <v>585</v>
      </c>
      <c r="O967" s="173"/>
      <c r="P967" s="173" t="s">
        <v>585</v>
      </c>
      <c r="Q967" s="173"/>
      <c r="R967" s="173" t="s">
        <v>585</v>
      </c>
      <c r="S967" s="173"/>
      <c r="T967" s="173" t="s">
        <v>585</v>
      </c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</row>
    <row r="968">
      <c r="A968" s="173"/>
      <c r="B968" s="173"/>
      <c r="C968" s="173"/>
      <c r="D968" s="174"/>
      <c r="E968" s="175"/>
      <c r="F968" s="175"/>
      <c r="G968" s="173" t="s">
        <v>585</v>
      </c>
      <c r="H968" s="173">
        <v>0.0</v>
      </c>
      <c r="I968" s="173"/>
      <c r="J968" s="199">
        <v>0.0</v>
      </c>
      <c r="K968" s="293"/>
      <c r="L968" s="173" t="s">
        <v>585</v>
      </c>
      <c r="M968" s="173"/>
      <c r="N968" s="199" t="s">
        <v>585</v>
      </c>
      <c r="O968" s="173"/>
      <c r="P968" s="173" t="s">
        <v>585</v>
      </c>
      <c r="Q968" s="173"/>
      <c r="R968" s="173" t="s">
        <v>585</v>
      </c>
      <c r="S968" s="173"/>
      <c r="T968" s="173" t="s">
        <v>585</v>
      </c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</row>
    <row r="969">
      <c r="A969" s="173"/>
      <c r="B969" s="173"/>
      <c r="C969" s="173"/>
      <c r="D969" s="174"/>
      <c r="E969" s="175"/>
      <c r="F969" s="175"/>
      <c r="G969" s="173" t="s">
        <v>585</v>
      </c>
      <c r="H969" s="173">
        <v>0.0</v>
      </c>
      <c r="I969" s="173"/>
      <c r="J969" s="199">
        <v>0.0</v>
      </c>
      <c r="K969" s="293"/>
      <c r="L969" s="173" t="s">
        <v>585</v>
      </c>
      <c r="M969" s="173"/>
      <c r="N969" s="199" t="s">
        <v>585</v>
      </c>
      <c r="O969" s="173"/>
      <c r="P969" s="173" t="s">
        <v>585</v>
      </c>
      <c r="Q969" s="173"/>
      <c r="R969" s="173" t="s">
        <v>585</v>
      </c>
      <c r="S969" s="173"/>
      <c r="T969" s="173" t="s">
        <v>585</v>
      </c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</row>
    <row r="970">
      <c r="A970" s="173"/>
      <c r="B970" s="173"/>
      <c r="C970" s="173"/>
      <c r="D970" s="174"/>
      <c r="E970" s="175"/>
      <c r="F970" s="175"/>
      <c r="G970" s="173" t="s">
        <v>585</v>
      </c>
      <c r="H970" s="173">
        <v>0.0</v>
      </c>
      <c r="I970" s="173"/>
      <c r="J970" s="199">
        <v>0.0</v>
      </c>
      <c r="K970" s="293"/>
      <c r="L970" s="173" t="s">
        <v>585</v>
      </c>
      <c r="M970" s="173"/>
      <c r="N970" s="199" t="s">
        <v>585</v>
      </c>
      <c r="O970" s="173"/>
      <c r="P970" s="173" t="s">
        <v>585</v>
      </c>
      <c r="Q970" s="173"/>
      <c r="R970" s="173" t="s">
        <v>585</v>
      </c>
      <c r="S970" s="173"/>
      <c r="T970" s="173" t="s">
        <v>585</v>
      </c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</row>
    <row r="971">
      <c r="A971" s="173"/>
      <c r="B971" s="173"/>
      <c r="C971" s="173"/>
      <c r="D971" s="174"/>
      <c r="E971" s="175"/>
      <c r="F971" s="175"/>
      <c r="G971" s="173" t="s">
        <v>585</v>
      </c>
      <c r="H971" s="173">
        <v>0.0</v>
      </c>
      <c r="I971" s="173"/>
      <c r="J971" s="199">
        <v>0.0</v>
      </c>
      <c r="K971" s="293"/>
      <c r="L971" s="173" t="s">
        <v>585</v>
      </c>
      <c r="M971" s="173"/>
      <c r="N971" s="199" t="s">
        <v>585</v>
      </c>
      <c r="O971" s="173"/>
      <c r="P971" s="173" t="s">
        <v>585</v>
      </c>
      <c r="Q971" s="173"/>
      <c r="R971" s="173" t="s">
        <v>585</v>
      </c>
      <c r="S971" s="173"/>
      <c r="T971" s="173" t="s">
        <v>585</v>
      </c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</row>
    <row r="972">
      <c r="A972" s="173"/>
      <c r="B972" s="173"/>
      <c r="C972" s="173"/>
      <c r="D972" s="174"/>
      <c r="E972" s="175"/>
      <c r="F972" s="175"/>
      <c r="G972" s="173" t="s">
        <v>585</v>
      </c>
      <c r="H972" s="173">
        <v>0.0</v>
      </c>
      <c r="I972" s="173"/>
      <c r="J972" s="199">
        <v>0.0</v>
      </c>
      <c r="K972" s="293"/>
      <c r="L972" s="173" t="s">
        <v>585</v>
      </c>
      <c r="M972" s="173"/>
      <c r="N972" s="199" t="s">
        <v>585</v>
      </c>
      <c r="O972" s="173"/>
      <c r="P972" s="173" t="s">
        <v>585</v>
      </c>
      <c r="Q972" s="173"/>
      <c r="R972" s="173" t="s">
        <v>585</v>
      </c>
      <c r="S972" s="173"/>
      <c r="T972" s="173" t="s">
        <v>585</v>
      </c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</row>
    <row r="973">
      <c r="A973" s="173"/>
      <c r="B973" s="173"/>
      <c r="C973" s="173"/>
      <c r="D973" s="174"/>
      <c r="E973" s="175"/>
      <c r="F973" s="175"/>
      <c r="G973" s="173" t="s">
        <v>585</v>
      </c>
      <c r="H973" s="173">
        <v>0.0</v>
      </c>
      <c r="I973" s="173"/>
      <c r="J973" s="199">
        <v>0.0</v>
      </c>
      <c r="K973" s="293"/>
      <c r="L973" s="173" t="s">
        <v>585</v>
      </c>
      <c r="M973" s="173"/>
      <c r="N973" s="199" t="s">
        <v>585</v>
      </c>
      <c r="O973" s="173"/>
      <c r="P973" s="173" t="s">
        <v>585</v>
      </c>
      <c r="Q973" s="173"/>
      <c r="R973" s="173" t="s">
        <v>585</v>
      </c>
      <c r="S973" s="173"/>
      <c r="T973" s="173" t="s">
        <v>585</v>
      </c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</row>
    <row r="974">
      <c r="A974" s="173"/>
      <c r="B974" s="173"/>
      <c r="C974" s="173"/>
      <c r="D974" s="174"/>
      <c r="E974" s="175"/>
      <c r="F974" s="175"/>
      <c r="G974" s="173" t="s">
        <v>585</v>
      </c>
      <c r="H974" s="173">
        <v>0.0</v>
      </c>
      <c r="I974" s="173"/>
      <c r="J974" s="199">
        <v>0.0</v>
      </c>
      <c r="K974" s="293"/>
      <c r="L974" s="173" t="s">
        <v>585</v>
      </c>
      <c r="M974" s="173"/>
      <c r="N974" s="199" t="s">
        <v>585</v>
      </c>
      <c r="O974" s="173"/>
      <c r="P974" s="173" t="s">
        <v>585</v>
      </c>
      <c r="Q974" s="173"/>
      <c r="R974" s="173" t="s">
        <v>585</v>
      </c>
      <c r="S974" s="173"/>
      <c r="T974" s="173" t="s">
        <v>585</v>
      </c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</row>
    <row r="975">
      <c r="A975" s="173"/>
      <c r="B975" s="173"/>
      <c r="C975" s="173"/>
      <c r="D975" s="174"/>
      <c r="E975" s="175"/>
      <c r="F975" s="175"/>
      <c r="G975" s="173" t="s">
        <v>585</v>
      </c>
      <c r="H975" s="173">
        <v>0.0</v>
      </c>
      <c r="I975" s="173"/>
      <c r="J975" s="199">
        <v>0.0</v>
      </c>
      <c r="K975" s="293"/>
      <c r="L975" s="173" t="s">
        <v>585</v>
      </c>
      <c r="M975" s="173"/>
      <c r="N975" s="199" t="s">
        <v>585</v>
      </c>
      <c r="O975" s="173"/>
      <c r="P975" s="173" t="s">
        <v>585</v>
      </c>
      <c r="Q975" s="173"/>
      <c r="R975" s="173" t="s">
        <v>585</v>
      </c>
      <c r="S975" s="173"/>
      <c r="T975" s="173" t="s">
        <v>585</v>
      </c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</row>
    <row r="976">
      <c r="A976" s="173"/>
      <c r="B976" s="173"/>
      <c r="C976" s="173"/>
      <c r="D976" s="174"/>
      <c r="E976" s="175"/>
      <c r="F976" s="175"/>
      <c r="G976" s="173" t="s">
        <v>585</v>
      </c>
      <c r="H976" s="173">
        <v>0.0</v>
      </c>
      <c r="I976" s="173"/>
      <c r="J976" s="199">
        <v>0.0</v>
      </c>
      <c r="K976" s="293"/>
      <c r="L976" s="173" t="s">
        <v>585</v>
      </c>
      <c r="M976" s="173"/>
      <c r="N976" s="199" t="s">
        <v>585</v>
      </c>
      <c r="O976" s="173"/>
      <c r="P976" s="173" t="s">
        <v>585</v>
      </c>
      <c r="Q976" s="173"/>
      <c r="R976" s="173" t="s">
        <v>585</v>
      </c>
      <c r="S976" s="173"/>
      <c r="T976" s="173" t="s">
        <v>585</v>
      </c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</row>
    <row r="977">
      <c r="A977" s="173"/>
      <c r="B977" s="173"/>
      <c r="C977" s="173"/>
      <c r="D977" s="174"/>
      <c r="E977" s="175"/>
      <c r="F977" s="175"/>
      <c r="G977" s="173" t="s">
        <v>585</v>
      </c>
      <c r="H977" s="173">
        <v>0.0</v>
      </c>
      <c r="I977" s="173"/>
      <c r="J977" s="199">
        <v>0.0</v>
      </c>
      <c r="K977" s="293"/>
      <c r="L977" s="173" t="s">
        <v>585</v>
      </c>
      <c r="M977" s="173"/>
      <c r="N977" s="199" t="s">
        <v>585</v>
      </c>
      <c r="O977" s="173"/>
      <c r="P977" s="173" t="s">
        <v>585</v>
      </c>
      <c r="Q977" s="173"/>
      <c r="R977" s="173" t="s">
        <v>585</v>
      </c>
      <c r="S977" s="173"/>
      <c r="T977" s="173" t="s">
        <v>585</v>
      </c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</row>
    <row r="978">
      <c r="A978" s="173"/>
      <c r="B978" s="173"/>
      <c r="C978" s="173"/>
      <c r="D978" s="174"/>
      <c r="E978" s="175"/>
      <c r="F978" s="175"/>
      <c r="G978" s="173" t="s">
        <v>585</v>
      </c>
      <c r="H978" s="173">
        <v>0.0</v>
      </c>
      <c r="I978" s="173"/>
      <c r="J978" s="199">
        <v>0.0</v>
      </c>
      <c r="K978" s="293"/>
      <c r="L978" s="173" t="s">
        <v>585</v>
      </c>
      <c r="M978" s="173"/>
      <c r="N978" s="199" t="s">
        <v>585</v>
      </c>
      <c r="O978" s="173"/>
      <c r="P978" s="173" t="s">
        <v>585</v>
      </c>
      <c r="Q978" s="173"/>
      <c r="R978" s="173" t="s">
        <v>585</v>
      </c>
      <c r="S978" s="173"/>
      <c r="T978" s="173" t="s">
        <v>585</v>
      </c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</row>
    <row r="979">
      <c r="A979" s="173"/>
      <c r="B979" s="173"/>
      <c r="C979" s="173"/>
      <c r="D979" s="174"/>
      <c r="E979" s="175"/>
      <c r="F979" s="175"/>
      <c r="G979" s="173" t="s">
        <v>585</v>
      </c>
      <c r="H979" s="173">
        <v>0.0</v>
      </c>
      <c r="I979" s="173"/>
      <c r="J979" s="199">
        <v>0.0</v>
      </c>
      <c r="K979" s="293"/>
      <c r="L979" s="173" t="s">
        <v>585</v>
      </c>
      <c r="M979" s="173"/>
      <c r="N979" s="199" t="s">
        <v>585</v>
      </c>
      <c r="O979" s="173"/>
      <c r="P979" s="173" t="s">
        <v>585</v>
      </c>
      <c r="Q979" s="173"/>
      <c r="R979" s="173" t="s">
        <v>585</v>
      </c>
      <c r="S979" s="173"/>
      <c r="T979" s="173" t="s">
        <v>585</v>
      </c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</row>
    <row r="980">
      <c r="A980" s="173"/>
      <c r="B980" s="173"/>
      <c r="C980" s="173"/>
      <c r="D980" s="174"/>
      <c r="E980" s="175"/>
      <c r="F980" s="175"/>
      <c r="G980" s="173" t="s">
        <v>585</v>
      </c>
      <c r="H980" s="173">
        <v>0.0</v>
      </c>
      <c r="I980" s="173"/>
      <c r="J980" s="199">
        <v>0.0</v>
      </c>
      <c r="K980" s="293"/>
      <c r="L980" s="173" t="s">
        <v>585</v>
      </c>
      <c r="M980" s="173"/>
      <c r="N980" s="199" t="s">
        <v>585</v>
      </c>
      <c r="O980" s="173"/>
      <c r="P980" s="173" t="s">
        <v>585</v>
      </c>
      <c r="Q980" s="173"/>
      <c r="R980" s="173" t="s">
        <v>585</v>
      </c>
      <c r="S980" s="173"/>
      <c r="T980" s="173" t="s">
        <v>585</v>
      </c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</row>
    <row r="981">
      <c r="A981" s="173"/>
      <c r="B981" s="173"/>
      <c r="C981" s="173"/>
      <c r="D981" s="174"/>
      <c r="E981" s="175"/>
      <c r="F981" s="175"/>
      <c r="G981" s="173" t="s">
        <v>585</v>
      </c>
      <c r="H981" s="173">
        <v>0.0</v>
      </c>
      <c r="I981" s="173"/>
      <c r="J981" s="199">
        <v>0.0</v>
      </c>
      <c r="K981" s="293"/>
      <c r="L981" s="173" t="s">
        <v>585</v>
      </c>
      <c r="M981" s="173"/>
      <c r="N981" s="199" t="s">
        <v>585</v>
      </c>
      <c r="O981" s="173"/>
      <c r="P981" s="173" t="s">
        <v>585</v>
      </c>
      <c r="Q981" s="173"/>
      <c r="R981" s="173" t="s">
        <v>585</v>
      </c>
      <c r="S981" s="173"/>
      <c r="T981" s="173" t="s">
        <v>585</v>
      </c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</row>
    <row r="982">
      <c r="A982" s="173"/>
      <c r="B982" s="173"/>
      <c r="C982" s="173"/>
      <c r="D982" s="174"/>
      <c r="E982" s="175"/>
      <c r="F982" s="175"/>
      <c r="G982" s="173" t="s">
        <v>585</v>
      </c>
      <c r="H982" s="173">
        <v>0.0</v>
      </c>
      <c r="I982" s="173"/>
      <c r="J982" s="199">
        <v>0.0</v>
      </c>
      <c r="K982" s="293"/>
      <c r="L982" s="173" t="s">
        <v>585</v>
      </c>
      <c r="M982" s="173"/>
      <c r="N982" s="199" t="s">
        <v>585</v>
      </c>
      <c r="O982" s="173"/>
      <c r="P982" s="173" t="s">
        <v>585</v>
      </c>
      <c r="Q982" s="173"/>
      <c r="R982" s="173" t="s">
        <v>585</v>
      </c>
      <c r="S982" s="173"/>
      <c r="T982" s="173" t="s">
        <v>585</v>
      </c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</row>
    <row r="983">
      <c r="A983" s="173"/>
      <c r="B983" s="173"/>
      <c r="C983" s="173"/>
      <c r="D983" s="174"/>
      <c r="E983" s="175"/>
      <c r="F983" s="175"/>
      <c r="G983" s="173" t="s">
        <v>585</v>
      </c>
      <c r="H983" s="173">
        <v>0.0</v>
      </c>
      <c r="I983" s="173"/>
      <c r="J983" s="199">
        <v>0.0</v>
      </c>
      <c r="K983" s="293"/>
      <c r="L983" s="173" t="s">
        <v>585</v>
      </c>
      <c r="M983" s="173"/>
      <c r="N983" s="199" t="s">
        <v>585</v>
      </c>
      <c r="O983" s="173"/>
      <c r="P983" s="173" t="s">
        <v>585</v>
      </c>
      <c r="Q983" s="173"/>
      <c r="R983" s="173" t="s">
        <v>585</v>
      </c>
      <c r="S983" s="173"/>
      <c r="T983" s="173" t="s">
        <v>585</v>
      </c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</row>
    <row r="984">
      <c r="A984" s="173"/>
      <c r="B984" s="173"/>
      <c r="C984" s="173"/>
      <c r="D984" s="174"/>
      <c r="E984" s="175"/>
      <c r="F984" s="175"/>
      <c r="G984" s="173" t="s">
        <v>585</v>
      </c>
      <c r="H984" s="173">
        <v>0.0</v>
      </c>
      <c r="I984" s="173"/>
      <c r="J984" s="199">
        <v>0.0</v>
      </c>
      <c r="K984" s="293"/>
      <c r="L984" s="173" t="s">
        <v>585</v>
      </c>
      <c r="M984" s="173"/>
      <c r="N984" s="199" t="s">
        <v>585</v>
      </c>
      <c r="O984" s="173"/>
      <c r="P984" s="173" t="s">
        <v>585</v>
      </c>
      <c r="Q984" s="173"/>
      <c r="R984" s="173" t="s">
        <v>585</v>
      </c>
      <c r="S984" s="173"/>
      <c r="T984" s="173" t="s">
        <v>585</v>
      </c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</row>
    <row r="985">
      <c r="A985" s="173"/>
      <c r="B985" s="173"/>
      <c r="C985" s="173"/>
      <c r="D985" s="174"/>
      <c r="E985" s="175"/>
      <c r="F985" s="175"/>
      <c r="G985" s="173" t="s">
        <v>585</v>
      </c>
      <c r="H985" s="173">
        <v>0.0</v>
      </c>
      <c r="I985" s="173"/>
      <c r="J985" s="199">
        <v>0.0</v>
      </c>
      <c r="K985" s="293"/>
      <c r="L985" s="173" t="s">
        <v>585</v>
      </c>
      <c r="M985" s="173"/>
      <c r="N985" s="199" t="s">
        <v>585</v>
      </c>
      <c r="O985" s="173"/>
      <c r="P985" s="173" t="s">
        <v>585</v>
      </c>
      <c r="Q985" s="173"/>
      <c r="R985" s="173" t="s">
        <v>585</v>
      </c>
      <c r="S985" s="173"/>
      <c r="T985" s="173" t="s">
        <v>585</v>
      </c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</row>
    <row r="986">
      <c r="A986" s="173"/>
      <c r="B986" s="173"/>
      <c r="C986" s="173"/>
      <c r="D986" s="174"/>
      <c r="E986" s="175"/>
      <c r="F986" s="175"/>
      <c r="G986" s="173" t="s">
        <v>585</v>
      </c>
      <c r="H986" s="173">
        <v>0.0</v>
      </c>
      <c r="I986" s="173"/>
      <c r="J986" s="199">
        <v>0.0</v>
      </c>
      <c r="K986" s="293"/>
      <c r="L986" s="173" t="s">
        <v>585</v>
      </c>
      <c r="M986" s="173"/>
      <c r="N986" s="199" t="s">
        <v>585</v>
      </c>
      <c r="O986" s="173"/>
      <c r="P986" s="173" t="s">
        <v>585</v>
      </c>
      <c r="Q986" s="173"/>
      <c r="R986" s="173" t="s">
        <v>585</v>
      </c>
      <c r="S986" s="173"/>
      <c r="T986" s="173" t="s">
        <v>585</v>
      </c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</row>
    <row r="987">
      <c r="A987" s="173"/>
      <c r="B987" s="173"/>
      <c r="C987" s="173"/>
      <c r="D987" s="174"/>
      <c r="E987" s="175"/>
      <c r="F987" s="175"/>
      <c r="G987" s="173" t="s">
        <v>585</v>
      </c>
      <c r="H987" s="173">
        <v>0.0</v>
      </c>
      <c r="I987" s="173"/>
      <c r="J987" s="199">
        <v>0.0</v>
      </c>
      <c r="K987" s="293"/>
      <c r="L987" s="173" t="s">
        <v>585</v>
      </c>
      <c r="M987" s="173"/>
      <c r="N987" s="199" t="s">
        <v>585</v>
      </c>
      <c r="O987" s="173"/>
      <c r="P987" s="173" t="s">
        <v>585</v>
      </c>
      <c r="Q987" s="173"/>
      <c r="R987" s="173" t="s">
        <v>585</v>
      </c>
      <c r="S987" s="173"/>
      <c r="T987" s="173" t="s">
        <v>585</v>
      </c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</row>
    <row r="988">
      <c r="A988" s="173"/>
      <c r="B988" s="173"/>
      <c r="C988" s="173"/>
      <c r="D988" s="174"/>
      <c r="E988" s="175"/>
      <c r="F988" s="175"/>
      <c r="G988" s="173" t="s">
        <v>585</v>
      </c>
      <c r="H988" s="173">
        <v>0.0</v>
      </c>
      <c r="I988" s="173"/>
      <c r="J988" s="199">
        <v>0.0</v>
      </c>
      <c r="K988" s="293"/>
      <c r="L988" s="173" t="s">
        <v>585</v>
      </c>
      <c r="M988" s="173"/>
      <c r="N988" s="199" t="s">
        <v>585</v>
      </c>
      <c r="O988" s="173"/>
      <c r="P988" s="173" t="s">
        <v>585</v>
      </c>
      <c r="Q988" s="173"/>
      <c r="R988" s="173" t="s">
        <v>585</v>
      </c>
      <c r="S988" s="173"/>
      <c r="T988" s="173" t="s">
        <v>585</v>
      </c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</row>
    <row r="989">
      <c r="A989" s="173"/>
      <c r="B989" s="173"/>
      <c r="C989" s="173"/>
      <c r="D989" s="174"/>
      <c r="E989" s="175"/>
      <c r="F989" s="175"/>
      <c r="G989" s="173" t="s">
        <v>585</v>
      </c>
      <c r="H989" s="173">
        <v>0.0</v>
      </c>
      <c r="I989" s="173"/>
      <c r="J989" s="199">
        <v>0.0</v>
      </c>
      <c r="K989" s="293"/>
      <c r="L989" s="173" t="s">
        <v>585</v>
      </c>
      <c r="M989" s="173"/>
      <c r="N989" s="199" t="s">
        <v>585</v>
      </c>
      <c r="O989" s="173"/>
      <c r="P989" s="173" t="s">
        <v>585</v>
      </c>
      <c r="Q989" s="173"/>
      <c r="R989" s="173" t="s">
        <v>585</v>
      </c>
      <c r="S989" s="173"/>
      <c r="T989" s="173" t="s">
        <v>585</v>
      </c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</row>
    <row r="990">
      <c r="A990" s="173"/>
      <c r="B990" s="173"/>
      <c r="C990" s="173"/>
      <c r="D990" s="174"/>
      <c r="E990" s="175"/>
      <c r="F990" s="175"/>
      <c r="G990" s="173" t="s">
        <v>585</v>
      </c>
      <c r="H990" s="173">
        <v>0.0</v>
      </c>
      <c r="I990" s="173"/>
      <c r="J990" s="199">
        <v>0.0</v>
      </c>
      <c r="K990" s="293"/>
      <c r="L990" s="173" t="s">
        <v>585</v>
      </c>
      <c r="M990" s="173"/>
      <c r="N990" s="199" t="s">
        <v>585</v>
      </c>
      <c r="O990" s="173"/>
      <c r="P990" s="173" t="s">
        <v>585</v>
      </c>
      <c r="Q990" s="173"/>
      <c r="R990" s="173" t="s">
        <v>585</v>
      </c>
      <c r="S990" s="173"/>
      <c r="T990" s="173" t="s">
        <v>585</v>
      </c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</row>
    <row r="991">
      <c r="A991" s="173"/>
      <c r="B991" s="173"/>
      <c r="C991" s="173"/>
      <c r="D991" s="174"/>
      <c r="E991" s="175"/>
      <c r="F991" s="175"/>
      <c r="G991" s="173" t="s">
        <v>585</v>
      </c>
      <c r="H991" s="173">
        <v>0.0</v>
      </c>
      <c r="I991" s="173"/>
      <c r="J991" s="199">
        <v>0.0</v>
      </c>
      <c r="K991" s="293"/>
      <c r="L991" s="173" t="s">
        <v>585</v>
      </c>
      <c r="M991" s="173"/>
      <c r="N991" s="199" t="s">
        <v>585</v>
      </c>
      <c r="O991" s="173"/>
      <c r="P991" s="173" t="s">
        <v>585</v>
      </c>
      <c r="Q991" s="173"/>
      <c r="R991" s="173" t="s">
        <v>585</v>
      </c>
      <c r="S991" s="173"/>
      <c r="T991" s="173" t="s">
        <v>585</v>
      </c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</row>
    <row r="992">
      <c r="A992" s="173"/>
      <c r="B992" s="173"/>
      <c r="C992" s="173"/>
      <c r="D992" s="174"/>
      <c r="E992" s="175"/>
      <c r="F992" s="175"/>
      <c r="G992" s="173" t="s">
        <v>585</v>
      </c>
      <c r="H992" s="173">
        <v>0.0</v>
      </c>
      <c r="I992" s="173"/>
      <c r="J992" s="199">
        <v>0.0</v>
      </c>
      <c r="K992" s="293"/>
      <c r="L992" s="173" t="s">
        <v>585</v>
      </c>
      <c r="M992" s="173"/>
      <c r="N992" s="199" t="s">
        <v>585</v>
      </c>
      <c r="O992" s="173"/>
      <c r="P992" s="173" t="s">
        <v>585</v>
      </c>
      <c r="Q992" s="173"/>
      <c r="R992" s="173" t="s">
        <v>585</v>
      </c>
      <c r="S992" s="173"/>
      <c r="T992" s="173" t="s">
        <v>585</v>
      </c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</row>
    <row r="993">
      <c r="A993" s="173"/>
      <c r="B993" s="173"/>
      <c r="C993" s="173"/>
      <c r="D993" s="174"/>
      <c r="E993" s="175"/>
      <c r="F993" s="175"/>
      <c r="G993" s="173" t="s">
        <v>585</v>
      </c>
      <c r="H993" s="173">
        <v>0.0</v>
      </c>
      <c r="I993" s="173"/>
      <c r="J993" s="199">
        <v>0.0</v>
      </c>
      <c r="K993" s="293"/>
      <c r="L993" s="173" t="s">
        <v>585</v>
      </c>
      <c r="M993" s="173"/>
      <c r="N993" s="199" t="s">
        <v>585</v>
      </c>
      <c r="O993" s="173"/>
      <c r="P993" s="173" t="s">
        <v>585</v>
      </c>
      <c r="Q993" s="173"/>
      <c r="R993" s="173" t="s">
        <v>585</v>
      </c>
      <c r="S993" s="173"/>
      <c r="T993" s="173" t="s">
        <v>585</v>
      </c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</row>
    <row r="994">
      <c r="A994" s="173"/>
      <c r="B994" s="173"/>
      <c r="C994" s="173"/>
      <c r="D994" s="174"/>
      <c r="E994" s="175"/>
      <c r="F994" s="175"/>
      <c r="G994" s="173" t="s">
        <v>585</v>
      </c>
      <c r="H994" s="173">
        <v>0.0</v>
      </c>
      <c r="I994" s="173"/>
      <c r="J994" s="199">
        <v>0.0</v>
      </c>
      <c r="K994" s="293"/>
      <c r="L994" s="173" t="s">
        <v>585</v>
      </c>
      <c r="M994" s="173"/>
      <c r="N994" s="199" t="s">
        <v>585</v>
      </c>
      <c r="O994" s="173"/>
      <c r="P994" s="173" t="s">
        <v>585</v>
      </c>
      <c r="Q994" s="173"/>
      <c r="R994" s="173" t="s">
        <v>585</v>
      </c>
      <c r="S994" s="173"/>
      <c r="T994" s="173" t="s">
        <v>585</v>
      </c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</row>
    <row r="995">
      <c r="A995" s="173"/>
      <c r="B995" s="173"/>
      <c r="C995" s="173"/>
      <c r="D995" s="174"/>
      <c r="E995" s="175"/>
      <c r="F995" s="175"/>
      <c r="G995" s="173" t="s">
        <v>585</v>
      </c>
      <c r="H995" s="173">
        <v>0.0</v>
      </c>
      <c r="I995" s="173"/>
      <c r="J995" s="199">
        <v>0.0</v>
      </c>
      <c r="K995" s="293"/>
      <c r="L995" s="173" t="s">
        <v>585</v>
      </c>
      <c r="M995" s="173"/>
      <c r="N995" s="199" t="s">
        <v>585</v>
      </c>
      <c r="O995" s="173"/>
      <c r="P995" s="173" t="s">
        <v>585</v>
      </c>
      <c r="Q995" s="173"/>
      <c r="R995" s="173" t="s">
        <v>585</v>
      </c>
      <c r="S995" s="173"/>
      <c r="T995" s="173" t="s">
        <v>585</v>
      </c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</row>
    <row r="996">
      <c r="A996" s="173"/>
      <c r="B996" s="173"/>
      <c r="C996" s="173"/>
      <c r="D996" s="174"/>
      <c r="E996" s="175"/>
      <c r="F996" s="175"/>
      <c r="G996" s="173" t="s">
        <v>585</v>
      </c>
      <c r="H996" s="173">
        <v>0.0</v>
      </c>
      <c r="I996" s="173"/>
      <c r="J996" s="199">
        <v>0.0</v>
      </c>
      <c r="K996" s="293"/>
      <c r="L996" s="173" t="s">
        <v>585</v>
      </c>
      <c r="M996" s="173"/>
      <c r="N996" s="199" t="s">
        <v>585</v>
      </c>
      <c r="O996" s="173"/>
      <c r="P996" s="173" t="s">
        <v>585</v>
      </c>
      <c r="Q996" s="173"/>
      <c r="R996" s="173" t="s">
        <v>585</v>
      </c>
      <c r="S996" s="173"/>
      <c r="T996" s="173" t="s">
        <v>585</v>
      </c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</row>
    <row r="997">
      <c r="A997" s="173"/>
      <c r="B997" s="173"/>
      <c r="C997" s="173"/>
      <c r="D997" s="174"/>
      <c r="E997" s="175"/>
      <c r="F997" s="175"/>
      <c r="G997" s="173" t="s">
        <v>585</v>
      </c>
      <c r="H997" s="173">
        <v>0.0</v>
      </c>
      <c r="I997" s="173"/>
      <c r="J997" s="199">
        <v>0.0</v>
      </c>
      <c r="K997" s="293"/>
      <c r="L997" s="173" t="s">
        <v>585</v>
      </c>
      <c r="M997" s="173"/>
      <c r="N997" s="199" t="s">
        <v>585</v>
      </c>
      <c r="O997" s="173"/>
      <c r="P997" s="173" t="s">
        <v>585</v>
      </c>
      <c r="Q997" s="173"/>
      <c r="R997" s="173" t="s">
        <v>585</v>
      </c>
      <c r="S997" s="173"/>
      <c r="T997" s="173" t="s">
        <v>585</v>
      </c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</row>
    <row r="998">
      <c r="A998" s="173"/>
      <c r="B998" s="173"/>
      <c r="C998" s="173"/>
      <c r="D998" s="174"/>
      <c r="E998" s="175"/>
      <c r="F998" s="175"/>
      <c r="G998" s="173" t="s">
        <v>585</v>
      </c>
      <c r="H998" s="173">
        <v>0.0</v>
      </c>
      <c r="I998" s="173"/>
      <c r="J998" s="199">
        <v>0.0</v>
      </c>
      <c r="K998" s="293"/>
      <c r="L998" s="173" t="s">
        <v>585</v>
      </c>
      <c r="M998" s="173"/>
      <c r="N998" s="199" t="s">
        <v>585</v>
      </c>
      <c r="O998" s="173"/>
      <c r="P998" s="173" t="s">
        <v>585</v>
      </c>
      <c r="Q998" s="173"/>
      <c r="R998" s="173" t="s">
        <v>585</v>
      </c>
      <c r="S998" s="173"/>
      <c r="T998" s="173" t="s">
        <v>585</v>
      </c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</row>
    <row r="999">
      <c r="A999" s="173"/>
      <c r="B999" s="173"/>
      <c r="C999" s="173"/>
      <c r="D999" s="174"/>
      <c r="E999" s="175"/>
      <c r="F999" s="175"/>
      <c r="G999" s="173" t="s">
        <v>585</v>
      </c>
      <c r="H999" s="173">
        <v>0.0</v>
      </c>
      <c r="I999" s="173"/>
      <c r="J999" s="199">
        <v>0.0</v>
      </c>
      <c r="K999" s="293"/>
      <c r="L999" s="173" t="s">
        <v>585</v>
      </c>
      <c r="M999" s="173"/>
      <c r="N999" s="199" t="s">
        <v>585</v>
      </c>
      <c r="O999" s="173"/>
      <c r="P999" s="173" t="s">
        <v>585</v>
      </c>
      <c r="Q999" s="173"/>
      <c r="R999" s="173" t="s">
        <v>585</v>
      </c>
      <c r="S999" s="173"/>
      <c r="T999" s="173" t="s">
        <v>585</v>
      </c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</row>
    <row r="1000">
      <c r="A1000" s="173"/>
      <c r="B1000" s="173"/>
      <c r="C1000" s="173"/>
      <c r="D1000" s="174"/>
      <c r="E1000" s="175"/>
      <c r="F1000" s="175"/>
      <c r="G1000" s="173" t="s">
        <v>585</v>
      </c>
      <c r="H1000" s="173">
        <v>0.0</v>
      </c>
      <c r="I1000" s="173"/>
      <c r="J1000" s="199">
        <v>0.0</v>
      </c>
      <c r="K1000" s="293"/>
      <c r="L1000" s="173" t="s">
        <v>585</v>
      </c>
      <c r="M1000" s="173"/>
      <c r="N1000" s="199" t="s">
        <v>585</v>
      </c>
      <c r="O1000" s="173"/>
      <c r="P1000" s="173" t="s">
        <v>585</v>
      </c>
      <c r="Q1000" s="173"/>
      <c r="R1000" s="173" t="s">
        <v>585</v>
      </c>
      <c r="S1000" s="173"/>
      <c r="T1000" s="173" t="s">
        <v>585</v>
      </c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</row>
    <row r="1001">
      <c r="A1001" s="173"/>
      <c r="B1001" s="173"/>
      <c r="C1001" s="173"/>
      <c r="D1001" s="174"/>
      <c r="E1001" s="175"/>
      <c r="F1001" s="175"/>
      <c r="G1001" s="173" t="s">
        <v>585</v>
      </c>
      <c r="H1001" s="173">
        <v>0.0</v>
      </c>
      <c r="I1001" s="173"/>
      <c r="J1001" s="199">
        <v>0.0</v>
      </c>
      <c r="K1001" s="293"/>
      <c r="L1001" s="173" t="s">
        <v>585</v>
      </c>
      <c r="M1001" s="173"/>
      <c r="N1001" s="199" t="s">
        <v>585</v>
      </c>
      <c r="O1001" s="173"/>
      <c r="P1001" s="173" t="s">
        <v>585</v>
      </c>
      <c r="Q1001" s="173"/>
      <c r="R1001" s="173" t="s">
        <v>585</v>
      </c>
      <c r="S1001" s="173"/>
      <c r="T1001" s="173" t="s">
        <v>585</v>
      </c>
      <c r="U1001" s="173"/>
      <c r="V1001" s="173"/>
      <c r="W1001" s="173"/>
      <c r="X1001" s="173"/>
      <c r="Y1001" s="173"/>
      <c r="Z1001" s="173"/>
      <c r="AA1001" s="173"/>
      <c r="AB1001" s="173"/>
      <c r="AC1001" s="173"/>
      <c r="AD1001" s="173"/>
      <c r="AE1001" s="173"/>
      <c r="AF1001" s="173"/>
    </row>
    <row r="1002">
      <c r="A1002" s="173"/>
      <c r="B1002" s="173"/>
      <c r="C1002" s="173"/>
      <c r="D1002" s="174"/>
      <c r="E1002" s="175"/>
      <c r="F1002" s="175"/>
      <c r="G1002" s="173" t="s">
        <v>585</v>
      </c>
      <c r="H1002" s="173">
        <v>0.0</v>
      </c>
      <c r="I1002" s="173"/>
      <c r="J1002" s="199">
        <v>0.0</v>
      </c>
      <c r="K1002" s="293"/>
      <c r="L1002" s="173" t="s">
        <v>585</v>
      </c>
      <c r="M1002" s="173"/>
      <c r="N1002" s="199" t="s">
        <v>585</v>
      </c>
      <c r="O1002" s="173"/>
      <c r="P1002" s="173" t="s">
        <v>585</v>
      </c>
      <c r="Q1002" s="173"/>
      <c r="R1002" s="173" t="s">
        <v>585</v>
      </c>
      <c r="S1002" s="173"/>
      <c r="T1002" s="173" t="s">
        <v>585</v>
      </c>
      <c r="U1002" s="173"/>
      <c r="V1002" s="173"/>
      <c r="W1002" s="173"/>
      <c r="X1002" s="173"/>
      <c r="Y1002" s="173"/>
      <c r="Z1002" s="173"/>
      <c r="AA1002" s="173"/>
      <c r="AB1002" s="173"/>
      <c r="AC1002" s="173"/>
      <c r="AD1002" s="173"/>
      <c r="AE1002" s="173"/>
      <c r="AF1002" s="173"/>
    </row>
    <row r="1003">
      <c r="A1003" s="173"/>
      <c r="B1003" s="173"/>
      <c r="C1003" s="173"/>
      <c r="D1003" s="174"/>
      <c r="E1003" s="175"/>
      <c r="F1003" s="175"/>
      <c r="G1003" s="173" t="s">
        <v>585</v>
      </c>
      <c r="H1003" s="173">
        <v>0.0</v>
      </c>
      <c r="I1003" s="173"/>
      <c r="J1003" s="199">
        <v>0.0</v>
      </c>
      <c r="K1003" s="293"/>
      <c r="L1003" s="173" t="s">
        <v>585</v>
      </c>
      <c r="M1003" s="173"/>
      <c r="N1003" s="199" t="s">
        <v>585</v>
      </c>
      <c r="O1003" s="173"/>
      <c r="P1003" s="173" t="s">
        <v>585</v>
      </c>
      <c r="Q1003" s="173"/>
      <c r="R1003" s="173" t="s">
        <v>585</v>
      </c>
      <c r="S1003" s="173"/>
      <c r="T1003" s="173" t="s">
        <v>585</v>
      </c>
      <c r="U1003" s="173"/>
      <c r="V1003" s="173"/>
      <c r="W1003" s="173"/>
      <c r="X1003" s="173"/>
      <c r="Y1003" s="173"/>
      <c r="Z1003" s="173"/>
      <c r="AA1003" s="173"/>
      <c r="AB1003" s="173"/>
      <c r="AC1003" s="173"/>
      <c r="AD1003" s="173"/>
      <c r="AE1003" s="173"/>
      <c r="AF1003" s="173"/>
    </row>
    <row r="1004">
      <c r="A1004" s="173"/>
      <c r="B1004" s="173"/>
      <c r="C1004" s="173"/>
      <c r="D1004" s="174"/>
      <c r="E1004" s="175"/>
      <c r="F1004" s="175"/>
      <c r="G1004" s="173" t="s">
        <v>585</v>
      </c>
      <c r="H1004" s="173">
        <v>0.0</v>
      </c>
      <c r="I1004" s="173"/>
      <c r="J1004" s="199">
        <v>0.0</v>
      </c>
      <c r="K1004" s="293"/>
      <c r="L1004" s="173" t="s">
        <v>585</v>
      </c>
      <c r="M1004" s="173"/>
      <c r="N1004" s="199" t="s">
        <v>585</v>
      </c>
      <c r="O1004" s="173"/>
      <c r="P1004" s="173" t="s">
        <v>585</v>
      </c>
      <c r="Q1004" s="173"/>
      <c r="R1004" s="173" t="s">
        <v>585</v>
      </c>
      <c r="S1004" s="173"/>
      <c r="T1004" s="173" t="s">
        <v>585</v>
      </c>
      <c r="U1004" s="173"/>
      <c r="V1004" s="173"/>
      <c r="W1004" s="173"/>
      <c r="X1004" s="173"/>
      <c r="Y1004" s="173"/>
      <c r="Z1004" s="173"/>
      <c r="AA1004" s="173"/>
      <c r="AB1004" s="173"/>
      <c r="AC1004" s="173"/>
      <c r="AD1004" s="173"/>
      <c r="AE1004" s="173"/>
      <c r="AF1004" s="173"/>
    </row>
    <row r="1005">
      <c r="A1005" s="173"/>
      <c r="B1005" s="173"/>
      <c r="C1005" s="173"/>
      <c r="D1005" s="174"/>
      <c r="E1005" s="175"/>
      <c r="F1005" s="175"/>
      <c r="G1005" s="173" t="s">
        <v>585</v>
      </c>
      <c r="H1005" s="173">
        <v>0.0</v>
      </c>
      <c r="I1005" s="173"/>
      <c r="J1005" s="199">
        <v>0.0</v>
      </c>
      <c r="K1005" s="293"/>
      <c r="L1005" s="173" t="s">
        <v>585</v>
      </c>
      <c r="M1005" s="173"/>
      <c r="N1005" s="199" t="s">
        <v>585</v>
      </c>
      <c r="O1005" s="173"/>
      <c r="P1005" s="173" t="s">
        <v>585</v>
      </c>
      <c r="Q1005" s="173"/>
      <c r="R1005" s="173" t="s">
        <v>585</v>
      </c>
      <c r="S1005" s="173"/>
      <c r="T1005" s="173" t="s">
        <v>585</v>
      </c>
      <c r="U1005" s="173"/>
      <c r="V1005" s="173"/>
      <c r="W1005" s="173"/>
      <c r="X1005" s="173"/>
      <c r="Y1005" s="173"/>
      <c r="Z1005" s="173"/>
      <c r="AA1005" s="173"/>
      <c r="AB1005" s="173"/>
      <c r="AC1005" s="173"/>
      <c r="AD1005" s="173"/>
      <c r="AE1005" s="173"/>
      <c r="AF1005" s="173"/>
    </row>
    <row r="1006">
      <c r="A1006" s="173"/>
      <c r="B1006" s="173"/>
      <c r="C1006" s="173"/>
      <c r="D1006" s="174"/>
      <c r="E1006" s="175"/>
      <c r="F1006" s="175"/>
      <c r="G1006" s="173" t="s">
        <v>585</v>
      </c>
      <c r="H1006" s="173">
        <v>0.0</v>
      </c>
      <c r="I1006" s="173"/>
      <c r="J1006" s="199">
        <v>0.0</v>
      </c>
      <c r="K1006" s="293"/>
      <c r="L1006" s="173" t="s">
        <v>585</v>
      </c>
      <c r="M1006" s="173"/>
      <c r="N1006" s="199" t="s">
        <v>585</v>
      </c>
      <c r="O1006" s="173"/>
      <c r="P1006" s="173" t="s">
        <v>585</v>
      </c>
      <c r="Q1006" s="173"/>
      <c r="R1006" s="173" t="s">
        <v>585</v>
      </c>
      <c r="S1006" s="173"/>
      <c r="T1006" s="173" t="s">
        <v>585</v>
      </c>
      <c r="U1006" s="173"/>
      <c r="V1006" s="173"/>
      <c r="W1006" s="173"/>
      <c r="X1006" s="173"/>
      <c r="Y1006" s="173"/>
      <c r="Z1006" s="173"/>
      <c r="AA1006" s="173"/>
      <c r="AB1006" s="173"/>
      <c r="AC1006" s="173"/>
      <c r="AD1006" s="173"/>
      <c r="AE1006" s="173"/>
      <c r="AF1006" s="173"/>
    </row>
    <row r="1007">
      <c r="A1007" s="173"/>
      <c r="B1007" s="173"/>
      <c r="C1007" s="173"/>
      <c r="D1007" s="174"/>
      <c r="E1007" s="175"/>
      <c r="F1007" s="175"/>
      <c r="G1007" s="173" t="s">
        <v>585</v>
      </c>
      <c r="H1007" s="173">
        <v>0.0</v>
      </c>
      <c r="I1007" s="173"/>
      <c r="J1007" s="199">
        <v>0.0</v>
      </c>
      <c r="K1007" s="293"/>
      <c r="L1007" s="173" t="s">
        <v>585</v>
      </c>
      <c r="M1007" s="173"/>
      <c r="N1007" s="199" t="s">
        <v>585</v>
      </c>
      <c r="O1007" s="173"/>
      <c r="P1007" s="173" t="s">
        <v>585</v>
      </c>
      <c r="Q1007" s="173"/>
      <c r="R1007" s="173" t="s">
        <v>585</v>
      </c>
      <c r="S1007" s="173"/>
      <c r="T1007" s="173" t="s">
        <v>585</v>
      </c>
      <c r="U1007" s="173"/>
      <c r="V1007" s="173"/>
      <c r="W1007" s="173"/>
      <c r="X1007" s="173"/>
      <c r="Y1007" s="173"/>
      <c r="Z1007" s="173"/>
      <c r="AA1007" s="173"/>
      <c r="AB1007" s="173"/>
      <c r="AC1007" s="173"/>
      <c r="AD1007" s="173"/>
      <c r="AE1007" s="173"/>
      <c r="AF1007" s="173"/>
    </row>
    <row r="1008">
      <c r="A1008" s="173"/>
      <c r="B1008" s="173"/>
      <c r="C1008" s="173"/>
      <c r="D1008" s="174"/>
      <c r="E1008" s="175"/>
      <c r="F1008" s="175"/>
      <c r="G1008" s="173" t="s">
        <v>585</v>
      </c>
      <c r="H1008" s="173">
        <v>0.0</v>
      </c>
      <c r="I1008" s="173"/>
      <c r="J1008" s="199">
        <v>0.0</v>
      </c>
      <c r="K1008" s="293"/>
      <c r="L1008" s="173" t="s">
        <v>585</v>
      </c>
      <c r="M1008" s="173"/>
      <c r="N1008" s="199" t="s">
        <v>585</v>
      </c>
      <c r="O1008" s="173"/>
      <c r="P1008" s="173" t="s">
        <v>585</v>
      </c>
      <c r="Q1008" s="173"/>
      <c r="R1008" s="173" t="s">
        <v>585</v>
      </c>
      <c r="S1008" s="173"/>
      <c r="T1008" s="173" t="s">
        <v>585</v>
      </c>
      <c r="U1008" s="173"/>
      <c r="V1008" s="173"/>
      <c r="W1008" s="173"/>
      <c r="X1008" s="173"/>
      <c r="Y1008" s="173"/>
      <c r="Z1008" s="173"/>
      <c r="AA1008" s="173"/>
      <c r="AB1008" s="173"/>
      <c r="AC1008" s="173"/>
      <c r="AD1008" s="173"/>
      <c r="AE1008" s="173"/>
      <c r="AF1008" s="173"/>
    </row>
    <row r="1009">
      <c r="A1009" s="173"/>
      <c r="B1009" s="173"/>
      <c r="C1009" s="173"/>
      <c r="D1009" s="174"/>
      <c r="E1009" s="175"/>
      <c r="F1009" s="175"/>
      <c r="G1009" s="173" t="s">
        <v>585</v>
      </c>
      <c r="H1009" s="173">
        <v>0.0</v>
      </c>
      <c r="I1009" s="173"/>
      <c r="J1009" s="199">
        <v>0.0</v>
      </c>
      <c r="K1009" s="293"/>
      <c r="L1009" s="173" t="s">
        <v>585</v>
      </c>
      <c r="M1009" s="173"/>
      <c r="N1009" s="199" t="s">
        <v>585</v>
      </c>
      <c r="O1009" s="173"/>
      <c r="P1009" s="173" t="s">
        <v>585</v>
      </c>
      <c r="Q1009" s="173"/>
      <c r="R1009" s="173" t="s">
        <v>585</v>
      </c>
      <c r="S1009" s="173"/>
      <c r="T1009" s="173" t="s">
        <v>585</v>
      </c>
      <c r="U1009" s="173"/>
      <c r="V1009" s="173"/>
      <c r="W1009" s="173"/>
      <c r="X1009" s="173"/>
      <c r="Y1009" s="173"/>
      <c r="Z1009" s="173"/>
      <c r="AA1009" s="173"/>
      <c r="AB1009" s="173"/>
      <c r="AC1009" s="173"/>
      <c r="AD1009" s="173"/>
      <c r="AE1009" s="173"/>
      <c r="AF1009" s="173"/>
    </row>
    <row r="1010">
      <c r="A1010" s="173"/>
      <c r="B1010" s="173"/>
      <c r="C1010" s="173"/>
      <c r="D1010" s="174"/>
      <c r="E1010" s="175"/>
      <c r="F1010" s="175"/>
      <c r="G1010" s="173" t="s">
        <v>585</v>
      </c>
      <c r="H1010" s="173">
        <v>0.0</v>
      </c>
      <c r="I1010" s="173"/>
      <c r="J1010" s="199">
        <v>0.0</v>
      </c>
      <c r="K1010" s="293"/>
      <c r="L1010" s="173" t="s">
        <v>585</v>
      </c>
      <c r="M1010" s="173"/>
      <c r="N1010" s="199" t="s">
        <v>585</v>
      </c>
      <c r="O1010" s="173"/>
      <c r="P1010" s="173" t="s">
        <v>585</v>
      </c>
      <c r="Q1010" s="173"/>
      <c r="R1010" s="173" t="s">
        <v>585</v>
      </c>
      <c r="S1010" s="173"/>
      <c r="T1010" s="173" t="s">
        <v>585</v>
      </c>
      <c r="U1010" s="173"/>
      <c r="V1010" s="173"/>
      <c r="W1010" s="173"/>
      <c r="X1010" s="173"/>
      <c r="Y1010" s="173"/>
      <c r="Z1010" s="173"/>
      <c r="AA1010" s="173"/>
      <c r="AB1010" s="173"/>
      <c r="AC1010" s="173"/>
      <c r="AD1010" s="173"/>
      <c r="AE1010" s="173"/>
      <c r="AF1010" s="173"/>
    </row>
    <row r="1011">
      <c r="A1011" s="173"/>
      <c r="B1011" s="173"/>
      <c r="C1011" s="173"/>
      <c r="D1011" s="174"/>
      <c r="E1011" s="175"/>
      <c r="F1011" s="175"/>
      <c r="G1011" s="173" t="s">
        <v>585</v>
      </c>
      <c r="H1011" s="173">
        <v>0.0</v>
      </c>
      <c r="I1011" s="173"/>
      <c r="J1011" s="199">
        <v>0.0</v>
      </c>
      <c r="K1011" s="293"/>
      <c r="L1011" s="173" t="s">
        <v>585</v>
      </c>
      <c r="M1011" s="173"/>
      <c r="N1011" s="199" t="s">
        <v>585</v>
      </c>
      <c r="O1011" s="173"/>
      <c r="P1011" s="173" t="s">
        <v>585</v>
      </c>
      <c r="Q1011" s="173"/>
      <c r="R1011" s="173" t="s">
        <v>585</v>
      </c>
      <c r="S1011" s="173"/>
      <c r="T1011" s="173" t="s">
        <v>585</v>
      </c>
      <c r="U1011" s="173"/>
      <c r="V1011" s="173"/>
      <c r="W1011" s="173"/>
      <c r="X1011" s="173"/>
      <c r="Y1011" s="173"/>
      <c r="Z1011" s="173"/>
      <c r="AA1011" s="173"/>
      <c r="AB1011" s="173"/>
      <c r="AC1011" s="173"/>
      <c r="AD1011" s="173"/>
      <c r="AE1011" s="173"/>
      <c r="AF1011" s="173"/>
    </row>
    <row r="1012">
      <c r="A1012" s="173"/>
      <c r="B1012" s="173"/>
      <c r="C1012" s="173"/>
      <c r="D1012" s="174"/>
      <c r="E1012" s="175"/>
      <c r="F1012" s="175"/>
      <c r="G1012" s="173" t="s">
        <v>585</v>
      </c>
      <c r="H1012" s="173">
        <v>0.0</v>
      </c>
      <c r="I1012" s="173"/>
      <c r="J1012" s="199">
        <v>0.0</v>
      </c>
      <c r="K1012" s="293"/>
      <c r="L1012" s="173" t="s">
        <v>585</v>
      </c>
      <c r="M1012" s="173"/>
      <c r="N1012" s="199" t="s">
        <v>585</v>
      </c>
      <c r="O1012" s="173"/>
      <c r="P1012" s="173" t="s">
        <v>585</v>
      </c>
      <c r="Q1012" s="173"/>
      <c r="R1012" s="173" t="s">
        <v>585</v>
      </c>
      <c r="S1012" s="173"/>
      <c r="T1012" s="173" t="s">
        <v>585</v>
      </c>
      <c r="U1012" s="173"/>
      <c r="V1012" s="173"/>
      <c r="W1012" s="173"/>
      <c r="X1012" s="173"/>
      <c r="Y1012" s="173"/>
      <c r="Z1012" s="173"/>
      <c r="AA1012" s="173"/>
      <c r="AB1012" s="173"/>
      <c r="AC1012" s="173"/>
      <c r="AD1012" s="173"/>
      <c r="AE1012" s="173"/>
      <c r="AF1012" s="173"/>
    </row>
    <row r="1013">
      <c r="A1013" s="173"/>
      <c r="B1013" s="173"/>
      <c r="C1013" s="173"/>
      <c r="D1013" s="174"/>
      <c r="E1013" s="175"/>
      <c r="F1013" s="175"/>
      <c r="G1013" s="173" t="s">
        <v>585</v>
      </c>
      <c r="H1013" s="173">
        <v>0.0</v>
      </c>
      <c r="I1013" s="173"/>
      <c r="J1013" s="199">
        <v>0.0</v>
      </c>
      <c r="K1013" s="293"/>
      <c r="L1013" s="173" t="s">
        <v>585</v>
      </c>
      <c r="M1013" s="173"/>
      <c r="N1013" s="199" t="s">
        <v>585</v>
      </c>
      <c r="O1013" s="173"/>
      <c r="P1013" s="173" t="s">
        <v>585</v>
      </c>
      <c r="Q1013" s="173"/>
      <c r="R1013" s="173" t="s">
        <v>585</v>
      </c>
      <c r="S1013" s="173"/>
      <c r="T1013" s="173" t="s">
        <v>585</v>
      </c>
      <c r="U1013" s="173"/>
      <c r="V1013" s="173"/>
      <c r="W1013" s="173"/>
      <c r="X1013" s="173"/>
      <c r="Y1013" s="173"/>
      <c r="Z1013" s="173"/>
      <c r="AA1013" s="173"/>
      <c r="AB1013" s="173"/>
      <c r="AC1013" s="173"/>
      <c r="AD1013" s="173"/>
      <c r="AE1013" s="173"/>
      <c r="AF1013" s="173"/>
    </row>
    <row r="1014">
      <c r="A1014" s="173"/>
      <c r="B1014" s="173"/>
      <c r="C1014" s="173"/>
      <c r="D1014" s="174"/>
      <c r="E1014" s="175"/>
      <c r="F1014" s="175"/>
      <c r="G1014" s="173" t="s">
        <v>585</v>
      </c>
      <c r="H1014" s="173">
        <v>0.0</v>
      </c>
      <c r="I1014" s="173"/>
      <c r="J1014" s="199">
        <v>0.0</v>
      </c>
      <c r="K1014" s="293"/>
      <c r="L1014" s="173" t="s">
        <v>585</v>
      </c>
      <c r="M1014" s="173"/>
      <c r="N1014" s="199" t="s">
        <v>585</v>
      </c>
      <c r="O1014" s="173"/>
      <c r="P1014" s="173" t="s">
        <v>585</v>
      </c>
      <c r="Q1014" s="173"/>
      <c r="R1014" s="173" t="s">
        <v>585</v>
      </c>
      <c r="S1014" s="173"/>
      <c r="T1014" s="173" t="s">
        <v>585</v>
      </c>
      <c r="U1014" s="173"/>
      <c r="V1014" s="173"/>
      <c r="W1014" s="173"/>
      <c r="X1014" s="173"/>
      <c r="Y1014" s="173"/>
      <c r="Z1014" s="173"/>
      <c r="AA1014" s="173"/>
      <c r="AB1014" s="173"/>
      <c r="AC1014" s="173"/>
      <c r="AD1014" s="173"/>
      <c r="AE1014" s="173"/>
      <c r="AF1014" s="173"/>
    </row>
    <row r="1015">
      <c r="A1015" s="173"/>
      <c r="B1015" s="173"/>
      <c r="C1015" s="173"/>
      <c r="D1015" s="174"/>
      <c r="E1015" s="175"/>
      <c r="F1015" s="175"/>
      <c r="G1015" s="173" t="s">
        <v>585</v>
      </c>
      <c r="H1015" s="173">
        <v>0.0</v>
      </c>
      <c r="I1015" s="173"/>
      <c r="J1015" s="199">
        <v>0.0</v>
      </c>
      <c r="K1015" s="293"/>
      <c r="L1015" s="173" t="s">
        <v>585</v>
      </c>
      <c r="M1015" s="173"/>
      <c r="N1015" s="199" t="s">
        <v>585</v>
      </c>
      <c r="O1015" s="173"/>
      <c r="P1015" s="173" t="s">
        <v>585</v>
      </c>
      <c r="Q1015" s="173"/>
      <c r="R1015" s="173" t="s">
        <v>585</v>
      </c>
      <c r="S1015" s="173"/>
      <c r="T1015" s="173" t="s">
        <v>585</v>
      </c>
      <c r="U1015" s="173"/>
      <c r="V1015" s="173"/>
      <c r="W1015" s="173"/>
      <c r="X1015" s="173"/>
      <c r="Y1015" s="173"/>
      <c r="Z1015" s="173"/>
      <c r="AA1015" s="173"/>
      <c r="AB1015" s="173"/>
      <c r="AC1015" s="173"/>
      <c r="AD1015" s="173"/>
      <c r="AE1015" s="173"/>
      <c r="AF1015" s="173"/>
    </row>
    <row r="1016">
      <c r="A1016" s="173"/>
      <c r="B1016" s="173"/>
      <c r="C1016" s="173"/>
      <c r="D1016" s="174"/>
      <c r="E1016" s="175"/>
      <c r="F1016" s="175"/>
      <c r="G1016" s="173" t="s">
        <v>585</v>
      </c>
      <c r="H1016" s="173">
        <v>0.0</v>
      </c>
      <c r="I1016" s="173"/>
      <c r="J1016" s="199">
        <v>0.0</v>
      </c>
      <c r="K1016" s="293"/>
      <c r="L1016" s="173" t="s">
        <v>585</v>
      </c>
      <c r="M1016" s="173"/>
      <c r="N1016" s="199" t="s">
        <v>585</v>
      </c>
      <c r="O1016" s="173"/>
      <c r="P1016" s="173" t="s">
        <v>585</v>
      </c>
      <c r="Q1016" s="173"/>
      <c r="R1016" s="173" t="s">
        <v>585</v>
      </c>
      <c r="S1016" s="173"/>
      <c r="T1016" s="173" t="s">
        <v>585</v>
      </c>
      <c r="U1016" s="173"/>
      <c r="V1016" s="173"/>
      <c r="W1016" s="173"/>
      <c r="X1016" s="173"/>
      <c r="Y1016" s="173"/>
      <c r="Z1016" s="173"/>
      <c r="AA1016" s="173"/>
      <c r="AB1016" s="173"/>
      <c r="AC1016" s="173"/>
      <c r="AD1016" s="173"/>
      <c r="AE1016" s="173"/>
      <c r="AF1016" s="173"/>
    </row>
    <row r="1017">
      <c r="A1017" s="173"/>
      <c r="B1017" s="173"/>
      <c r="C1017" s="173"/>
      <c r="D1017" s="174"/>
      <c r="E1017" s="175"/>
      <c r="F1017" s="175"/>
      <c r="G1017" s="173" t="s">
        <v>585</v>
      </c>
      <c r="H1017" s="173">
        <v>0.0</v>
      </c>
      <c r="I1017" s="173"/>
      <c r="J1017" s="199">
        <v>0.0</v>
      </c>
      <c r="K1017" s="293"/>
      <c r="L1017" s="173" t="s">
        <v>585</v>
      </c>
      <c r="M1017" s="173"/>
      <c r="N1017" s="199" t="s">
        <v>585</v>
      </c>
      <c r="O1017" s="173"/>
      <c r="P1017" s="173" t="s">
        <v>585</v>
      </c>
      <c r="Q1017" s="173"/>
      <c r="R1017" s="173" t="s">
        <v>585</v>
      </c>
      <c r="S1017" s="173"/>
      <c r="T1017" s="173" t="s">
        <v>585</v>
      </c>
      <c r="U1017" s="173"/>
      <c r="V1017" s="173"/>
      <c r="W1017" s="173"/>
      <c r="X1017" s="173"/>
      <c r="Y1017" s="173"/>
      <c r="Z1017" s="173"/>
      <c r="AA1017" s="173"/>
      <c r="AB1017" s="173"/>
      <c r="AC1017" s="173"/>
      <c r="AD1017" s="173"/>
      <c r="AE1017" s="173"/>
      <c r="AF1017" s="173"/>
    </row>
    <row r="1018">
      <c r="A1018" s="173"/>
      <c r="B1018" s="173"/>
      <c r="C1018" s="173"/>
      <c r="D1018" s="174"/>
      <c r="E1018" s="175"/>
      <c r="F1018" s="175"/>
      <c r="G1018" s="173" t="s">
        <v>585</v>
      </c>
      <c r="H1018" s="173">
        <v>0.0</v>
      </c>
      <c r="I1018" s="173"/>
      <c r="J1018" s="199">
        <v>0.0</v>
      </c>
      <c r="K1018" s="293"/>
      <c r="L1018" s="173" t="s">
        <v>585</v>
      </c>
      <c r="M1018" s="173"/>
      <c r="N1018" s="199" t="s">
        <v>585</v>
      </c>
      <c r="O1018" s="173"/>
      <c r="P1018" s="173" t="s">
        <v>585</v>
      </c>
      <c r="Q1018" s="173"/>
      <c r="R1018" s="173" t="s">
        <v>585</v>
      </c>
      <c r="S1018" s="173"/>
      <c r="T1018" s="173" t="s">
        <v>585</v>
      </c>
      <c r="U1018" s="173"/>
      <c r="V1018" s="173"/>
      <c r="W1018" s="173"/>
      <c r="X1018" s="173"/>
      <c r="Y1018" s="173"/>
      <c r="Z1018" s="173"/>
      <c r="AA1018" s="173"/>
      <c r="AB1018" s="173"/>
      <c r="AC1018" s="173"/>
      <c r="AD1018" s="173"/>
      <c r="AE1018" s="173"/>
      <c r="AF1018" s="173"/>
    </row>
    <row r="1019">
      <c r="A1019" s="173"/>
      <c r="B1019" s="173"/>
      <c r="C1019" s="173"/>
      <c r="D1019" s="174"/>
      <c r="E1019" s="175"/>
      <c r="F1019" s="175"/>
      <c r="G1019" s="173" t="s">
        <v>585</v>
      </c>
      <c r="H1019" s="173">
        <v>0.0</v>
      </c>
      <c r="I1019" s="173"/>
      <c r="J1019" s="199">
        <v>0.0</v>
      </c>
      <c r="K1019" s="293"/>
      <c r="L1019" s="173" t="s">
        <v>585</v>
      </c>
      <c r="M1019" s="173"/>
      <c r="N1019" s="199" t="s">
        <v>585</v>
      </c>
      <c r="O1019" s="173"/>
      <c r="P1019" s="173" t="s">
        <v>585</v>
      </c>
      <c r="Q1019" s="173"/>
      <c r="R1019" s="173" t="s">
        <v>585</v>
      </c>
      <c r="S1019" s="173"/>
      <c r="T1019" s="173" t="s">
        <v>585</v>
      </c>
      <c r="U1019" s="173"/>
      <c r="V1019" s="173"/>
      <c r="W1019" s="173"/>
      <c r="X1019" s="173"/>
      <c r="Y1019" s="173"/>
      <c r="Z1019" s="173"/>
      <c r="AA1019" s="173"/>
      <c r="AB1019" s="173"/>
      <c r="AC1019" s="173"/>
      <c r="AD1019" s="173"/>
      <c r="AE1019" s="173"/>
      <c r="AF1019" s="173"/>
    </row>
    <row r="1020">
      <c r="A1020" s="173"/>
      <c r="B1020" s="173"/>
      <c r="C1020" s="173"/>
      <c r="D1020" s="174"/>
      <c r="E1020" s="175"/>
      <c r="F1020" s="175"/>
      <c r="G1020" s="173" t="s">
        <v>585</v>
      </c>
      <c r="H1020" s="173">
        <v>0.0</v>
      </c>
      <c r="I1020" s="173"/>
      <c r="J1020" s="199">
        <v>0.0</v>
      </c>
      <c r="K1020" s="293"/>
      <c r="L1020" s="173" t="s">
        <v>585</v>
      </c>
      <c r="M1020" s="173"/>
      <c r="N1020" s="199" t="s">
        <v>585</v>
      </c>
      <c r="O1020" s="173"/>
      <c r="P1020" s="173" t="s">
        <v>585</v>
      </c>
      <c r="Q1020" s="173"/>
      <c r="R1020" s="173" t="s">
        <v>585</v>
      </c>
      <c r="S1020" s="173"/>
      <c r="T1020" s="173" t="s">
        <v>585</v>
      </c>
      <c r="U1020" s="173"/>
      <c r="V1020" s="173"/>
      <c r="W1020" s="173"/>
      <c r="X1020" s="173"/>
      <c r="Y1020" s="173"/>
      <c r="Z1020" s="173"/>
      <c r="AA1020" s="173"/>
      <c r="AB1020" s="173"/>
      <c r="AC1020" s="173"/>
      <c r="AD1020" s="173"/>
      <c r="AE1020" s="173"/>
      <c r="AF1020" s="173"/>
    </row>
    <row r="1021">
      <c r="A1021" s="173"/>
      <c r="B1021" s="173"/>
      <c r="C1021" s="173"/>
      <c r="D1021" s="174"/>
      <c r="E1021" s="175"/>
      <c r="F1021" s="175"/>
      <c r="G1021" s="173" t="s">
        <v>585</v>
      </c>
      <c r="H1021" s="173">
        <v>0.0</v>
      </c>
      <c r="I1021" s="173"/>
      <c r="J1021" s="199">
        <v>0.0</v>
      </c>
      <c r="K1021" s="293"/>
      <c r="L1021" s="173" t="s">
        <v>585</v>
      </c>
      <c r="M1021" s="173"/>
      <c r="N1021" s="199" t="s">
        <v>585</v>
      </c>
      <c r="O1021" s="173"/>
      <c r="P1021" s="173" t="s">
        <v>585</v>
      </c>
      <c r="Q1021" s="173"/>
      <c r="R1021" s="173" t="s">
        <v>585</v>
      </c>
      <c r="S1021" s="173"/>
      <c r="T1021" s="173" t="s">
        <v>585</v>
      </c>
      <c r="U1021" s="173"/>
      <c r="V1021" s="173"/>
      <c r="W1021" s="173"/>
      <c r="X1021" s="173"/>
      <c r="Y1021" s="173"/>
      <c r="Z1021" s="173"/>
      <c r="AA1021" s="173"/>
      <c r="AB1021" s="173"/>
      <c r="AC1021" s="173"/>
      <c r="AD1021" s="173"/>
      <c r="AE1021" s="173"/>
      <c r="AF1021" s="173"/>
    </row>
    <row r="1022">
      <c r="A1022" s="173"/>
      <c r="B1022" s="173"/>
      <c r="C1022" s="173"/>
      <c r="D1022" s="174"/>
      <c r="E1022" s="175"/>
      <c r="F1022" s="175"/>
      <c r="G1022" s="173" t="s">
        <v>585</v>
      </c>
      <c r="H1022" s="173">
        <v>0.0</v>
      </c>
      <c r="I1022" s="173"/>
      <c r="J1022" s="199">
        <v>0.0</v>
      </c>
      <c r="K1022" s="293"/>
      <c r="L1022" s="173" t="s">
        <v>585</v>
      </c>
      <c r="M1022" s="173"/>
      <c r="N1022" s="199" t="s">
        <v>585</v>
      </c>
      <c r="O1022" s="173"/>
      <c r="P1022" s="173" t="s">
        <v>585</v>
      </c>
      <c r="Q1022" s="173"/>
      <c r="R1022" s="173" t="s">
        <v>585</v>
      </c>
      <c r="S1022" s="173"/>
      <c r="T1022" s="173" t="s">
        <v>585</v>
      </c>
      <c r="U1022" s="173"/>
      <c r="V1022" s="173"/>
      <c r="W1022" s="173"/>
      <c r="X1022" s="173"/>
      <c r="Y1022" s="173"/>
      <c r="Z1022" s="173"/>
      <c r="AA1022" s="173"/>
      <c r="AB1022" s="173"/>
      <c r="AC1022" s="173"/>
      <c r="AD1022" s="173"/>
      <c r="AE1022" s="173"/>
      <c r="AF1022" s="173"/>
    </row>
    <row r="1023">
      <c r="A1023" s="173"/>
      <c r="B1023" s="173"/>
      <c r="C1023" s="173"/>
      <c r="D1023" s="174"/>
      <c r="E1023" s="175"/>
      <c r="F1023" s="175"/>
      <c r="G1023" s="173" t="s">
        <v>585</v>
      </c>
      <c r="H1023" s="173">
        <v>0.0</v>
      </c>
      <c r="I1023" s="173"/>
      <c r="J1023" s="199">
        <v>0.0</v>
      </c>
      <c r="K1023" s="293"/>
      <c r="L1023" s="173" t="s">
        <v>585</v>
      </c>
      <c r="M1023" s="173"/>
      <c r="N1023" s="199" t="s">
        <v>585</v>
      </c>
      <c r="O1023" s="173"/>
      <c r="P1023" s="173" t="s">
        <v>585</v>
      </c>
      <c r="Q1023" s="173"/>
      <c r="R1023" s="173" t="s">
        <v>585</v>
      </c>
      <c r="S1023" s="173"/>
      <c r="T1023" s="173" t="s">
        <v>585</v>
      </c>
      <c r="U1023" s="173"/>
      <c r="V1023" s="173"/>
      <c r="W1023" s="173"/>
      <c r="X1023" s="173"/>
      <c r="Y1023" s="173"/>
      <c r="Z1023" s="173"/>
      <c r="AA1023" s="173"/>
      <c r="AB1023" s="173"/>
      <c r="AC1023" s="173"/>
      <c r="AD1023" s="173"/>
      <c r="AE1023" s="173"/>
      <c r="AF1023" s="173"/>
    </row>
    <row r="1024">
      <c r="A1024" s="173"/>
      <c r="B1024" s="173"/>
      <c r="C1024" s="173"/>
      <c r="D1024" s="174"/>
      <c r="E1024" s="175"/>
      <c r="F1024" s="175"/>
      <c r="G1024" s="173" t="s">
        <v>585</v>
      </c>
      <c r="H1024" s="173">
        <v>0.0</v>
      </c>
      <c r="I1024" s="173"/>
      <c r="J1024" s="199">
        <v>0.0</v>
      </c>
      <c r="K1024" s="293"/>
      <c r="L1024" s="173" t="s">
        <v>585</v>
      </c>
      <c r="M1024" s="173"/>
      <c r="N1024" s="199" t="s">
        <v>585</v>
      </c>
      <c r="O1024" s="173"/>
      <c r="P1024" s="173" t="s">
        <v>585</v>
      </c>
      <c r="Q1024" s="173"/>
      <c r="R1024" s="173" t="s">
        <v>585</v>
      </c>
      <c r="S1024" s="173"/>
      <c r="T1024" s="173" t="s">
        <v>585</v>
      </c>
      <c r="U1024" s="173"/>
      <c r="V1024" s="173"/>
      <c r="W1024" s="173"/>
      <c r="X1024" s="173"/>
      <c r="Y1024" s="173"/>
      <c r="Z1024" s="173"/>
      <c r="AA1024" s="173"/>
      <c r="AB1024" s="173"/>
      <c r="AC1024" s="173"/>
      <c r="AD1024" s="173"/>
      <c r="AE1024" s="173"/>
      <c r="AF1024" s="173"/>
    </row>
    <row r="1025">
      <c r="A1025" s="173"/>
      <c r="B1025" s="173"/>
      <c r="C1025" s="173"/>
      <c r="D1025" s="174"/>
      <c r="E1025" s="175"/>
      <c r="F1025" s="175"/>
      <c r="G1025" s="173" t="s">
        <v>585</v>
      </c>
      <c r="H1025" s="173">
        <v>0.0</v>
      </c>
      <c r="I1025" s="173"/>
      <c r="J1025" s="199">
        <v>0.0</v>
      </c>
      <c r="K1025" s="293"/>
      <c r="L1025" s="173" t="s">
        <v>585</v>
      </c>
      <c r="M1025" s="173"/>
      <c r="N1025" s="199" t="s">
        <v>585</v>
      </c>
      <c r="O1025" s="173"/>
      <c r="P1025" s="173" t="s">
        <v>585</v>
      </c>
      <c r="Q1025" s="173"/>
      <c r="R1025" s="173" t="s">
        <v>585</v>
      </c>
      <c r="S1025" s="173"/>
      <c r="T1025" s="173" t="s">
        <v>585</v>
      </c>
      <c r="U1025" s="173"/>
      <c r="V1025" s="173"/>
      <c r="W1025" s="173"/>
      <c r="X1025" s="173"/>
      <c r="Y1025" s="173"/>
      <c r="Z1025" s="173"/>
      <c r="AA1025" s="173"/>
      <c r="AB1025" s="173"/>
      <c r="AC1025" s="173"/>
      <c r="AD1025" s="173"/>
      <c r="AE1025" s="173"/>
      <c r="AF1025" s="173"/>
    </row>
    <row r="1026">
      <c r="A1026" s="173"/>
      <c r="B1026" s="173"/>
      <c r="C1026" s="173"/>
      <c r="D1026" s="174"/>
      <c r="E1026" s="175"/>
      <c r="F1026" s="175"/>
      <c r="G1026" s="173" t="s">
        <v>585</v>
      </c>
      <c r="H1026" s="173">
        <v>0.0</v>
      </c>
      <c r="I1026" s="173"/>
      <c r="J1026" s="199">
        <v>0.0</v>
      </c>
      <c r="K1026" s="293"/>
      <c r="L1026" s="173" t="s">
        <v>585</v>
      </c>
      <c r="M1026" s="173"/>
      <c r="N1026" s="199" t="s">
        <v>585</v>
      </c>
      <c r="O1026" s="173"/>
      <c r="P1026" s="173" t="s">
        <v>585</v>
      </c>
      <c r="Q1026" s="173"/>
      <c r="R1026" s="173" t="s">
        <v>585</v>
      </c>
      <c r="S1026" s="173"/>
      <c r="T1026" s="173" t="s">
        <v>585</v>
      </c>
      <c r="U1026" s="173"/>
      <c r="V1026" s="173"/>
      <c r="W1026" s="173"/>
      <c r="X1026" s="173"/>
      <c r="Y1026" s="173"/>
      <c r="Z1026" s="173"/>
      <c r="AA1026" s="173"/>
      <c r="AB1026" s="173"/>
      <c r="AC1026" s="173"/>
      <c r="AD1026" s="173"/>
      <c r="AE1026" s="173"/>
      <c r="AF1026" s="173"/>
    </row>
    <row r="1027">
      <c r="A1027" s="173"/>
      <c r="B1027" s="173"/>
      <c r="C1027" s="173"/>
      <c r="D1027" s="174"/>
      <c r="E1027" s="175"/>
      <c r="F1027" s="175"/>
      <c r="G1027" s="173" t="s">
        <v>585</v>
      </c>
      <c r="H1027" s="173">
        <v>0.0</v>
      </c>
      <c r="I1027" s="173"/>
      <c r="J1027" s="199">
        <v>0.0</v>
      </c>
      <c r="K1027" s="293"/>
      <c r="L1027" s="173" t="s">
        <v>585</v>
      </c>
      <c r="M1027" s="173"/>
      <c r="N1027" s="199" t="s">
        <v>585</v>
      </c>
      <c r="O1027" s="173"/>
      <c r="P1027" s="173" t="s">
        <v>585</v>
      </c>
      <c r="Q1027" s="173"/>
      <c r="R1027" s="173" t="s">
        <v>585</v>
      </c>
      <c r="S1027" s="173"/>
      <c r="T1027" s="173" t="s">
        <v>585</v>
      </c>
      <c r="U1027" s="173"/>
      <c r="V1027" s="173"/>
      <c r="W1027" s="173"/>
      <c r="X1027" s="173"/>
      <c r="Y1027" s="173"/>
      <c r="Z1027" s="173"/>
      <c r="AA1027" s="173"/>
      <c r="AB1027" s="173"/>
      <c r="AC1027" s="173"/>
      <c r="AD1027" s="173"/>
      <c r="AE1027" s="173"/>
      <c r="AF1027" s="173"/>
    </row>
    <row r="1028">
      <c r="A1028" s="173"/>
      <c r="B1028" s="173"/>
      <c r="C1028" s="173"/>
      <c r="D1028" s="174"/>
      <c r="E1028" s="175"/>
      <c r="F1028" s="175"/>
      <c r="G1028" s="173" t="s">
        <v>585</v>
      </c>
      <c r="H1028" s="173">
        <v>0.0</v>
      </c>
      <c r="I1028" s="173"/>
      <c r="J1028" s="199">
        <v>0.0</v>
      </c>
      <c r="K1028" s="293"/>
      <c r="L1028" s="173" t="s">
        <v>585</v>
      </c>
      <c r="M1028" s="173"/>
      <c r="N1028" s="199" t="s">
        <v>585</v>
      </c>
      <c r="O1028" s="173"/>
      <c r="P1028" s="173" t="s">
        <v>585</v>
      </c>
      <c r="Q1028" s="173"/>
      <c r="R1028" s="173" t="s">
        <v>585</v>
      </c>
      <c r="S1028" s="173"/>
      <c r="T1028" s="173" t="s">
        <v>585</v>
      </c>
      <c r="U1028" s="173"/>
      <c r="V1028" s="173"/>
      <c r="W1028" s="173"/>
      <c r="X1028" s="173"/>
      <c r="Y1028" s="173"/>
      <c r="Z1028" s="173"/>
      <c r="AA1028" s="173"/>
      <c r="AB1028" s="173"/>
      <c r="AC1028" s="173"/>
      <c r="AD1028" s="173"/>
      <c r="AE1028" s="173"/>
      <c r="AF1028" s="173"/>
    </row>
    <row r="1029">
      <c r="A1029" s="173"/>
      <c r="B1029" s="173"/>
      <c r="C1029" s="173"/>
      <c r="D1029" s="174"/>
      <c r="E1029" s="175"/>
      <c r="F1029" s="175"/>
      <c r="G1029" s="173" t="s">
        <v>585</v>
      </c>
      <c r="H1029" s="173">
        <v>0.0</v>
      </c>
      <c r="I1029" s="173"/>
      <c r="J1029" s="199">
        <v>0.0</v>
      </c>
      <c r="K1029" s="293"/>
      <c r="L1029" s="173" t="s">
        <v>585</v>
      </c>
      <c r="M1029" s="173"/>
      <c r="N1029" s="199" t="s">
        <v>585</v>
      </c>
      <c r="O1029" s="173"/>
      <c r="P1029" s="173" t="s">
        <v>585</v>
      </c>
      <c r="Q1029" s="173"/>
      <c r="R1029" s="173" t="s">
        <v>585</v>
      </c>
      <c r="S1029" s="173"/>
      <c r="T1029" s="173" t="s">
        <v>585</v>
      </c>
      <c r="U1029" s="173"/>
      <c r="V1029" s="173"/>
      <c r="W1029" s="173"/>
      <c r="X1029" s="173"/>
      <c r="Y1029" s="173"/>
      <c r="Z1029" s="173"/>
      <c r="AA1029" s="173"/>
      <c r="AB1029" s="173"/>
      <c r="AC1029" s="173"/>
      <c r="AD1029" s="173"/>
      <c r="AE1029" s="173"/>
      <c r="AF1029" s="173"/>
    </row>
    <row r="1030">
      <c r="A1030" s="173"/>
      <c r="B1030" s="173"/>
      <c r="C1030" s="173"/>
      <c r="D1030" s="174"/>
      <c r="E1030" s="175"/>
      <c r="F1030" s="175"/>
      <c r="G1030" s="173" t="s">
        <v>585</v>
      </c>
      <c r="H1030" s="173">
        <v>0.0</v>
      </c>
      <c r="I1030" s="173"/>
      <c r="J1030" s="199">
        <v>0.0</v>
      </c>
      <c r="K1030" s="293"/>
      <c r="L1030" s="173" t="s">
        <v>585</v>
      </c>
      <c r="M1030" s="173"/>
      <c r="N1030" s="199" t="s">
        <v>585</v>
      </c>
      <c r="O1030" s="173"/>
      <c r="P1030" s="173" t="s">
        <v>585</v>
      </c>
      <c r="Q1030" s="173"/>
      <c r="R1030" s="173" t="s">
        <v>585</v>
      </c>
      <c r="S1030" s="173"/>
      <c r="T1030" s="173" t="s">
        <v>585</v>
      </c>
      <c r="U1030" s="173"/>
      <c r="V1030" s="173"/>
      <c r="W1030" s="173"/>
      <c r="X1030" s="173"/>
      <c r="Y1030" s="173"/>
      <c r="Z1030" s="173"/>
      <c r="AA1030" s="173"/>
      <c r="AB1030" s="173"/>
      <c r="AC1030" s="173"/>
      <c r="AD1030" s="173"/>
      <c r="AE1030" s="173"/>
      <c r="AF1030" s="173"/>
    </row>
    <row r="1031">
      <c r="A1031" s="173"/>
      <c r="B1031" s="173"/>
      <c r="C1031" s="173"/>
      <c r="D1031" s="174"/>
      <c r="E1031" s="175"/>
      <c r="F1031" s="175"/>
      <c r="G1031" s="173" t="s">
        <v>585</v>
      </c>
      <c r="H1031" s="173">
        <v>0.0</v>
      </c>
      <c r="I1031" s="173"/>
      <c r="J1031" s="199">
        <v>0.0</v>
      </c>
      <c r="K1031" s="293"/>
      <c r="L1031" s="173" t="s">
        <v>585</v>
      </c>
      <c r="M1031" s="173"/>
      <c r="N1031" s="199" t="s">
        <v>585</v>
      </c>
      <c r="O1031" s="173"/>
      <c r="P1031" s="173" t="s">
        <v>585</v>
      </c>
      <c r="Q1031" s="173"/>
      <c r="R1031" s="173" t="s">
        <v>585</v>
      </c>
      <c r="S1031" s="173"/>
      <c r="T1031" s="173" t="s">
        <v>585</v>
      </c>
      <c r="U1031" s="173"/>
      <c r="V1031" s="173"/>
      <c r="W1031" s="173"/>
      <c r="X1031" s="173"/>
      <c r="Y1031" s="173"/>
      <c r="Z1031" s="173"/>
      <c r="AA1031" s="173"/>
      <c r="AB1031" s="173"/>
      <c r="AC1031" s="173"/>
      <c r="AD1031" s="173"/>
      <c r="AE1031" s="173"/>
      <c r="AF1031" s="173"/>
    </row>
    <row r="1032">
      <c r="A1032" s="173"/>
      <c r="B1032" s="173"/>
      <c r="C1032" s="173"/>
      <c r="D1032" s="174"/>
      <c r="E1032" s="175"/>
      <c r="F1032" s="175"/>
      <c r="G1032" s="173" t="s">
        <v>585</v>
      </c>
      <c r="H1032" s="173">
        <v>0.0</v>
      </c>
      <c r="I1032" s="173"/>
      <c r="J1032" s="199">
        <v>0.0</v>
      </c>
      <c r="K1032" s="293"/>
      <c r="L1032" s="173" t="s">
        <v>585</v>
      </c>
      <c r="M1032" s="173"/>
      <c r="N1032" s="199" t="s">
        <v>585</v>
      </c>
      <c r="O1032" s="173"/>
      <c r="P1032" s="173" t="s">
        <v>585</v>
      </c>
      <c r="Q1032" s="173"/>
      <c r="R1032" s="173" t="s">
        <v>585</v>
      </c>
      <c r="S1032" s="173"/>
      <c r="T1032" s="173" t="s">
        <v>585</v>
      </c>
      <c r="U1032" s="173"/>
      <c r="V1032" s="173"/>
      <c r="W1032" s="173"/>
      <c r="X1032" s="173"/>
      <c r="Y1032" s="173"/>
      <c r="Z1032" s="173"/>
      <c r="AA1032" s="173"/>
      <c r="AB1032" s="173"/>
      <c r="AC1032" s="173"/>
      <c r="AD1032" s="173"/>
      <c r="AE1032" s="173"/>
      <c r="AF1032" s="173"/>
    </row>
    <row r="1033">
      <c r="A1033" s="173"/>
      <c r="B1033" s="173"/>
      <c r="C1033" s="173"/>
      <c r="D1033" s="174"/>
      <c r="E1033" s="175"/>
      <c r="F1033" s="175"/>
      <c r="G1033" s="173" t="s">
        <v>585</v>
      </c>
      <c r="H1033" s="173">
        <v>0.0</v>
      </c>
      <c r="I1033" s="173"/>
      <c r="J1033" s="199">
        <v>0.0</v>
      </c>
      <c r="K1033" s="293"/>
      <c r="L1033" s="173" t="s">
        <v>585</v>
      </c>
      <c r="M1033" s="173"/>
      <c r="N1033" s="199" t="s">
        <v>585</v>
      </c>
      <c r="O1033" s="173"/>
      <c r="P1033" s="173" t="s">
        <v>585</v>
      </c>
      <c r="Q1033" s="173"/>
      <c r="R1033" s="173" t="s">
        <v>585</v>
      </c>
      <c r="S1033" s="173"/>
      <c r="T1033" s="173" t="s">
        <v>585</v>
      </c>
      <c r="U1033" s="173"/>
      <c r="V1033" s="173"/>
      <c r="W1033" s="173"/>
      <c r="X1033" s="173"/>
      <c r="Y1033" s="173"/>
      <c r="Z1033" s="173"/>
      <c r="AA1033" s="173"/>
      <c r="AB1033" s="173"/>
      <c r="AC1033" s="173"/>
      <c r="AD1033" s="173"/>
      <c r="AE1033" s="173"/>
      <c r="AF1033" s="173"/>
    </row>
    <row r="1034">
      <c r="A1034" s="173"/>
      <c r="B1034" s="173"/>
      <c r="C1034" s="173"/>
      <c r="D1034" s="174"/>
      <c r="E1034" s="175"/>
      <c r="F1034" s="175"/>
      <c r="G1034" s="173" t="s">
        <v>585</v>
      </c>
      <c r="H1034" s="173">
        <v>0.0</v>
      </c>
      <c r="I1034" s="173"/>
      <c r="J1034" s="199">
        <v>0.0</v>
      </c>
      <c r="K1034" s="293"/>
      <c r="L1034" s="173" t="s">
        <v>585</v>
      </c>
      <c r="M1034" s="173"/>
      <c r="N1034" s="199" t="s">
        <v>585</v>
      </c>
      <c r="O1034" s="173"/>
      <c r="P1034" s="173" t="s">
        <v>585</v>
      </c>
      <c r="Q1034" s="173"/>
      <c r="R1034" s="173" t="s">
        <v>585</v>
      </c>
      <c r="S1034" s="173"/>
      <c r="T1034" s="173" t="s">
        <v>585</v>
      </c>
      <c r="U1034" s="173"/>
      <c r="V1034" s="173"/>
      <c r="W1034" s="173"/>
      <c r="X1034" s="173"/>
      <c r="Y1034" s="173"/>
      <c r="Z1034" s="173"/>
      <c r="AA1034" s="173"/>
      <c r="AB1034" s="173"/>
      <c r="AC1034" s="173"/>
      <c r="AD1034" s="173"/>
      <c r="AE1034" s="173"/>
      <c r="AF1034" s="173"/>
    </row>
    <row r="1035">
      <c r="A1035" s="173"/>
      <c r="B1035" s="173"/>
      <c r="C1035" s="173"/>
      <c r="D1035" s="174"/>
      <c r="E1035" s="175"/>
      <c r="F1035" s="175"/>
      <c r="G1035" s="173" t="s">
        <v>585</v>
      </c>
      <c r="H1035" s="173">
        <v>0.0</v>
      </c>
      <c r="I1035" s="173"/>
      <c r="J1035" s="199">
        <v>0.0</v>
      </c>
      <c r="K1035" s="293"/>
      <c r="L1035" s="173" t="s">
        <v>585</v>
      </c>
      <c r="M1035" s="173"/>
      <c r="N1035" s="199" t="s">
        <v>585</v>
      </c>
      <c r="O1035" s="173"/>
      <c r="P1035" s="173" t="s">
        <v>585</v>
      </c>
      <c r="Q1035" s="173"/>
      <c r="R1035" s="173" t="s">
        <v>585</v>
      </c>
      <c r="S1035" s="173"/>
      <c r="T1035" s="173" t="s">
        <v>585</v>
      </c>
      <c r="U1035" s="173"/>
      <c r="V1035" s="173"/>
      <c r="W1035" s="173"/>
      <c r="X1035" s="173"/>
      <c r="Y1035" s="173"/>
      <c r="Z1035" s="173"/>
      <c r="AA1035" s="173"/>
      <c r="AB1035" s="173"/>
      <c r="AC1035" s="173"/>
      <c r="AD1035" s="173"/>
      <c r="AE1035" s="173"/>
      <c r="AF1035" s="173"/>
    </row>
    <row r="1036">
      <c r="A1036" s="173"/>
      <c r="B1036" s="173"/>
      <c r="C1036" s="173"/>
      <c r="D1036" s="174"/>
      <c r="E1036" s="175"/>
      <c r="F1036" s="175"/>
      <c r="G1036" s="173" t="s">
        <v>585</v>
      </c>
      <c r="H1036" s="173">
        <v>0.0</v>
      </c>
      <c r="I1036" s="173"/>
      <c r="J1036" s="199">
        <v>0.0</v>
      </c>
      <c r="K1036" s="293"/>
      <c r="L1036" s="173" t="s">
        <v>585</v>
      </c>
      <c r="M1036" s="173"/>
      <c r="N1036" s="199" t="s">
        <v>585</v>
      </c>
      <c r="O1036" s="173"/>
      <c r="P1036" s="173" t="s">
        <v>585</v>
      </c>
      <c r="Q1036" s="173"/>
      <c r="R1036" s="173" t="s">
        <v>585</v>
      </c>
      <c r="S1036" s="173"/>
      <c r="T1036" s="173" t="s">
        <v>585</v>
      </c>
      <c r="U1036" s="173"/>
      <c r="V1036" s="173"/>
      <c r="W1036" s="173"/>
      <c r="X1036" s="173"/>
      <c r="Y1036" s="173"/>
      <c r="Z1036" s="173"/>
      <c r="AA1036" s="173"/>
      <c r="AB1036" s="173"/>
      <c r="AC1036" s="173"/>
      <c r="AD1036" s="173"/>
      <c r="AE1036" s="173"/>
      <c r="AF1036" s="173"/>
    </row>
    <row r="1037">
      <c r="A1037" s="173"/>
      <c r="B1037" s="173"/>
      <c r="C1037" s="173"/>
      <c r="D1037" s="174"/>
      <c r="E1037" s="175"/>
      <c r="F1037" s="175"/>
      <c r="G1037" s="173" t="s">
        <v>585</v>
      </c>
      <c r="H1037" s="173">
        <v>0.0</v>
      </c>
      <c r="I1037" s="173"/>
      <c r="J1037" s="199">
        <v>0.0</v>
      </c>
      <c r="K1037" s="293"/>
      <c r="L1037" s="173" t="s">
        <v>585</v>
      </c>
      <c r="M1037" s="173"/>
      <c r="N1037" s="199" t="s">
        <v>585</v>
      </c>
      <c r="O1037" s="173"/>
      <c r="P1037" s="173" t="s">
        <v>585</v>
      </c>
      <c r="Q1037" s="173"/>
      <c r="R1037" s="173" t="s">
        <v>585</v>
      </c>
      <c r="S1037" s="173"/>
      <c r="T1037" s="173" t="s">
        <v>585</v>
      </c>
      <c r="U1037" s="173"/>
      <c r="V1037" s="173"/>
      <c r="W1037" s="173"/>
      <c r="X1037" s="173"/>
      <c r="Y1037" s="173"/>
      <c r="Z1037" s="173"/>
      <c r="AA1037" s="173"/>
      <c r="AB1037" s="173"/>
      <c r="AC1037" s="173"/>
      <c r="AD1037" s="173"/>
      <c r="AE1037" s="173"/>
      <c r="AF1037" s="173"/>
    </row>
    <row r="1038">
      <c r="A1038" s="173"/>
      <c r="B1038" s="173"/>
      <c r="C1038" s="173"/>
      <c r="D1038" s="174"/>
      <c r="E1038" s="175"/>
      <c r="F1038" s="175"/>
      <c r="G1038" s="173" t="s">
        <v>585</v>
      </c>
      <c r="H1038" s="173">
        <v>0.0</v>
      </c>
      <c r="I1038" s="173"/>
      <c r="J1038" s="199">
        <v>0.0</v>
      </c>
      <c r="K1038" s="293"/>
      <c r="L1038" s="173" t="s">
        <v>585</v>
      </c>
      <c r="M1038" s="173"/>
      <c r="N1038" s="199" t="s">
        <v>585</v>
      </c>
      <c r="O1038" s="173"/>
      <c r="P1038" s="173" t="s">
        <v>585</v>
      </c>
      <c r="Q1038" s="173"/>
      <c r="R1038" s="173" t="s">
        <v>585</v>
      </c>
      <c r="S1038" s="173"/>
      <c r="T1038" s="173" t="s">
        <v>585</v>
      </c>
      <c r="U1038" s="173"/>
      <c r="V1038" s="173"/>
      <c r="W1038" s="173"/>
      <c r="X1038" s="173"/>
      <c r="Y1038" s="173"/>
      <c r="Z1038" s="173"/>
      <c r="AA1038" s="173"/>
      <c r="AB1038" s="173"/>
      <c r="AC1038" s="173"/>
      <c r="AD1038" s="173"/>
      <c r="AE1038" s="173"/>
      <c r="AF1038" s="173"/>
    </row>
    <row r="1039">
      <c r="A1039" s="173"/>
      <c r="B1039" s="173"/>
      <c r="C1039" s="173"/>
      <c r="D1039" s="174"/>
      <c r="E1039" s="175"/>
      <c r="F1039" s="175"/>
      <c r="G1039" s="173" t="s">
        <v>585</v>
      </c>
      <c r="H1039" s="173">
        <v>0.0</v>
      </c>
      <c r="I1039" s="173"/>
      <c r="J1039" s="199">
        <v>0.0</v>
      </c>
      <c r="K1039" s="293"/>
      <c r="L1039" s="173" t="s">
        <v>585</v>
      </c>
      <c r="M1039" s="173"/>
      <c r="N1039" s="199" t="s">
        <v>585</v>
      </c>
      <c r="O1039" s="173"/>
      <c r="P1039" s="173" t="s">
        <v>585</v>
      </c>
      <c r="Q1039" s="173"/>
      <c r="R1039" s="173" t="s">
        <v>585</v>
      </c>
      <c r="S1039" s="173"/>
      <c r="T1039" s="173" t="s">
        <v>585</v>
      </c>
      <c r="U1039" s="173"/>
      <c r="V1039" s="173"/>
      <c r="W1039" s="173"/>
      <c r="X1039" s="173"/>
      <c r="Y1039" s="173"/>
      <c r="Z1039" s="173"/>
      <c r="AA1039" s="173"/>
      <c r="AB1039" s="173"/>
      <c r="AC1039" s="173"/>
      <c r="AD1039" s="173"/>
      <c r="AE1039" s="173"/>
      <c r="AF1039" s="173"/>
    </row>
    <row r="1040">
      <c r="A1040" s="173"/>
      <c r="B1040" s="173"/>
      <c r="C1040" s="173"/>
      <c r="D1040" s="174"/>
      <c r="E1040" s="175"/>
      <c r="F1040" s="175"/>
      <c r="G1040" s="173" t="s">
        <v>585</v>
      </c>
      <c r="H1040" s="173">
        <v>0.0</v>
      </c>
      <c r="I1040" s="173"/>
      <c r="J1040" s="199">
        <v>0.0</v>
      </c>
      <c r="K1040" s="293"/>
      <c r="L1040" s="173" t="s">
        <v>585</v>
      </c>
      <c r="M1040" s="173"/>
      <c r="N1040" s="199" t="s">
        <v>585</v>
      </c>
      <c r="O1040" s="173"/>
      <c r="P1040" s="173" t="s">
        <v>585</v>
      </c>
      <c r="Q1040" s="173"/>
      <c r="R1040" s="173" t="s">
        <v>585</v>
      </c>
      <c r="S1040" s="173"/>
      <c r="T1040" s="173" t="s">
        <v>585</v>
      </c>
      <c r="U1040" s="173"/>
      <c r="V1040" s="173"/>
      <c r="W1040" s="173"/>
      <c r="X1040" s="173"/>
      <c r="Y1040" s="173"/>
      <c r="Z1040" s="173"/>
      <c r="AA1040" s="173"/>
      <c r="AB1040" s="173"/>
      <c r="AC1040" s="173"/>
      <c r="AD1040" s="173"/>
      <c r="AE1040" s="173"/>
      <c r="AF1040" s="173"/>
    </row>
    <row r="1041">
      <c r="A1041" s="173"/>
      <c r="B1041" s="173"/>
      <c r="C1041" s="173"/>
      <c r="D1041" s="174"/>
      <c r="E1041" s="175"/>
      <c r="F1041" s="175"/>
      <c r="G1041" s="173" t="s">
        <v>585</v>
      </c>
      <c r="H1041" s="173">
        <v>0.0</v>
      </c>
      <c r="I1041" s="173"/>
      <c r="J1041" s="199">
        <v>0.0</v>
      </c>
      <c r="K1041" s="293"/>
      <c r="L1041" s="173" t="s">
        <v>585</v>
      </c>
      <c r="M1041" s="173"/>
      <c r="N1041" s="199" t="s">
        <v>585</v>
      </c>
      <c r="O1041" s="173"/>
      <c r="P1041" s="173" t="s">
        <v>585</v>
      </c>
      <c r="Q1041" s="173"/>
      <c r="R1041" s="173" t="s">
        <v>585</v>
      </c>
      <c r="S1041" s="173"/>
      <c r="T1041" s="173" t="s">
        <v>585</v>
      </c>
      <c r="U1041" s="173"/>
      <c r="V1041" s="173"/>
      <c r="W1041" s="173"/>
      <c r="X1041" s="173"/>
      <c r="Y1041" s="173"/>
      <c r="Z1041" s="173"/>
      <c r="AA1041" s="173"/>
      <c r="AB1041" s="173"/>
      <c r="AC1041" s="173"/>
      <c r="AD1041" s="173"/>
      <c r="AE1041" s="173"/>
      <c r="AF1041" s="173"/>
    </row>
    <row r="1042">
      <c r="A1042" s="173"/>
      <c r="B1042" s="173"/>
      <c r="C1042" s="173"/>
      <c r="D1042" s="174"/>
      <c r="E1042" s="175"/>
      <c r="F1042" s="175"/>
      <c r="G1042" s="173" t="s">
        <v>585</v>
      </c>
      <c r="H1042" s="173">
        <v>0.0</v>
      </c>
      <c r="I1042" s="173"/>
      <c r="J1042" s="199">
        <v>0.0</v>
      </c>
      <c r="K1042" s="293"/>
      <c r="L1042" s="173" t="s">
        <v>585</v>
      </c>
      <c r="M1042" s="173"/>
      <c r="N1042" s="199" t="s">
        <v>585</v>
      </c>
      <c r="O1042" s="173"/>
      <c r="P1042" s="173" t="s">
        <v>585</v>
      </c>
      <c r="Q1042" s="173"/>
      <c r="R1042" s="173" t="s">
        <v>585</v>
      </c>
      <c r="S1042" s="173"/>
      <c r="T1042" s="173" t="s">
        <v>585</v>
      </c>
      <c r="U1042" s="173"/>
      <c r="V1042" s="173"/>
      <c r="W1042" s="173"/>
      <c r="X1042" s="173"/>
      <c r="Y1042" s="173"/>
      <c r="Z1042" s="173"/>
      <c r="AA1042" s="173"/>
      <c r="AB1042" s="173"/>
      <c r="AC1042" s="173"/>
      <c r="AD1042" s="173"/>
      <c r="AE1042" s="173"/>
      <c r="AF1042" s="173"/>
    </row>
    <row r="1043">
      <c r="A1043" s="173"/>
      <c r="B1043" s="173"/>
      <c r="C1043" s="173"/>
      <c r="D1043" s="174"/>
      <c r="E1043" s="175"/>
      <c r="F1043" s="175"/>
      <c r="G1043" s="173" t="s">
        <v>585</v>
      </c>
      <c r="H1043" s="173">
        <v>0.0</v>
      </c>
      <c r="I1043" s="173"/>
      <c r="J1043" s="199">
        <v>0.0</v>
      </c>
      <c r="K1043" s="293"/>
      <c r="L1043" s="173" t="s">
        <v>585</v>
      </c>
      <c r="M1043" s="173"/>
      <c r="N1043" s="199" t="s">
        <v>585</v>
      </c>
      <c r="O1043" s="173"/>
      <c r="P1043" s="173" t="s">
        <v>585</v>
      </c>
      <c r="Q1043" s="173"/>
      <c r="R1043" s="173" t="s">
        <v>585</v>
      </c>
      <c r="S1043" s="173"/>
      <c r="T1043" s="173" t="s">
        <v>585</v>
      </c>
      <c r="U1043" s="173"/>
      <c r="V1043" s="173"/>
      <c r="W1043" s="173"/>
      <c r="X1043" s="173"/>
      <c r="Y1043" s="173"/>
      <c r="Z1043" s="173"/>
      <c r="AA1043" s="173"/>
      <c r="AB1043" s="173"/>
      <c r="AC1043" s="173"/>
      <c r="AD1043" s="173"/>
      <c r="AE1043" s="173"/>
      <c r="AF1043" s="173"/>
    </row>
    <row r="1044">
      <c r="A1044" s="173"/>
      <c r="B1044" s="173"/>
      <c r="C1044" s="173"/>
      <c r="D1044" s="174"/>
      <c r="E1044" s="175"/>
      <c r="F1044" s="175"/>
      <c r="G1044" s="173" t="s">
        <v>585</v>
      </c>
      <c r="H1044" s="173">
        <v>0.0</v>
      </c>
      <c r="I1044" s="173"/>
      <c r="J1044" s="199">
        <v>0.0</v>
      </c>
      <c r="K1044" s="293"/>
      <c r="L1044" s="173" t="s">
        <v>585</v>
      </c>
      <c r="M1044" s="173"/>
      <c r="N1044" s="199" t="s">
        <v>585</v>
      </c>
      <c r="O1044" s="173"/>
      <c r="P1044" s="173" t="s">
        <v>585</v>
      </c>
      <c r="Q1044" s="173"/>
      <c r="R1044" s="173" t="s">
        <v>585</v>
      </c>
      <c r="S1044" s="173"/>
      <c r="T1044" s="173" t="s">
        <v>585</v>
      </c>
      <c r="U1044" s="173"/>
      <c r="V1044" s="173"/>
      <c r="W1044" s="173"/>
      <c r="X1044" s="173"/>
      <c r="Y1044" s="173"/>
      <c r="Z1044" s="173"/>
      <c r="AA1044" s="173"/>
      <c r="AB1044" s="173"/>
      <c r="AC1044" s="173"/>
      <c r="AD1044" s="173"/>
      <c r="AE1044" s="173"/>
      <c r="AF1044" s="173"/>
    </row>
    <row r="1045">
      <c r="A1045" s="173"/>
      <c r="B1045" s="173"/>
      <c r="C1045" s="173"/>
      <c r="D1045" s="174"/>
      <c r="E1045" s="175"/>
      <c r="F1045" s="175"/>
      <c r="G1045" s="173" t="s">
        <v>585</v>
      </c>
      <c r="H1045" s="173">
        <v>0.0</v>
      </c>
      <c r="I1045" s="173"/>
      <c r="J1045" s="199">
        <v>0.0</v>
      </c>
      <c r="K1045" s="293"/>
      <c r="L1045" s="173" t="s">
        <v>585</v>
      </c>
      <c r="M1045" s="173"/>
      <c r="N1045" s="199" t="s">
        <v>585</v>
      </c>
      <c r="O1045" s="173"/>
      <c r="P1045" s="173" t="s">
        <v>585</v>
      </c>
      <c r="Q1045" s="173"/>
      <c r="R1045" s="173" t="s">
        <v>585</v>
      </c>
      <c r="S1045" s="173"/>
      <c r="T1045" s="173" t="s">
        <v>585</v>
      </c>
      <c r="U1045" s="173"/>
      <c r="V1045" s="173"/>
      <c r="W1045" s="173"/>
      <c r="X1045" s="173"/>
      <c r="Y1045" s="173"/>
      <c r="Z1045" s="173"/>
      <c r="AA1045" s="173"/>
      <c r="AB1045" s="173"/>
      <c r="AC1045" s="173"/>
      <c r="AD1045" s="173"/>
      <c r="AE1045" s="173"/>
      <c r="AF1045" s="173"/>
    </row>
    <row r="1046">
      <c r="A1046" s="173"/>
      <c r="B1046" s="173"/>
      <c r="C1046" s="173"/>
      <c r="D1046" s="174"/>
      <c r="E1046" s="175"/>
      <c r="F1046" s="175"/>
      <c r="G1046" s="173" t="s">
        <v>585</v>
      </c>
      <c r="H1046" s="173">
        <v>0.0</v>
      </c>
      <c r="I1046" s="173"/>
      <c r="J1046" s="199">
        <v>0.0</v>
      </c>
      <c r="K1046" s="293"/>
      <c r="L1046" s="173" t="s">
        <v>585</v>
      </c>
      <c r="M1046" s="173"/>
      <c r="N1046" s="199" t="s">
        <v>585</v>
      </c>
      <c r="O1046" s="173"/>
      <c r="P1046" s="173" t="s">
        <v>585</v>
      </c>
      <c r="Q1046" s="173"/>
      <c r="R1046" s="173" t="s">
        <v>585</v>
      </c>
      <c r="S1046" s="173"/>
      <c r="T1046" s="173" t="s">
        <v>585</v>
      </c>
      <c r="U1046" s="173"/>
      <c r="V1046" s="173"/>
      <c r="W1046" s="173"/>
      <c r="X1046" s="173"/>
      <c r="Y1046" s="173"/>
      <c r="Z1046" s="173"/>
      <c r="AA1046" s="173"/>
      <c r="AB1046" s="173"/>
      <c r="AC1046" s="173"/>
      <c r="AD1046" s="173"/>
      <c r="AE1046" s="173"/>
      <c r="AF1046" s="173"/>
    </row>
    <row r="1047">
      <c r="A1047" s="173"/>
      <c r="B1047" s="173"/>
      <c r="C1047" s="173"/>
      <c r="D1047" s="174"/>
      <c r="E1047" s="175"/>
      <c r="F1047" s="175"/>
      <c r="G1047" s="173" t="s">
        <v>585</v>
      </c>
      <c r="H1047" s="173">
        <v>0.0</v>
      </c>
      <c r="I1047" s="173"/>
      <c r="J1047" s="199">
        <v>0.0</v>
      </c>
      <c r="K1047" s="293"/>
      <c r="L1047" s="173" t="s">
        <v>585</v>
      </c>
      <c r="M1047" s="173"/>
      <c r="N1047" s="199" t="s">
        <v>585</v>
      </c>
      <c r="O1047" s="173"/>
      <c r="P1047" s="173" t="s">
        <v>585</v>
      </c>
      <c r="Q1047" s="173"/>
      <c r="R1047" s="173" t="s">
        <v>585</v>
      </c>
      <c r="S1047" s="173"/>
      <c r="T1047" s="173" t="s">
        <v>585</v>
      </c>
      <c r="U1047" s="173"/>
      <c r="V1047" s="173"/>
      <c r="W1047" s="173"/>
      <c r="X1047" s="173"/>
      <c r="Y1047" s="173"/>
      <c r="Z1047" s="173"/>
      <c r="AA1047" s="173"/>
      <c r="AB1047" s="173"/>
      <c r="AC1047" s="173"/>
      <c r="AD1047" s="173"/>
      <c r="AE1047" s="173"/>
      <c r="AF1047" s="173"/>
    </row>
    <row r="1048">
      <c r="A1048" s="173"/>
      <c r="B1048" s="173"/>
      <c r="C1048" s="173"/>
      <c r="D1048" s="174"/>
      <c r="E1048" s="175"/>
      <c r="F1048" s="175"/>
      <c r="G1048" s="173" t="s">
        <v>585</v>
      </c>
      <c r="H1048" s="173">
        <v>0.0</v>
      </c>
      <c r="I1048" s="173"/>
      <c r="J1048" s="199">
        <v>0.0</v>
      </c>
      <c r="K1048" s="293"/>
      <c r="L1048" s="173" t="s">
        <v>585</v>
      </c>
      <c r="M1048" s="173"/>
      <c r="N1048" s="199" t="s">
        <v>585</v>
      </c>
      <c r="O1048" s="173"/>
      <c r="P1048" s="173" t="s">
        <v>585</v>
      </c>
      <c r="Q1048" s="173"/>
      <c r="R1048" s="173" t="s">
        <v>585</v>
      </c>
      <c r="S1048" s="173"/>
      <c r="T1048" s="173" t="s">
        <v>585</v>
      </c>
      <c r="U1048" s="173"/>
      <c r="V1048" s="173"/>
      <c r="W1048" s="173"/>
      <c r="X1048" s="173"/>
      <c r="Y1048" s="173"/>
      <c r="Z1048" s="173"/>
      <c r="AA1048" s="173"/>
      <c r="AB1048" s="173"/>
      <c r="AC1048" s="173"/>
      <c r="AD1048" s="173"/>
      <c r="AE1048" s="173"/>
      <c r="AF1048" s="173"/>
    </row>
    <row r="1049">
      <c r="A1049" s="173"/>
      <c r="B1049" s="173"/>
      <c r="C1049" s="173"/>
      <c r="D1049" s="174"/>
      <c r="E1049" s="175"/>
      <c r="F1049" s="175"/>
      <c r="G1049" s="173" t="s">
        <v>585</v>
      </c>
      <c r="H1049" s="173">
        <v>0.0</v>
      </c>
      <c r="I1049" s="173"/>
      <c r="J1049" s="199">
        <v>0.0</v>
      </c>
      <c r="K1049" s="293"/>
      <c r="L1049" s="173" t="s">
        <v>585</v>
      </c>
      <c r="M1049" s="173"/>
      <c r="N1049" s="199" t="s">
        <v>585</v>
      </c>
      <c r="O1049" s="173"/>
      <c r="P1049" s="173" t="s">
        <v>585</v>
      </c>
      <c r="Q1049" s="173"/>
      <c r="R1049" s="173" t="s">
        <v>585</v>
      </c>
      <c r="S1049" s="173"/>
      <c r="T1049" s="173" t="s">
        <v>585</v>
      </c>
      <c r="U1049" s="173"/>
      <c r="V1049" s="173"/>
      <c r="W1049" s="173"/>
      <c r="X1049" s="173"/>
      <c r="Y1049" s="173"/>
      <c r="Z1049" s="173"/>
      <c r="AA1049" s="173"/>
      <c r="AB1049" s="173"/>
      <c r="AC1049" s="173"/>
      <c r="AD1049" s="173"/>
      <c r="AE1049" s="173"/>
      <c r="AF1049" s="173"/>
    </row>
    <row r="1050">
      <c r="A1050" s="173"/>
      <c r="B1050" s="173"/>
      <c r="C1050" s="173"/>
      <c r="D1050" s="174"/>
      <c r="E1050" s="175"/>
      <c r="F1050" s="175"/>
      <c r="G1050" s="173" t="s">
        <v>585</v>
      </c>
      <c r="H1050" s="173">
        <v>0.0</v>
      </c>
      <c r="I1050" s="173"/>
      <c r="J1050" s="199">
        <v>0.0</v>
      </c>
      <c r="K1050" s="293"/>
      <c r="L1050" s="173" t="s">
        <v>585</v>
      </c>
      <c r="M1050" s="173"/>
      <c r="N1050" s="199" t="s">
        <v>585</v>
      </c>
      <c r="O1050" s="173"/>
      <c r="P1050" s="173" t="s">
        <v>585</v>
      </c>
      <c r="Q1050" s="173"/>
      <c r="R1050" s="173" t="s">
        <v>585</v>
      </c>
      <c r="S1050" s="173"/>
      <c r="T1050" s="173" t="s">
        <v>585</v>
      </c>
      <c r="U1050" s="173"/>
      <c r="V1050" s="173"/>
      <c r="W1050" s="173"/>
      <c r="X1050" s="173"/>
      <c r="Y1050" s="173"/>
      <c r="Z1050" s="173"/>
      <c r="AA1050" s="173"/>
      <c r="AB1050" s="173"/>
      <c r="AC1050" s="173"/>
      <c r="AD1050" s="173"/>
      <c r="AE1050" s="173"/>
      <c r="AF1050" s="173"/>
    </row>
    <row r="1051">
      <c r="A1051" s="173"/>
      <c r="B1051" s="173"/>
      <c r="C1051" s="173"/>
      <c r="D1051" s="174"/>
      <c r="E1051" s="175"/>
      <c r="F1051" s="175"/>
      <c r="G1051" s="173" t="s">
        <v>585</v>
      </c>
      <c r="H1051" s="173">
        <v>0.0</v>
      </c>
      <c r="I1051" s="173"/>
      <c r="J1051" s="199">
        <v>0.0</v>
      </c>
      <c r="K1051" s="293"/>
      <c r="L1051" s="173" t="s">
        <v>585</v>
      </c>
      <c r="M1051" s="173"/>
      <c r="N1051" s="199" t="s">
        <v>585</v>
      </c>
      <c r="O1051" s="173"/>
      <c r="P1051" s="173" t="s">
        <v>585</v>
      </c>
      <c r="Q1051" s="173"/>
      <c r="R1051" s="173" t="s">
        <v>585</v>
      </c>
      <c r="S1051" s="173"/>
      <c r="T1051" s="173" t="s">
        <v>585</v>
      </c>
      <c r="U1051" s="173"/>
      <c r="V1051" s="173"/>
      <c r="W1051" s="173"/>
      <c r="X1051" s="173"/>
      <c r="Y1051" s="173"/>
      <c r="Z1051" s="173"/>
      <c r="AA1051" s="173"/>
      <c r="AB1051" s="173"/>
      <c r="AC1051" s="173"/>
      <c r="AD1051" s="173"/>
      <c r="AE1051" s="173"/>
      <c r="AF1051" s="173"/>
    </row>
    <row r="1052">
      <c r="A1052" s="173"/>
      <c r="B1052" s="173"/>
      <c r="C1052" s="173"/>
      <c r="D1052" s="174"/>
      <c r="E1052" s="175"/>
      <c r="F1052" s="175"/>
      <c r="G1052" s="173" t="s">
        <v>585</v>
      </c>
      <c r="H1052" s="173">
        <v>0.0</v>
      </c>
      <c r="I1052" s="173"/>
      <c r="J1052" s="199">
        <v>0.0</v>
      </c>
      <c r="K1052" s="293"/>
      <c r="L1052" s="173" t="s">
        <v>585</v>
      </c>
      <c r="M1052" s="173"/>
      <c r="N1052" s="199" t="s">
        <v>585</v>
      </c>
      <c r="O1052" s="173"/>
      <c r="P1052" s="173" t="s">
        <v>585</v>
      </c>
      <c r="Q1052" s="173"/>
      <c r="R1052" s="173" t="s">
        <v>585</v>
      </c>
      <c r="S1052" s="173"/>
      <c r="T1052" s="173" t="s">
        <v>585</v>
      </c>
      <c r="U1052" s="173"/>
      <c r="V1052" s="173"/>
      <c r="W1052" s="173"/>
      <c r="X1052" s="173"/>
      <c r="Y1052" s="173"/>
      <c r="Z1052" s="173"/>
      <c r="AA1052" s="173"/>
      <c r="AB1052" s="173"/>
      <c r="AC1052" s="173"/>
      <c r="AD1052" s="173"/>
      <c r="AE1052" s="173"/>
      <c r="AF1052" s="173"/>
    </row>
    <row r="1053">
      <c r="A1053" s="173"/>
      <c r="B1053" s="173"/>
      <c r="C1053" s="173"/>
      <c r="D1053" s="174"/>
      <c r="E1053" s="175"/>
      <c r="F1053" s="175"/>
      <c r="G1053" s="173" t="s">
        <v>585</v>
      </c>
      <c r="H1053" s="173">
        <v>0.0</v>
      </c>
      <c r="I1053" s="173"/>
      <c r="J1053" s="199">
        <v>0.0</v>
      </c>
      <c r="K1053" s="293"/>
      <c r="L1053" s="173" t="s">
        <v>585</v>
      </c>
      <c r="M1053" s="173"/>
      <c r="N1053" s="199" t="s">
        <v>585</v>
      </c>
      <c r="O1053" s="173"/>
      <c r="P1053" s="173" t="s">
        <v>585</v>
      </c>
      <c r="Q1053" s="173"/>
      <c r="R1053" s="173" t="s">
        <v>585</v>
      </c>
      <c r="S1053" s="173"/>
      <c r="T1053" s="173" t="s">
        <v>585</v>
      </c>
      <c r="U1053" s="173"/>
      <c r="V1053" s="173"/>
      <c r="W1053" s="173"/>
      <c r="X1053" s="173"/>
      <c r="Y1053" s="173"/>
      <c r="Z1053" s="173"/>
      <c r="AA1053" s="173"/>
      <c r="AB1053" s="173"/>
      <c r="AC1053" s="173"/>
      <c r="AD1053" s="173"/>
      <c r="AE1053" s="173"/>
      <c r="AF1053" s="173"/>
    </row>
    <row r="1054">
      <c r="A1054" s="173"/>
      <c r="B1054" s="173"/>
      <c r="C1054" s="173"/>
      <c r="D1054" s="174"/>
      <c r="E1054" s="175"/>
      <c r="F1054" s="175"/>
      <c r="G1054" s="173" t="s">
        <v>585</v>
      </c>
      <c r="H1054" s="173">
        <v>0.0</v>
      </c>
      <c r="I1054" s="173"/>
      <c r="J1054" s="199">
        <v>0.0</v>
      </c>
      <c r="K1054" s="293"/>
      <c r="L1054" s="173" t="s">
        <v>585</v>
      </c>
      <c r="M1054" s="173"/>
      <c r="N1054" s="199" t="s">
        <v>585</v>
      </c>
      <c r="O1054" s="173"/>
      <c r="P1054" s="173" t="s">
        <v>585</v>
      </c>
      <c r="Q1054" s="173"/>
      <c r="R1054" s="173" t="s">
        <v>585</v>
      </c>
      <c r="S1054" s="173"/>
      <c r="T1054" s="173" t="s">
        <v>585</v>
      </c>
      <c r="U1054" s="173"/>
      <c r="V1054" s="173"/>
      <c r="W1054" s="173"/>
      <c r="X1054" s="173"/>
      <c r="Y1054" s="173"/>
      <c r="Z1054" s="173"/>
      <c r="AA1054" s="173"/>
      <c r="AB1054" s="173"/>
      <c r="AC1054" s="173"/>
      <c r="AD1054" s="173"/>
      <c r="AE1054" s="173"/>
      <c r="AF1054" s="173"/>
    </row>
    <row r="1055">
      <c r="A1055" s="173"/>
      <c r="B1055" s="173"/>
      <c r="C1055" s="173"/>
      <c r="D1055" s="174"/>
      <c r="E1055" s="175"/>
      <c r="F1055" s="175"/>
      <c r="G1055" s="173" t="s">
        <v>585</v>
      </c>
      <c r="H1055" s="173">
        <v>0.0</v>
      </c>
      <c r="I1055" s="173"/>
      <c r="J1055" s="199">
        <v>0.0</v>
      </c>
      <c r="K1055" s="293"/>
      <c r="L1055" s="173" t="s">
        <v>585</v>
      </c>
      <c r="M1055" s="173"/>
      <c r="N1055" s="199" t="s">
        <v>585</v>
      </c>
      <c r="O1055" s="173"/>
      <c r="P1055" s="173" t="s">
        <v>585</v>
      </c>
      <c r="Q1055" s="173"/>
      <c r="R1055" s="173" t="s">
        <v>585</v>
      </c>
      <c r="S1055" s="173"/>
      <c r="T1055" s="173" t="s">
        <v>585</v>
      </c>
      <c r="U1055" s="173"/>
      <c r="V1055" s="173"/>
      <c r="W1055" s="173"/>
      <c r="X1055" s="173"/>
      <c r="Y1055" s="173"/>
      <c r="Z1055" s="173"/>
      <c r="AA1055" s="173"/>
      <c r="AB1055" s="173"/>
      <c r="AC1055" s="173"/>
      <c r="AD1055" s="173"/>
      <c r="AE1055" s="173"/>
      <c r="AF1055" s="173"/>
    </row>
    <row r="1056">
      <c r="A1056" s="173"/>
      <c r="B1056" s="173"/>
      <c r="C1056" s="173"/>
      <c r="D1056" s="174"/>
      <c r="E1056" s="175"/>
      <c r="F1056" s="175"/>
      <c r="G1056" s="173" t="s">
        <v>585</v>
      </c>
      <c r="H1056" s="173">
        <v>0.0</v>
      </c>
      <c r="I1056" s="173"/>
      <c r="J1056" s="199">
        <v>0.0</v>
      </c>
      <c r="K1056" s="293"/>
      <c r="L1056" s="173" t="s">
        <v>585</v>
      </c>
      <c r="M1056" s="173"/>
      <c r="N1056" s="199" t="s">
        <v>585</v>
      </c>
      <c r="O1056" s="173"/>
      <c r="P1056" s="173" t="s">
        <v>585</v>
      </c>
      <c r="Q1056" s="173"/>
      <c r="R1056" s="173" t="s">
        <v>585</v>
      </c>
      <c r="S1056" s="173"/>
      <c r="T1056" s="173" t="s">
        <v>585</v>
      </c>
      <c r="U1056" s="173"/>
      <c r="V1056" s="173"/>
      <c r="W1056" s="173"/>
      <c r="X1056" s="173"/>
      <c r="Y1056" s="173"/>
      <c r="Z1056" s="173"/>
      <c r="AA1056" s="173"/>
      <c r="AB1056" s="173"/>
      <c r="AC1056" s="173"/>
      <c r="AD1056" s="173"/>
      <c r="AE1056" s="173"/>
      <c r="AF1056" s="173"/>
    </row>
    <row r="1057">
      <c r="A1057" s="173"/>
      <c r="B1057" s="173"/>
      <c r="C1057" s="173"/>
      <c r="D1057" s="174"/>
      <c r="E1057" s="175"/>
      <c r="F1057" s="175"/>
      <c r="G1057" s="173" t="s">
        <v>585</v>
      </c>
      <c r="H1057" s="173">
        <v>0.0</v>
      </c>
      <c r="I1057" s="173"/>
      <c r="J1057" s="199">
        <v>0.0</v>
      </c>
      <c r="K1057" s="293"/>
      <c r="L1057" s="173" t="s">
        <v>585</v>
      </c>
      <c r="M1057" s="173"/>
      <c r="N1057" s="199" t="s">
        <v>585</v>
      </c>
      <c r="O1057" s="173"/>
      <c r="P1057" s="173" t="s">
        <v>585</v>
      </c>
      <c r="Q1057" s="173"/>
      <c r="R1057" s="173" t="s">
        <v>585</v>
      </c>
      <c r="S1057" s="173"/>
      <c r="T1057" s="173" t="s">
        <v>585</v>
      </c>
      <c r="U1057" s="173"/>
      <c r="V1057" s="173"/>
      <c r="W1057" s="173"/>
      <c r="X1057" s="173"/>
      <c r="Y1057" s="173"/>
      <c r="Z1057" s="173"/>
      <c r="AA1057" s="173"/>
      <c r="AB1057" s="173"/>
      <c r="AC1057" s="173"/>
      <c r="AD1057" s="173"/>
      <c r="AE1057" s="173"/>
      <c r="AF1057" s="173"/>
    </row>
    <row r="1058">
      <c r="A1058" s="173"/>
      <c r="B1058" s="173"/>
      <c r="C1058" s="173"/>
      <c r="D1058" s="174"/>
      <c r="E1058" s="175"/>
      <c r="F1058" s="175"/>
      <c r="G1058" s="173" t="s">
        <v>585</v>
      </c>
      <c r="H1058" s="173">
        <v>0.0</v>
      </c>
      <c r="I1058" s="173"/>
      <c r="J1058" s="199">
        <v>0.0</v>
      </c>
      <c r="K1058" s="293"/>
      <c r="L1058" s="173" t="s">
        <v>585</v>
      </c>
      <c r="M1058" s="173"/>
      <c r="N1058" s="199" t="s">
        <v>585</v>
      </c>
      <c r="O1058" s="173"/>
      <c r="P1058" s="173" t="s">
        <v>585</v>
      </c>
      <c r="Q1058" s="173"/>
      <c r="R1058" s="173" t="s">
        <v>585</v>
      </c>
      <c r="S1058" s="173"/>
      <c r="T1058" s="173" t="s">
        <v>585</v>
      </c>
      <c r="U1058" s="173"/>
      <c r="V1058" s="173"/>
      <c r="W1058" s="173"/>
      <c r="X1058" s="173"/>
      <c r="Y1058" s="173"/>
      <c r="Z1058" s="173"/>
      <c r="AA1058" s="173"/>
      <c r="AB1058" s="173"/>
      <c r="AC1058" s="173"/>
      <c r="AD1058" s="173"/>
      <c r="AE1058" s="173"/>
      <c r="AF1058" s="173"/>
    </row>
    <row r="1059">
      <c r="A1059" s="173"/>
      <c r="B1059" s="173"/>
      <c r="C1059" s="173"/>
      <c r="D1059" s="174"/>
      <c r="E1059" s="175"/>
      <c r="F1059" s="175"/>
      <c r="G1059" s="173" t="s">
        <v>585</v>
      </c>
      <c r="H1059" s="173">
        <v>0.0</v>
      </c>
      <c r="I1059" s="173"/>
      <c r="J1059" s="199">
        <v>0.0</v>
      </c>
      <c r="K1059" s="293"/>
      <c r="L1059" s="173" t="s">
        <v>585</v>
      </c>
      <c r="M1059" s="173"/>
      <c r="N1059" s="199" t="s">
        <v>585</v>
      </c>
      <c r="O1059" s="173"/>
      <c r="P1059" s="173" t="s">
        <v>585</v>
      </c>
      <c r="Q1059" s="173"/>
      <c r="R1059" s="173" t="s">
        <v>585</v>
      </c>
      <c r="S1059" s="173"/>
      <c r="T1059" s="173" t="s">
        <v>585</v>
      </c>
      <c r="U1059" s="173"/>
      <c r="V1059" s="173"/>
      <c r="W1059" s="173"/>
      <c r="X1059" s="173"/>
      <c r="Y1059" s="173"/>
      <c r="Z1059" s="173"/>
      <c r="AA1059" s="173"/>
      <c r="AB1059" s="173"/>
      <c r="AC1059" s="173"/>
      <c r="AD1059" s="173"/>
      <c r="AE1059" s="173"/>
      <c r="AF1059" s="173"/>
    </row>
    <row r="1060">
      <c r="A1060" s="173"/>
      <c r="B1060" s="173"/>
      <c r="C1060" s="173"/>
      <c r="D1060" s="174"/>
      <c r="E1060" s="175"/>
      <c r="F1060" s="175"/>
      <c r="G1060" s="173" t="s">
        <v>585</v>
      </c>
      <c r="H1060" s="173">
        <v>0.0</v>
      </c>
      <c r="I1060" s="173"/>
      <c r="J1060" s="199">
        <v>0.0</v>
      </c>
      <c r="K1060" s="293"/>
      <c r="L1060" s="173" t="s">
        <v>585</v>
      </c>
      <c r="M1060" s="173"/>
      <c r="N1060" s="199" t="s">
        <v>585</v>
      </c>
      <c r="O1060" s="173"/>
      <c r="P1060" s="173" t="s">
        <v>585</v>
      </c>
      <c r="Q1060" s="173"/>
      <c r="R1060" s="173" t="s">
        <v>585</v>
      </c>
      <c r="S1060" s="173"/>
      <c r="T1060" s="173" t="s">
        <v>585</v>
      </c>
      <c r="U1060" s="173"/>
      <c r="V1060" s="173"/>
      <c r="W1060" s="173"/>
      <c r="X1060" s="173"/>
      <c r="Y1060" s="173"/>
      <c r="Z1060" s="173"/>
      <c r="AA1060" s="173"/>
      <c r="AB1060" s="173"/>
      <c r="AC1060" s="173"/>
      <c r="AD1060" s="173"/>
      <c r="AE1060" s="173"/>
      <c r="AF1060" s="173"/>
    </row>
    <row r="1061">
      <c r="A1061" s="173"/>
      <c r="B1061" s="173"/>
      <c r="C1061" s="173"/>
      <c r="D1061" s="174"/>
      <c r="E1061" s="175"/>
      <c r="F1061" s="175"/>
      <c r="G1061" s="173" t="s">
        <v>585</v>
      </c>
      <c r="H1061" s="173">
        <v>0.0</v>
      </c>
      <c r="I1061" s="173"/>
      <c r="J1061" s="199">
        <v>0.0</v>
      </c>
      <c r="K1061" s="293"/>
      <c r="L1061" s="173" t="s">
        <v>585</v>
      </c>
      <c r="M1061" s="173"/>
      <c r="N1061" s="199" t="s">
        <v>585</v>
      </c>
      <c r="O1061" s="173"/>
      <c r="P1061" s="173" t="s">
        <v>585</v>
      </c>
      <c r="Q1061" s="173"/>
      <c r="R1061" s="173" t="s">
        <v>585</v>
      </c>
      <c r="S1061" s="173"/>
      <c r="T1061" s="173" t="s">
        <v>585</v>
      </c>
      <c r="U1061" s="173"/>
      <c r="V1061" s="173"/>
      <c r="W1061" s="173"/>
      <c r="X1061" s="173"/>
      <c r="Y1061" s="173"/>
      <c r="Z1061" s="173"/>
      <c r="AA1061" s="173"/>
      <c r="AB1061" s="173"/>
      <c r="AC1061" s="173"/>
      <c r="AD1061" s="173"/>
      <c r="AE1061" s="173"/>
      <c r="AF1061" s="173"/>
    </row>
    <row r="1062">
      <c r="A1062" s="173"/>
      <c r="B1062" s="173"/>
      <c r="C1062" s="173"/>
      <c r="D1062" s="174"/>
      <c r="E1062" s="175"/>
      <c r="F1062" s="175"/>
      <c r="G1062" s="173" t="s">
        <v>585</v>
      </c>
      <c r="H1062" s="173">
        <v>0.0</v>
      </c>
      <c r="I1062" s="173"/>
      <c r="J1062" s="199">
        <v>0.0</v>
      </c>
      <c r="K1062" s="293"/>
      <c r="L1062" s="173" t="s">
        <v>585</v>
      </c>
      <c r="M1062" s="173"/>
      <c r="N1062" s="199" t="s">
        <v>585</v>
      </c>
      <c r="O1062" s="173"/>
      <c r="P1062" s="173" t="s">
        <v>585</v>
      </c>
      <c r="Q1062" s="173"/>
      <c r="R1062" s="173" t="s">
        <v>585</v>
      </c>
      <c r="S1062" s="173"/>
      <c r="T1062" s="173" t="s">
        <v>585</v>
      </c>
      <c r="U1062" s="173"/>
      <c r="V1062" s="173"/>
      <c r="W1062" s="173"/>
      <c r="X1062" s="173"/>
      <c r="Y1062" s="173"/>
      <c r="Z1062" s="173"/>
      <c r="AA1062" s="173"/>
      <c r="AB1062" s="173"/>
      <c r="AC1062" s="173"/>
      <c r="AD1062" s="173"/>
      <c r="AE1062" s="173"/>
      <c r="AF1062" s="173"/>
    </row>
    <row r="1063">
      <c r="A1063" s="173"/>
      <c r="B1063" s="173"/>
      <c r="C1063" s="173"/>
      <c r="D1063" s="174"/>
      <c r="E1063" s="175"/>
      <c r="F1063" s="175"/>
      <c r="G1063" s="173" t="s">
        <v>585</v>
      </c>
      <c r="H1063" s="173">
        <v>0.0</v>
      </c>
      <c r="I1063" s="173"/>
      <c r="J1063" s="199">
        <v>0.0</v>
      </c>
      <c r="K1063" s="293"/>
      <c r="L1063" s="173" t="s">
        <v>585</v>
      </c>
      <c r="M1063" s="173"/>
      <c r="N1063" s="199" t="s">
        <v>585</v>
      </c>
      <c r="O1063" s="173"/>
      <c r="P1063" s="173" t="s">
        <v>585</v>
      </c>
      <c r="Q1063" s="173"/>
      <c r="R1063" s="173" t="s">
        <v>585</v>
      </c>
      <c r="S1063" s="173"/>
      <c r="T1063" s="173" t="s">
        <v>585</v>
      </c>
      <c r="U1063" s="173"/>
      <c r="V1063" s="173"/>
      <c r="W1063" s="173"/>
      <c r="X1063" s="173"/>
      <c r="Y1063" s="173"/>
      <c r="Z1063" s="173"/>
      <c r="AA1063" s="173"/>
      <c r="AB1063" s="173"/>
      <c r="AC1063" s="173"/>
      <c r="AD1063" s="173"/>
      <c r="AE1063" s="173"/>
      <c r="AF1063" s="173"/>
    </row>
    <row r="1064">
      <c r="A1064" s="173"/>
      <c r="B1064" s="173"/>
      <c r="C1064" s="173"/>
      <c r="D1064" s="174"/>
      <c r="E1064" s="175"/>
      <c r="F1064" s="175"/>
      <c r="G1064" s="173" t="s">
        <v>585</v>
      </c>
      <c r="H1064" s="173">
        <v>0.0</v>
      </c>
      <c r="I1064" s="173"/>
      <c r="J1064" s="199">
        <v>0.0</v>
      </c>
      <c r="K1064" s="293"/>
      <c r="L1064" s="173" t="s">
        <v>585</v>
      </c>
      <c r="M1064" s="173"/>
      <c r="N1064" s="199" t="s">
        <v>585</v>
      </c>
      <c r="O1064" s="173"/>
      <c r="P1064" s="173" t="s">
        <v>585</v>
      </c>
      <c r="Q1064" s="173"/>
      <c r="R1064" s="173" t="s">
        <v>585</v>
      </c>
      <c r="S1064" s="173"/>
      <c r="T1064" s="173" t="s">
        <v>585</v>
      </c>
      <c r="U1064" s="173"/>
      <c r="V1064" s="173"/>
      <c r="W1064" s="173"/>
      <c r="X1064" s="173"/>
      <c r="Y1064" s="173"/>
      <c r="Z1064" s="173"/>
      <c r="AA1064" s="173"/>
      <c r="AB1064" s="173"/>
      <c r="AC1064" s="173"/>
      <c r="AD1064" s="173"/>
      <c r="AE1064" s="173"/>
      <c r="AF1064" s="173"/>
    </row>
    <row r="1065">
      <c r="A1065" s="173"/>
      <c r="B1065" s="173"/>
      <c r="C1065" s="173"/>
      <c r="D1065" s="174"/>
      <c r="E1065" s="175"/>
      <c r="F1065" s="175"/>
      <c r="G1065" s="173" t="s">
        <v>585</v>
      </c>
      <c r="H1065" s="173">
        <v>0.0</v>
      </c>
      <c r="I1065" s="173"/>
      <c r="J1065" s="199">
        <v>0.0</v>
      </c>
      <c r="K1065" s="293"/>
      <c r="L1065" s="173" t="s">
        <v>585</v>
      </c>
      <c r="M1065" s="173"/>
      <c r="N1065" s="199" t="s">
        <v>585</v>
      </c>
      <c r="O1065" s="173"/>
      <c r="P1065" s="173" t="s">
        <v>585</v>
      </c>
      <c r="Q1065" s="173"/>
      <c r="R1065" s="173" t="s">
        <v>585</v>
      </c>
      <c r="S1065" s="173"/>
      <c r="T1065" s="173" t="s">
        <v>585</v>
      </c>
      <c r="U1065" s="173"/>
      <c r="V1065" s="173"/>
      <c r="W1065" s="173"/>
      <c r="X1065" s="173"/>
      <c r="Y1065" s="173"/>
      <c r="Z1065" s="173"/>
      <c r="AA1065" s="173"/>
      <c r="AB1065" s="173"/>
      <c r="AC1065" s="173"/>
      <c r="AD1065" s="173"/>
      <c r="AE1065" s="173"/>
      <c r="AF1065" s="173"/>
    </row>
    <row r="1066">
      <c r="A1066" s="173"/>
      <c r="B1066" s="173"/>
      <c r="C1066" s="173"/>
      <c r="D1066" s="174"/>
      <c r="E1066" s="175"/>
      <c r="F1066" s="175"/>
      <c r="G1066" s="173" t="s">
        <v>585</v>
      </c>
      <c r="H1066" s="173">
        <v>0.0</v>
      </c>
      <c r="I1066" s="173"/>
      <c r="J1066" s="199">
        <v>0.0</v>
      </c>
      <c r="K1066" s="293"/>
      <c r="L1066" s="173" t="s">
        <v>585</v>
      </c>
      <c r="M1066" s="173"/>
      <c r="N1066" s="199" t="s">
        <v>585</v>
      </c>
      <c r="O1066" s="173"/>
      <c r="P1066" s="173" t="s">
        <v>585</v>
      </c>
      <c r="Q1066" s="173"/>
      <c r="R1066" s="173" t="s">
        <v>585</v>
      </c>
      <c r="S1066" s="173"/>
      <c r="T1066" s="173" t="s">
        <v>585</v>
      </c>
      <c r="U1066" s="173"/>
      <c r="V1066" s="173"/>
      <c r="W1066" s="173"/>
      <c r="X1066" s="173"/>
      <c r="Y1066" s="173"/>
      <c r="Z1066" s="173"/>
      <c r="AA1066" s="173"/>
      <c r="AB1066" s="173"/>
      <c r="AC1066" s="173"/>
      <c r="AD1066" s="173"/>
      <c r="AE1066" s="173"/>
      <c r="AF1066" s="173"/>
    </row>
    <row r="1067">
      <c r="A1067" s="173"/>
      <c r="B1067" s="173"/>
      <c r="C1067" s="173"/>
      <c r="D1067" s="174"/>
      <c r="E1067" s="175"/>
      <c r="F1067" s="175"/>
      <c r="G1067" s="173" t="s">
        <v>585</v>
      </c>
      <c r="H1067" s="173">
        <v>0.0</v>
      </c>
      <c r="I1067" s="173"/>
      <c r="J1067" s="199">
        <v>0.0</v>
      </c>
      <c r="K1067" s="293"/>
      <c r="L1067" s="173" t="s">
        <v>585</v>
      </c>
      <c r="M1067" s="173"/>
      <c r="N1067" s="199" t="s">
        <v>585</v>
      </c>
      <c r="O1067" s="173"/>
      <c r="P1067" s="173" t="s">
        <v>585</v>
      </c>
      <c r="Q1067" s="173"/>
      <c r="R1067" s="173" t="s">
        <v>585</v>
      </c>
      <c r="S1067" s="173"/>
      <c r="T1067" s="173" t="s">
        <v>585</v>
      </c>
      <c r="U1067" s="173"/>
      <c r="V1067" s="173"/>
      <c r="W1067" s="173"/>
      <c r="X1067" s="173"/>
      <c r="Y1067" s="173"/>
      <c r="Z1067" s="173"/>
      <c r="AA1067" s="173"/>
      <c r="AB1067" s="173"/>
      <c r="AC1067" s="173"/>
      <c r="AD1067" s="173"/>
      <c r="AE1067" s="173"/>
      <c r="AF1067" s="173"/>
    </row>
    <row r="1068">
      <c r="A1068" s="173"/>
      <c r="B1068" s="173"/>
      <c r="C1068" s="173"/>
      <c r="D1068" s="174"/>
      <c r="E1068" s="175"/>
      <c r="F1068" s="175"/>
      <c r="G1068" s="173" t="s">
        <v>585</v>
      </c>
      <c r="H1068" s="173">
        <v>0.0</v>
      </c>
      <c r="I1068" s="173"/>
      <c r="J1068" s="199">
        <v>0.0</v>
      </c>
      <c r="K1068" s="293"/>
      <c r="L1068" s="173" t="s">
        <v>585</v>
      </c>
      <c r="M1068" s="173"/>
      <c r="N1068" s="199" t="s">
        <v>585</v>
      </c>
      <c r="O1068" s="173"/>
      <c r="P1068" s="173" t="s">
        <v>585</v>
      </c>
      <c r="Q1068" s="173"/>
      <c r="R1068" s="173" t="s">
        <v>585</v>
      </c>
      <c r="S1068" s="173"/>
      <c r="T1068" s="173" t="s">
        <v>585</v>
      </c>
      <c r="U1068" s="173"/>
      <c r="V1068" s="173"/>
      <c r="W1068" s="173"/>
      <c r="X1068" s="173"/>
      <c r="Y1068" s="173"/>
      <c r="Z1068" s="173"/>
      <c r="AA1068" s="173"/>
      <c r="AB1068" s="173"/>
      <c r="AC1068" s="173"/>
      <c r="AD1068" s="173"/>
      <c r="AE1068" s="173"/>
      <c r="AF1068" s="173"/>
    </row>
    <row r="1069">
      <c r="A1069" s="173"/>
      <c r="B1069" s="173"/>
      <c r="C1069" s="173"/>
      <c r="D1069" s="174"/>
      <c r="E1069" s="175"/>
      <c r="F1069" s="175"/>
      <c r="G1069" s="173" t="s">
        <v>585</v>
      </c>
      <c r="H1069" s="173">
        <v>0.0</v>
      </c>
      <c r="I1069" s="173"/>
      <c r="J1069" s="199">
        <v>0.0</v>
      </c>
      <c r="K1069" s="293"/>
      <c r="L1069" s="173" t="s">
        <v>585</v>
      </c>
      <c r="M1069" s="173"/>
      <c r="N1069" s="199" t="s">
        <v>585</v>
      </c>
      <c r="O1069" s="173"/>
      <c r="P1069" s="173" t="s">
        <v>585</v>
      </c>
      <c r="Q1069" s="173"/>
      <c r="R1069" s="173" t="s">
        <v>585</v>
      </c>
      <c r="S1069" s="173"/>
      <c r="T1069" s="173" t="s">
        <v>585</v>
      </c>
      <c r="U1069" s="173"/>
      <c r="V1069" s="173"/>
      <c r="W1069" s="173"/>
      <c r="X1069" s="173"/>
      <c r="Y1069" s="173"/>
      <c r="Z1069" s="173"/>
      <c r="AA1069" s="173"/>
      <c r="AB1069" s="173"/>
      <c r="AC1069" s="173"/>
      <c r="AD1069" s="173"/>
      <c r="AE1069" s="173"/>
      <c r="AF1069" s="173"/>
    </row>
    <row r="1070">
      <c r="A1070" s="173"/>
      <c r="B1070" s="173"/>
      <c r="C1070" s="173"/>
      <c r="D1070" s="174"/>
      <c r="E1070" s="175"/>
      <c r="F1070" s="175"/>
      <c r="G1070" s="173" t="s">
        <v>585</v>
      </c>
      <c r="H1070" s="173">
        <v>0.0</v>
      </c>
      <c r="I1070" s="173"/>
      <c r="J1070" s="199">
        <v>0.0</v>
      </c>
      <c r="K1070" s="293"/>
      <c r="L1070" s="173" t="s">
        <v>585</v>
      </c>
      <c r="M1070" s="173"/>
      <c r="N1070" s="199" t="s">
        <v>585</v>
      </c>
      <c r="O1070" s="173"/>
      <c r="P1070" s="173" t="s">
        <v>585</v>
      </c>
      <c r="Q1070" s="173"/>
      <c r="R1070" s="173" t="s">
        <v>585</v>
      </c>
      <c r="S1070" s="173"/>
      <c r="T1070" s="173" t="s">
        <v>585</v>
      </c>
      <c r="U1070" s="173"/>
      <c r="V1070" s="173"/>
      <c r="W1070" s="173"/>
      <c r="X1070" s="173"/>
      <c r="Y1070" s="173"/>
      <c r="Z1070" s="173"/>
      <c r="AA1070" s="173"/>
      <c r="AB1070" s="173"/>
      <c r="AC1070" s="173"/>
      <c r="AD1070" s="173"/>
      <c r="AE1070" s="173"/>
      <c r="AF1070" s="173"/>
    </row>
    <row r="1071">
      <c r="A1071" s="173"/>
      <c r="B1071" s="173"/>
      <c r="C1071" s="173"/>
      <c r="D1071" s="174"/>
      <c r="E1071" s="175"/>
      <c r="F1071" s="175"/>
      <c r="G1071" s="173" t="s">
        <v>585</v>
      </c>
      <c r="H1071" s="173">
        <v>0.0</v>
      </c>
      <c r="I1071" s="173"/>
      <c r="J1071" s="199">
        <v>0.0</v>
      </c>
      <c r="K1071" s="293"/>
      <c r="L1071" s="173" t="s">
        <v>585</v>
      </c>
      <c r="M1071" s="173"/>
      <c r="N1071" s="199" t="s">
        <v>585</v>
      </c>
      <c r="O1071" s="173"/>
      <c r="P1071" s="173" t="s">
        <v>585</v>
      </c>
      <c r="Q1071" s="173"/>
      <c r="R1071" s="173" t="s">
        <v>585</v>
      </c>
      <c r="S1071" s="173"/>
      <c r="T1071" s="173" t="s">
        <v>585</v>
      </c>
      <c r="U1071" s="173"/>
      <c r="V1071" s="173"/>
      <c r="W1071" s="173"/>
      <c r="X1071" s="173"/>
      <c r="Y1071" s="173"/>
      <c r="Z1071" s="173"/>
      <c r="AA1071" s="173"/>
      <c r="AB1071" s="173"/>
      <c r="AC1071" s="173"/>
      <c r="AD1071" s="173"/>
      <c r="AE1071" s="173"/>
      <c r="AF1071" s="173"/>
    </row>
    <row r="1072">
      <c r="A1072" s="173"/>
      <c r="B1072" s="173"/>
      <c r="C1072" s="173"/>
      <c r="D1072" s="174"/>
      <c r="E1072" s="175"/>
      <c r="F1072" s="175"/>
      <c r="G1072" s="173" t="s">
        <v>585</v>
      </c>
      <c r="H1072" s="173">
        <v>0.0</v>
      </c>
      <c r="I1072" s="173"/>
      <c r="J1072" s="199">
        <v>0.0</v>
      </c>
      <c r="K1072" s="293"/>
      <c r="L1072" s="173" t="s">
        <v>585</v>
      </c>
      <c r="M1072" s="173"/>
      <c r="N1072" s="199" t="s">
        <v>585</v>
      </c>
      <c r="O1072" s="173"/>
      <c r="P1072" s="173" t="s">
        <v>585</v>
      </c>
      <c r="Q1072" s="173"/>
      <c r="R1072" s="173" t="s">
        <v>585</v>
      </c>
      <c r="S1072" s="173"/>
      <c r="T1072" s="173" t="s">
        <v>585</v>
      </c>
      <c r="U1072" s="173"/>
      <c r="V1072" s="173"/>
      <c r="W1072" s="173"/>
      <c r="X1072" s="173"/>
      <c r="Y1072" s="173"/>
      <c r="Z1072" s="173"/>
      <c r="AA1072" s="173"/>
      <c r="AB1072" s="173"/>
      <c r="AC1072" s="173"/>
      <c r="AD1072" s="173"/>
      <c r="AE1072" s="173"/>
      <c r="AF1072" s="173"/>
    </row>
    <row r="1073">
      <c r="A1073" s="173"/>
      <c r="B1073" s="173"/>
      <c r="C1073" s="173"/>
      <c r="D1073" s="174"/>
      <c r="E1073" s="175"/>
      <c r="F1073" s="175"/>
      <c r="G1073" s="173" t="s">
        <v>585</v>
      </c>
      <c r="H1073" s="173">
        <v>0.0</v>
      </c>
      <c r="I1073" s="173"/>
      <c r="J1073" s="199">
        <v>0.0</v>
      </c>
      <c r="K1073" s="293"/>
      <c r="L1073" s="173" t="s">
        <v>585</v>
      </c>
      <c r="M1073" s="173"/>
      <c r="N1073" s="199" t="s">
        <v>585</v>
      </c>
      <c r="O1073" s="173"/>
      <c r="P1073" s="173" t="s">
        <v>585</v>
      </c>
      <c r="Q1073" s="173"/>
      <c r="R1073" s="173" t="s">
        <v>585</v>
      </c>
      <c r="S1073" s="173"/>
      <c r="T1073" s="173" t="s">
        <v>585</v>
      </c>
      <c r="U1073" s="173"/>
      <c r="V1073" s="173"/>
      <c r="W1073" s="173"/>
      <c r="X1073" s="173"/>
      <c r="Y1073" s="173"/>
      <c r="Z1073" s="173"/>
      <c r="AA1073" s="173"/>
      <c r="AB1073" s="173"/>
      <c r="AC1073" s="173"/>
      <c r="AD1073" s="173"/>
      <c r="AE1073" s="173"/>
      <c r="AF1073" s="173"/>
    </row>
    <row r="1074">
      <c r="A1074" s="173"/>
      <c r="B1074" s="173"/>
      <c r="C1074" s="173"/>
      <c r="D1074" s="174"/>
      <c r="E1074" s="175"/>
      <c r="F1074" s="175"/>
      <c r="G1074" s="173" t="s">
        <v>585</v>
      </c>
      <c r="H1074" s="173">
        <v>0.0</v>
      </c>
      <c r="I1074" s="173"/>
      <c r="J1074" s="199">
        <v>0.0</v>
      </c>
      <c r="K1074" s="293"/>
      <c r="L1074" s="173" t="s">
        <v>585</v>
      </c>
      <c r="M1074" s="173"/>
      <c r="N1074" s="199" t="s">
        <v>585</v>
      </c>
      <c r="O1074" s="173"/>
      <c r="P1074" s="173" t="s">
        <v>585</v>
      </c>
      <c r="Q1074" s="173"/>
      <c r="R1074" s="173" t="s">
        <v>585</v>
      </c>
      <c r="S1074" s="173"/>
      <c r="T1074" s="173" t="s">
        <v>585</v>
      </c>
      <c r="U1074" s="173"/>
      <c r="V1074" s="173"/>
      <c r="W1074" s="173"/>
      <c r="X1074" s="173"/>
      <c r="Y1074" s="173"/>
      <c r="Z1074" s="173"/>
      <c r="AA1074" s="173"/>
      <c r="AB1074" s="173"/>
      <c r="AC1074" s="173"/>
      <c r="AD1074" s="173"/>
      <c r="AE1074" s="173"/>
      <c r="AF1074" s="173"/>
    </row>
    <row r="1075">
      <c r="A1075" s="173"/>
      <c r="B1075" s="173"/>
      <c r="C1075" s="173"/>
      <c r="D1075" s="174"/>
      <c r="E1075" s="175"/>
      <c r="F1075" s="175"/>
      <c r="G1075" s="173" t="s">
        <v>585</v>
      </c>
      <c r="H1075" s="173">
        <v>0.0</v>
      </c>
      <c r="I1075" s="173"/>
      <c r="J1075" s="199">
        <v>0.0</v>
      </c>
      <c r="K1075" s="293"/>
      <c r="L1075" s="173" t="s">
        <v>585</v>
      </c>
      <c r="M1075" s="173"/>
      <c r="N1075" s="199" t="s">
        <v>585</v>
      </c>
      <c r="O1075" s="173"/>
      <c r="P1075" s="173" t="s">
        <v>585</v>
      </c>
      <c r="Q1075" s="173"/>
      <c r="R1075" s="173" t="s">
        <v>585</v>
      </c>
      <c r="S1075" s="173"/>
      <c r="T1075" s="173" t="s">
        <v>585</v>
      </c>
      <c r="U1075" s="173"/>
      <c r="V1075" s="173"/>
      <c r="W1075" s="173"/>
      <c r="X1075" s="173"/>
      <c r="Y1075" s="173"/>
      <c r="Z1075" s="173"/>
      <c r="AA1075" s="173"/>
      <c r="AB1075" s="173"/>
      <c r="AC1075" s="173"/>
      <c r="AD1075" s="173"/>
      <c r="AE1075" s="173"/>
      <c r="AF1075" s="173"/>
    </row>
    <row r="1076">
      <c r="A1076" s="173"/>
      <c r="B1076" s="173"/>
      <c r="C1076" s="173"/>
      <c r="D1076" s="174"/>
      <c r="E1076" s="175"/>
      <c r="F1076" s="175"/>
      <c r="G1076" s="173" t="s">
        <v>585</v>
      </c>
      <c r="H1076" s="173">
        <v>0.0</v>
      </c>
      <c r="I1076" s="173"/>
      <c r="J1076" s="199">
        <v>0.0</v>
      </c>
      <c r="K1076" s="293"/>
      <c r="L1076" s="173" t="s">
        <v>585</v>
      </c>
      <c r="M1076" s="173"/>
      <c r="N1076" s="199" t="s">
        <v>585</v>
      </c>
      <c r="O1076" s="173"/>
      <c r="P1076" s="173" t="s">
        <v>585</v>
      </c>
      <c r="Q1076" s="173"/>
      <c r="R1076" s="173" t="s">
        <v>585</v>
      </c>
      <c r="S1076" s="173"/>
      <c r="T1076" s="173" t="s">
        <v>585</v>
      </c>
      <c r="U1076" s="173"/>
      <c r="V1076" s="173"/>
      <c r="W1076" s="173"/>
      <c r="X1076" s="173"/>
      <c r="Y1076" s="173"/>
      <c r="Z1076" s="173"/>
      <c r="AA1076" s="173"/>
      <c r="AB1076" s="173"/>
      <c r="AC1076" s="173"/>
      <c r="AD1076" s="173"/>
      <c r="AE1076" s="173"/>
      <c r="AF1076" s="173"/>
    </row>
  </sheetData>
  <mergeCells count="6">
    <mergeCell ref="I2:J2"/>
    <mergeCell ref="K2:L2"/>
    <mergeCell ref="M2:N2"/>
    <mergeCell ref="O2:P2"/>
    <mergeCell ref="Q2:R2"/>
    <mergeCell ref="S2:T2"/>
  </mergeCells>
  <dataValidations>
    <dataValidation type="list" allowBlank="1" showErrorMessage="1" sqref="F1:F2 F4:F1076">
      <formula1>"Nhóm 1,Nhóm 2,Nhóm 3"</formula1>
    </dataValidation>
    <dataValidation type="list" allowBlank="1" showErrorMessage="1" sqref="C4:C1076">
      <formula1>"Facebook,TikTok,YouTube,Instagram"</formula1>
    </dataValidation>
    <dataValidation type="custom" allowBlank="1" showDropDown="1" showErrorMessage="1" sqref="E1:E1076">
      <formula1>OR(NOT(ISERROR(DATEVALUE(E1))), AND(ISNUMBER(E1), LEFT(CELL("format", E1))="D"))</formula1>
    </dataValidation>
    <dataValidation type="list" allowBlank="1" sqref="B1:B1076">
      <formula1>data!$A:$A</formula1>
    </dataValidation>
  </dataValidation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ref="D104"/>
    <hyperlink r:id="rId101" ref="D105"/>
    <hyperlink r:id="rId102" ref="D106"/>
    <hyperlink r:id="rId103" ref="D107"/>
    <hyperlink r:id="rId104" ref="D108"/>
    <hyperlink r:id="rId105" ref="D109"/>
    <hyperlink r:id="rId106" ref="D110"/>
    <hyperlink r:id="rId107" ref="D111"/>
    <hyperlink r:id="rId108" ref="D112"/>
    <hyperlink r:id="rId109" ref="D113"/>
    <hyperlink r:id="rId110" ref="D114"/>
    <hyperlink r:id="rId111" ref="D115"/>
    <hyperlink r:id="rId112" ref="D116"/>
    <hyperlink r:id="rId113" ref="D117"/>
    <hyperlink r:id="rId114" ref="D118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ref="D129"/>
    <hyperlink r:id="rId126" ref="D130"/>
    <hyperlink r:id="rId127" ref="D131"/>
    <hyperlink r:id="rId128" ref="D132"/>
    <hyperlink r:id="rId129" ref="D133"/>
    <hyperlink r:id="rId130" ref="D134"/>
    <hyperlink r:id="rId131" ref="D135"/>
    <hyperlink r:id="rId132" ref="D136"/>
    <hyperlink r:id="rId133" ref="D137"/>
    <hyperlink r:id="rId134" ref="D138"/>
    <hyperlink r:id="rId135" ref="D139"/>
    <hyperlink r:id="rId136" ref="D140"/>
    <hyperlink r:id="rId137" ref="D141"/>
    <hyperlink r:id="rId138" ref="D142"/>
    <hyperlink r:id="rId139" ref="D143"/>
    <hyperlink r:id="rId140" ref="D144"/>
    <hyperlink r:id="rId141" ref="D145"/>
    <hyperlink r:id="rId142" ref="D146"/>
    <hyperlink r:id="rId143" ref="D147"/>
    <hyperlink r:id="rId144" ref="D148"/>
    <hyperlink r:id="rId145" ref="D149"/>
    <hyperlink r:id="rId146" ref="D150"/>
    <hyperlink r:id="rId147" ref="D151"/>
    <hyperlink r:id="rId148" ref="D152"/>
    <hyperlink r:id="rId149" ref="D153"/>
    <hyperlink r:id="rId150" ref="D154"/>
    <hyperlink r:id="rId151" ref="D155"/>
    <hyperlink r:id="rId152" ref="D156"/>
    <hyperlink r:id="rId153" ref="D157"/>
    <hyperlink r:id="rId154" ref="D158"/>
    <hyperlink r:id="rId155" ref="D159"/>
    <hyperlink r:id="rId156" ref="D160"/>
    <hyperlink r:id="rId157" ref="D161"/>
    <hyperlink r:id="rId158" ref="D162"/>
    <hyperlink r:id="rId159" ref="D163"/>
    <hyperlink r:id="rId160" ref="D164"/>
    <hyperlink r:id="rId161" ref="D165"/>
    <hyperlink r:id="rId162" ref="D166"/>
    <hyperlink r:id="rId163" ref="D168"/>
    <hyperlink r:id="rId164" ref="D169"/>
    <hyperlink r:id="rId165" ref="D170"/>
    <hyperlink r:id="rId166" ref="D171"/>
    <hyperlink r:id="rId167" ref="D172"/>
    <hyperlink r:id="rId168" ref="D173"/>
    <hyperlink r:id="rId169" ref="D174"/>
    <hyperlink r:id="rId170" ref="D175"/>
    <hyperlink r:id="rId171" ref="D176"/>
    <hyperlink r:id="rId172" ref="D177"/>
    <hyperlink r:id="rId173" ref="D178"/>
    <hyperlink r:id="rId174" ref="D179"/>
    <hyperlink r:id="rId175" ref="D180"/>
    <hyperlink r:id="rId176" ref="D181"/>
    <hyperlink r:id="rId177" ref="D182"/>
    <hyperlink r:id="rId178" ref="D183"/>
    <hyperlink r:id="rId179" ref="D184"/>
    <hyperlink r:id="rId180" ref="D185"/>
    <hyperlink r:id="rId181" ref="D186"/>
    <hyperlink r:id="rId182" ref="D187"/>
    <hyperlink r:id="rId183" ref="D188"/>
    <hyperlink r:id="rId184" ref="D189"/>
    <hyperlink r:id="rId185" ref="D190"/>
    <hyperlink r:id="rId186" ref="D191"/>
    <hyperlink r:id="rId187" ref="D192"/>
    <hyperlink r:id="rId188" ref="D193"/>
    <hyperlink r:id="rId189" ref="D194"/>
    <hyperlink r:id="rId190" ref="D195"/>
    <hyperlink r:id="rId191" ref="D196"/>
    <hyperlink r:id="rId192" ref="D197"/>
    <hyperlink r:id="rId193" ref="D198"/>
    <hyperlink r:id="rId194" ref="D199"/>
    <hyperlink r:id="rId195" ref="D200"/>
    <hyperlink r:id="rId196" ref="D201"/>
    <hyperlink r:id="rId197" ref="D202"/>
    <hyperlink r:id="rId198" ref="D203"/>
    <hyperlink r:id="rId199" ref="D204"/>
    <hyperlink r:id="rId200" ref="D205"/>
    <hyperlink r:id="rId201" ref="D206"/>
    <hyperlink r:id="rId202" ref="D207"/>
    <hyperlink r:id="rId203" ref="D208"/>
    <hyperlink r:id="rId204" ref="D209"/>
    <hyperlink r:id="rId205" ref="D210"/>
    <hyperlink r:id="rId206" ref="D211"/>
    <hyperlink r:id="rId207" ref="D212"/>
    <hyperlink r:id="rId208" ref="D213"/>
    <hyperlink r:id="rId209" ref="D214"/>
    <hyperlink r:id="rId210" ref="D215"/>
    <hyperlink r:id="rId211" ref="D216"/>
    <hyperlink r:id="rId212" ref="D217"/>
    <hyperlink r:id="rId213" ref="D218"/>
    <hyperlink r:id="rId214" ref="D219"/>
    <hyperlink r:id="rId215" ref="D220"/>
    <hyperlink r:id="rId216" ref="D221"/>
    <hyperlink r:id="rId217" ref="D222"/>
    <hyperlink r:id="rId218" ref="D223"/>
    <hyperlink r:id="rId219" ref="D224"/>
    <hyperlink r:id="rId220" ref="D225"/>
    <hyperlink r:id="rId221" ref="D226"/>
    <hyperlink r:id="rId222" ref="D227"/>
    <hyperlink r:id="rId223" ref="D228"/>
    <hyperlink r:id="rId224" ref="D229"/>
    <hyperlink r:id="rId225" ref="D230"/>
    <hyperlink r:id="rId226" ref="D231"/>
    <hyperlink r:id="rId227" ref="D232"/>
    <hyperlink r:id="rId228" ref="D233"/>
    <hyperlink r:id="rId229" ref="D234"/>
    <hyperlink r:id="rId230" ref="D235"/>
    <hyperlink r:id="rId231" ref="D236"/>
    <hyperlink r:id="rId232" ref="D237"/>
    <hyperlink r:id="rId233" ref="D238"/>
    <hyperlink r:id="rId234" ref="D239"/>
    <hyperlink r:id="rId235" ref="D240"/>
    <hyperlink r:id="rId236" ref="D241"/>
    <hyperlink r:id="rId237" ref="D242"/>
    <hyperlink r:id="rId238" ref="D243"/>
    <hyperlink r:id="rId239" ref="D244"/>
    <hyperlink r:id="rId240" ref="D245"/>
    <hyperlink r:id="rId241" ref="D246"/>
    <hyperlink r:id="rId242" ref="D247"/>
    <hyperlink r:id="rId243" ref="D248"/>
    <hyperlink r:id="rId244" ref="D249"/>
    <hyperlink r:id="rId245" ref="D250"/>
    <hyperlink r:id="rId246" ref="D251"/>
    <hyperlink r:id="rId247" ref="D252"/>
    <hyperlink r:id="rId248" ref="D253"/>
    <hyperlink r:id="rId249" ref="D254"/>
    <hyperlink r:id="rId250" ref="D255"/>
    <hyperlink r:id="rId251" ref="D256"/>
    <hyperlink r:id="rId252" ref="D257"/>
    <hyperlink r:id="rId253" ref="D258"/>
    <hyperlink r:id="rId254" ref="D259"/>
    <hyperlink r:id="rId255" ref="D260"/>
    <hyperlink r:id="rId256" ref="D261"/>
    <hyperlink r:id="rId257" ref="D262"/>
    <hyperlink r:id="rId258" ref="D263"/>
    <hyperlink r:id="rId259" ref="D264"/>
    <hyperlink r:id="rId260" ref="D265"/>
    <hyperlink r:id="rId261" ref="D266"/>
    <hyperlink r:id="rId262" ref="D267"/>
    <hyperlink r:id="rId263" ref="D268"/>
    <hyperlink r:id="rId264" ref="D269"/>
    <hyperlink r:id="rId265" ref="D270"/>
    <hyperlink r:id="rId266" ref="D271"/>
    <hyperlink r:id="rId267" ref="D272"/>
    <hyperlink r:id="rId268" ref="D273"/>
    <hyperlink r:id="rId269" ref="D274"/>
    <hyperlink r:id="rId270" ref="D275"/>
    <hyperlink r:id="rId271" ref="D276"/>
    <hyperlink r:id="rId272" ref="D277"/>
    <hyperlink r:id="rId273" ref="D278"/>
    <hyperlink r:id="rId274" ref="D279"/>
    <hyperlink r:id="rId275" ref="D280"/>
    <hyperlink r:id="rId276" ref="D281"/>
    <hyperlink r:id="rId277" ref="D282"/>
    <hyperlink r:id="rId278" ref="D283"/>
    <hyperlink r:id="rId279" ref="D284"/>
    <hyperlink r:id="rId280" ref="D285"/>
    <hyperlink r:id="rId281" ref="D286"/>
    <hyperlink r:id="rId282" ref="D287"/>
    <hyperlink r:id="rId283" ref="D288"/>
    <hyperlink r:id="rId284" ref="D289"/>
    <hyperlink r:id="rId285" ref="D290"/>
    <hyperlink r:id="rId286" ref="D291"/>
    <hyperlink r:id="rId287" ref="D292"/>
    <hyperlink r:id="rId288" ref="D293"/>
    <hyperlink r:id="rId289" ref="D294"/>
    <hyperlink r:id="rId290" ref="D295"/>
    <hyperlink r:id="rId291" ref="D296"/>
    <hyperlink r:id="rId292" ref="D297"/>
    <hyperlink r:id="rId293" ref="D298"/>
    <hyperlink r:id="rId294" ref="D299"/>
    <hyperlink r:id="rId295" ref="D300"/>
    <hyperlink r:id="rId296" ref="D301"/>
    <hyperlink r:id="rId297" ref="D302"/>
    <hyperlink r:id="rId298" ref="D303"/>
    <hyperlink r:id="rId299" ref="D304"/>
    <hyperlink r:id="rId300" ref="D305"/>
    <hyperlink r:id="rId301" ref="D306"/>
    <hyperlink r:id="rId302" ref="D307"/>
    <hyperlink r:id="rId303" ref="D308"/>
    <hyperlink r:id="rId304" ref="D309"/>
    <hyperlink r:id="rId305" ref="D310"/>
    <hyperlink r:id="rId306" ref="D311"/>
    <hyperlink r:id="rId307" ref="D312"/>
    <hyperlink r:id="rId308" ref="D313"/>
    <hyperlink r:id="rId309" ref="D314"/>
    <hyperlink r:id="rId310" ref="D315"/>
    <hyperlink r:id="rId311" ref="D316"/>
    <hyperlink r:id="rId312" ref="D317"/>
    <hyperlink r:id="rId313" ref="D318"/>
    <hyperlink r:id="rId314" ref="D319"/>
    <hyperlink r:id="rId315" ref="D320"/>
    <hyperlink r:id="rId316" ref="D321"/>
    <hyperlink r:id="rId317" ref="D322"/>
    <hyperlink r:id="rId318" ref="D323"/>
    <hyperlink r:id="rId319" ref="D324"/>
    <hyperlink r:id="rId320" ref="D325"/>
    <hyperlink r:id="rId321" ref="D326"/>
    <hyperlink r:id="rId322" ref="D327"/>
    <hyperlink r:id="rId323" ref="D328"/>
    <hyperlink r:id="rId324" ref="D329"/>
    <hyperlink r:id="rId325" ref="D330"/>
    <hyperlink r:id="rId326" ref="D331"/>
    <hyperlink r:id="rId327" ref="D332"/>
    <hyperlink r:id="rId328" ref="D333"/>
    <hyperlink r:id="rId329" ref="D334"/>
    <hyperlink r:id="rId330" ref="D335"/>
    <hyperlink r:id="rId331" ref="D336"/>
    <hyperlink r:id="rId332" ref="D337"/>
    <hyperlink r:id="rId333" ref="D338"/>
    <hyperlink r:id="rId334" ref="D339"/>
    <hyperlink r:id="rId335" ref="D340"/>
    <hyperlink r:id="rId336" ref="D341"/>
    <hyperlink r:id="rId337" ref="D342"/>
    <hyperlink r:id="rId338" ref="D343"/>
    <hyperlink r:id="rId339" ref="D344"/>
    <hyperlink r:id="rId340" ref="D345"/>
    <hyperlink r:id="rId341" ref="D346"/>
    <hyperlink r:id="rId342" ref="D347"/>
    <hyperlink r:id="rId343" ref="D348"/>
    <hyperlink r:id="rId344" ref="D349"/>
    <hyperlink r:id="rId345" ref="D350"/>
    <hyperlink r:id="rId346" ref="D351"/>
    <hyperlink r:id="rId347" ref="D352"/>
    <hyperlink r:id="rId348" ref="D353"/>
    <hyperlink r:id="rId349" ref="D354"/>
    <hyperlink r:id="rId350" ref="D355"/>
    <hyperlink r:id="rId351" ref="D356"/>
    <hyperlink r:id="rId352" ref="D357"/>
    <hyperlink r:id="rId353" ref="D358"/>
    <hyperlink r:id="rId354" ref="D359"/>
    <hyperlink r:id="rId355" ref="D360"/>
    <hyperlink r:id="rId356" ref="D361"/>
    <hyperlink r:id="rId357" ref="D362"/>
    <hyperlink r:id="rId358" ref="D363"/>
    <hyperlink r:id="rId359" ref="D364"/>
    <hyperlink r:id="rId360" ref="D365"/>
    <hyperlink r:id="rId361" ref="D366"/>
    <hyperlink r:id="rId362" ref="D367"/>
    <hyperlink r:id="rId363" ref="D368"/>
    <hyperlink r:id="rId364" ref="D369"/>
    <hyperlink r:id="rId365" ref="D370"/>
    <hyperlink r:id="rId366" ref="D371"/>
    <hyperlink r:id="rId367" ref="D372"/>
    <hyperlink r:id="rId368" ref="D373"/>
    <hyperlink r:id="rId369" ref="D374"/>
    <hyperlink r:id="rId370" ref="D375"/>
    <hyperlink r:id="rId371" ref="D376"/>
    <hyperlink r:id="rId372" ref="D377"/>
    <hyperlink r:id="rId373" ref="D378"/>
    <hyperlink r:id="rId374" ref="D379"/>
    <hyperlink r:id="rId375" ref="D380"/>
    <hyperlink r:id="rId376" ref="D381"/>
    <hyperlink r:id="rId377" ref="D382"/>
    <hyperlink r:id="rId378" ref="D383"/>
    <hyperlink r:id="rId379" ref="D384"/>
    <hyperlink r:id="rId380" ref="D385"/>
    <hyperlink r:id="rId381" ref="D386"/>
    <hyperlink r:id="rId382" ref="D387"/>
    <hyperlink r:id="rId383" ref="D388"/>
    <hyperlink r:id="rId384" ref="D389"/>
    <hyperlink r:id="rId385" ref="D390"/>
    <hyperlink r:id="rId386" ref="D391"/>
    <hyperlink r:id="rId387" ref="D392"/>
    <hyperlink r:id="rId388" ref="D393"/>
    <hyperlink r:id="rId389" ref="D394"/>
    <hyperlink r:id="rId390" ref="D395"/>
    <hyperlink r:id="rId391" ref="D396"/>
    <hyperlink r:id="rId392" ref="D397"/>
    <hyperlink r:id="rId393" ref="D398"/>
    <hyperlink r:id="rId394" ref="D399"/>
    <hyperlink r:id="rId395" ref="D400"/>
    <hyperlink r:id="rId396" ref="D401"/>
    <hyperlink r:id="rId397" ref="D402"/>
    <hyperlink r:id="rId398" ref="D403"/>
    <hyperlink r:id="rId399" ref="D404"/>
    <hyperlink r:id="rId400" ref="D405"/>
    <hyperlink r:id="rId401" ref="D406"/>
    <hyperlink r:id="rId402" ref="D407"/>
    <hyperlink r:id="rId403" ref="D408"/>
    <hyperlink r:id="rId404" ref="D409"/>
    <hyperlink r:id="rId405" ref="D410"/>
    <hyperlink r:id="rId406" ref="D411"/>
    <hyperlink r:id="rId407" ref="D412"/>
    <hyperlink r:id="rId408" ref="D413"/>
    <hyperlink r:id="rId409" ref="D414"/>
    <hyperlink r:id="rId410" ref="D415"/>
    <hyperlink r:id="rId411" ref="D416"/>
    <hyperlink r:id="rId412" ref="D417"/>
    <hyperlink r:id="rId413" ref="D418"/>
    <hyperlink r:id="rId414" ref="D419"/>
    <hyperlink r:id="rId415" ref="D420"/>
    <hyperlink r:id="rId416" ref="D421"/>
    <hyperlink r:id="rId417" ref="D422"/>
    <hyperlink r:id="rId418" ref="D423"/>
    <hyperlink r:id="rId419" ref="D424"/>
    <hyperlink r:id="rId420" ref="D425"/>
    <hyperlink r:id="rId421" ref="D426"/>
    <hyperlink r:id="rId422" ref="D427"/>
    <hyperlink r:id="rId423" ref="D428"/>
    <hyperlink r:id="rId424" ref="D429"/>
    <hyperlink r:id="rId425" ref="D430"/>
    <hyperlink r:id="rId426" ref="D431"/>
    <hyperlink r:id="rId427" ref="D432"/>
    <hyperlink r:id="rId428" ref="D433"/>
    <hyperlink r:id="rId429" ref="D434"/>
    <hyperlink r:id="rId430" ref="D435"/>
    <hyperlink r:id="rId431" ref="D436"/>
    <hyperlink r:id="rId432" ref="D437"/>
    <hyperlink r:id="rId433" ref="D438"/>
    <hyperlink r:id="rId434" ref="D439"/>
    <hyperlink r:id="rId435" ref="D440"/>
    <hyperlink r:id="rId436" ref="D441"/>
    <hyperlink r:id="rId437" ref="D442"/>
    <hyperlink r:id="rId438" ref="D443"/>
    <hyperlink r:id="rId439" ref="D444"/>
    <hyperlink r:id="rId440" ref="D445"/>
    <hyperlink r:id="rId441" ref="D446"/>
    <hyperlink r:id="rId442" ref="D447"/>
    <hyperlink r:id="rId443" ref="D448"/>
    <hyperlink r:id="rId444" ref="D449"/>
    <hyperlink r:id="rId445" ref="D450"/>
    <hyperlink r:id="rId446" ref="D451"/>
    <hyperlink r:id="rId447" ref="D452"/>
    <hyperlink r:id="rId448" ref="D453"/>
    <hyperlink r:id="rId449" ref="D454"/>
    <hyperlink r:id="rId450" ref="D455"/>
    <hyperlink r:id="rId451" ref="D456"/>
    <hyperlink r:id="rId452" ref="D457"/>
    <hyperlink r:id="rId453" ref="D458"/>
    <hyperlink r:id="rId454" ref="D459"/>
    <hyperlink r:id="rId455" ref="D460"/>
    <hyperlink r:id="rId456" ref="D461"/>
    <hyperlink r:id="rId457" ref="D462"/>
    <hyperlink r:id="rId458" ref="D463"/>
    <hyperlink r:id="rId459" ref="D464"/>
    <hyperlink r:id="rId460" ref="D465"/>
    <hyperlink r:id="rId461" ref="D466"/>
    <hyperlink r:id="rId462" ref="D467"/>
    <hyperlink r:id="rId463" ref="D468"/>
    <hyperlink r:id="rId464" ref="D469"/>
    <hyperlink r:id="rId465" ref="D470"/>
    <hyperlink r:id="rId466" ref="D471"/>
    <hyperlink r:id="rId467" ref="D472"/>
    <hyperlink r:id="rId468" ref="D473"/>
    <hyperlink r:id="rId469" ref="D474"/>
    <hyperlink r:id="rId470" ref="D475"/>
    <hyperlink r:id="rId471" ref="D476"/>
    <hyperlink r:id="rId472" ref="D477"/>
    <hyperlink r:id="rId473" ref="D478"/>
    <hyperlink r:id="rId474" ref="D479"/>
    <hyperlink r:id="rId475" ref="D480"/>
    <hyperlink r:id="rId476" ref="D481"/>
    <hyperlink r:id="rId477" ref="D482"/>
    <hyperlink r:id="rId478" ref="D483"/>
    <hyperlink r:id="rId479" ref="D484"/>
    <hyperlink r:id="rId480" ref="D485"/>
    <hyperlink r:id="rId481" ref="D486"/>
    <hyperlink r:id="rId482" ref="D487"/>
    <hyperlink r:id="rId483" ref="D488"/>
    <hyperlink r:id="rId484" ref="D489"/>
    <hyperlink r:id="rId485" ref="D490"/>
    <hyperlink r:id="rId486" ref="D491"/>
    <hyperlink r:id="rId487" ref="D492"/>
    <hyperlink r:id="rId488" ref="D493"/>
    <hyperlink r:id="rId489" ref="D494"/>
    <hyperlink r:id="rId490" ref="D495"/>
    <hyperlink r:id="rId491" ref="D496"/>
    <hyperlink r:id="rId492" ref="D497"/>
    <hyperlink r:id="rId493" ref="D498"/>
    <hyperlink r:id="rId494" ref="D499"/>
    <hyperlink r:id="rId495" ref="D500"/>
    <hyperlink r:id="rId496" ref="D501"/>
    <hyperlink r:id="rId497" ref="D502"/>
  </hyperlinks>
  <drawing r:id="rId49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8.43"/>
    <col customWidth="1" min="3" max="3" width="35.0"/>
    <col customWidth="1" min="4" max="4" width="59.14"/>
    <col customWidth="1" min="5" max="5" width="19.71"/>
  </cols>
  <sheetData>
    <row r="1">
      <c r="A1" s="304" t="s">
        <v>633</v>
      </c>
      <c r="B1" s="305" t="s">
        <v>409</v>
      </c>
      <c r="C1" s="305" t="s">
        <v>634</v>
      </c>
      <c r="D1" s="306" t="s">
        <v>635</v>
      </c>
      <c r="E1" s="304" t="s">
        <v>13</v>
      </c>
      <c r="F1" s="304" t="s">
        <v>639</v>
      </c>
      <c r="G1" s="304" t="s">
        <v>1195</v>
      </c>
    </row>
    <row r="2">
      <c r="A2" s="307">
        <v>1.0</v>
      </c>
      <c r="B2" s="167" t="s">
        <v>417</v>
      </c>
      <c r="C2" s="167" t="s">
        <v>418</v>
      </c>
      <c r="D2" s="308" t="s">
        <v>419</v>
      </c>
      <c r="F2" s="307">
        <v>11.0</v>
      </c>
      <c r="G2" s="167" t="s">
        <v>1196</v>
      </c>
    </row>
    <row r="3">
      <c r="A3" s="307">
        <v>2.0</v>
      </c>
      <c r="B3" s="167" t="s">
        <v>421</v>
      </c>
      <c r="C3" s="167" t="s">
        <v>422</v>
      </c>
      <c r="D3" s="308" t="s">
        <v>423</v>
      </c>
      <c r="F3" s="307">
        <v>122.9</v>
      </c>
      <c r="G3" s="167" t="s">
        <v>1197</v>
      </c>
    </row>
    <row r="4">
      <c r="A4" s="307">
        <v>3.0</v>
      </c>
      <c r="B4" s="167" t="s">
        <v>424</v>
      </c>
      <c r="C4" s="167" t="s">
        <v>422</v>
      </c>
      <c r="D4" s="308" t="s">
        <v>425</v>
      </c>
      <c r="F4" s="307">
        <v>42.3</v>
      </c>
      <c r="G4" s="167" t="s">
        <v>1198</v>
      </c>
      <c r="J4" s="309"/>
    </row>
    <row r="5">
      <c r="A5" s="307">
        <v>4.0</v>
      </c>
      <c r="B5" s="167" t="s">
        <v>424</v>
      </c>
      <c r="C5" s="167" t="s">
        <v>422</v>
      </c>
      <c r="D5" s="308" t="s">
        <v>643</v>
      </c>
      <c r="F5" s="307">
        <v>63.3</v>
      </c>
    </row>
    <row r="6">
      <c r="A6" s="307">
        <v>5.0</v>
      </c>
      <c r="B6" s="167" t="s">
        <v>424</v>
      </c>
      <c r="C6" s="167" t="s">
        <v>422</v>
      </c>
      <c r="D6" s="308" t="s">
        <v>644</v>
      </c>
      <c r="F6" s="307">
        <v>101.4</v>
      </c>
    </row>
    <row r="7">
      <c r="A7" s="307">
        <v>6.0</v>
      </c>
      <c r="B7" s="167" t="s">
        <v>424</v>
      </c>
      <c r="C7" s="167" t="s">
        <v>422</v>
      </c>
      <c r="D7" s="308" t="s">
        <v>645</v>
      </c>
      <c r="F7" s="307">
        <v>14.9</v>
      </c>
      <c r="J7" s="309"/>
    </row>
    <row r="8">
      <c r="A8" s="307">
        <v>7.0</v>
      </c>
      <c r="B8" s="167" t="s">
        <v>426</v>
      </c>
      <c r="C8" s="167" t="s">
        <v>422</v>
      </c>
      <c r="D8" s="308" t="s">
        <v>646</v>
      </c>
      <c r="F8" s="307">
        <v>64.6</v>
      </c>
    </row>
    <row r="9">
      <c r="A9" s="307">
        <v>8.0</v>
      </c>
      <c r="B9" s="167" t="s">
        <v>428</v>
      </c>
      <c r="C9" s="167" t="s">
        <v>422</v>
      </c>
      <c r="D9" s="308" t="s">
        <v>429</v>
      </c>
      <c r="F9" s="307">
        <v>203.7</v>
      </c>
    </row>
    <row r="10">
      <c r="A10" s="307">
        <v>9.0</v>
      </c>
      <c r="B10" s="167" t="s">
        <v>431</v>
      </c>
      <c r="C10" s="167" t="s">
        <v>422</v>
      </c>
      <c r="D10" s="308" t="s">
        <v>432</v>
      </c>
      <c r="F10" s="307">
        <v>3.633</v>
      </c>
      <c r="H10" s="309"/>
    </row>
    <row r="11">
      <c r="A11" s="307">
        <v>10.0</v>
      </c>
      <c r="B11" s="167" t="s">
        <v>431</v>
      </c>
      <c r="C11" s="167" t="s">
        <v>422</v>
      </c>
      <c r="D11" s="308" t="s">
        <v>648</v>
      </c>
      <c r="F11" s="307">
        <v>4.033</v>
      </c>
    </row>
    <row r="12">
      <c r="A12" s="307">
        <v>11.0</v>
      </c>
      <c r="B12" s="167" t="s">
        <v>431</v>
      </c>
      <c r="C12" s="167" t="s">
        <v>422</v>
      </c>
      <c r="D12" s="308" t="s">
        <v>649</v>
      </c>
      <c r="F12" s="307">
        <v>4.7</v>
      </c>
    </row>
    <row r="13">
      <c r="A13" s="307">
        <v>12.0</v>
      </c>
      <c r="B13" s="167" t="s">
        <v>433</v>
      </c>
      <c r="C13" s="167" t="s">
        <v>422</v>
      </c>
      <c r="D13" s="308" t="s">
        <v>434</v>
      </c>
      <c r="F13" s="307">
        <v>737.6</v>
      </c>
    </row>
    <row r="14">
      <c r="A14" s="307">
        <v>13.0</v>
      </c>
      <c r="B14" s="167" t="s">
        <v>435</v>
      </c>
      <c r="C14" s="167" t="s">
        <v>422</v>
      </c>
      <c r="D14" s="308" t="s">
        <v>650</v>
      </c>
      <c r="F14" s="307">
        <v>57.1</v>
      </c>
    </row>
    <row r="15">
      <c r="A15" s="307">
        <v>14.0</v>
      </c>
      <c r="B15" s="167" t="s">
        <v>437</v>
      </c>
      <c r="C15" s="167" t="s">
        <v>422</v>
      </c>
      <c r="D15" s="308" t="s">
        <v>651</v>
      </c>
      <c r="F15" s="307">
        <v>181.3</v>
      </c>
      <c r="H15" s="309"/>
      <c r="J15" s="309"/>
    </row>
    <row r="16">
      <c r="A16" s="307">
        <v>15.0</v>
      </c>
      <c r="B16" s="167" t="s">
        <v>437</v>
      </c>
      <c r="C16" s="167" t="s">
        <v>422</v>
      </c>
      <c r="D16" s="308" t="s">
        <v>652</v>
      </c>
      <c r="F16" s="307">
        <v>87.2</v>
      </c>
    </row>
    <row r="17">
      <c r="A17" s="307">
        <v>16.0</v>
      </c>
      <c r="B17" s="167" t="s">
        <v>437</v>
      </c>
      <c r="C17" s="167" t="s">
        <v>422</v>
      </c>
      <c r="D17" s="308" t="s">
        <v>653</v>
      </c>
      <c r="F17" s="307">
        <v>470.2</v>
      </c>
      <c r="H17" s="309"/>
    </row>
    <row r="18">
      <c r="A18" s="307">
        <v>17.0</v>
      </c>
      <c r="B18" s="167" t="s">
        <v>437</v>
      </c>
      <c r="C18" s="167" t="s">
        <v>422</v>
      </c>
      <c r="D18" s="308" t="s">
        <v>654</v>
      </c>
      <c r="F18" s="307">
        <v>98.2</v>
      </c>
    </row>
    <row r="19">
      <c r="A19" s="307">
        <v>18.0</v>
      </c>
      <c r="B19" s="167" t="s">
        <v>437</v>
      </c>
      <c r="C19" s="167" t="s">
        <v>422</v>
      </c>
      <c r="D19" s="308" t="s">
        <v>655</v>
      </c>
      <c r="F19" s="307">
        <v>75.1</v>
      </c>
      <c r="H19" s="309"/>
      <c r="J19" s="309"/>
    </row>
    <row r="20">
      <c r="A20" s="307">
        <v>19.0</v>
      </c>
      <c r="B20" s="167" t="s">
        <v>437</v>
      </c>
      <c r="C20" s="167" t="s">
        <v>422</v>
      </c>
      <c r="D20" s="308" t="s">
        <v>656</v>
      </c>
      <c r="F20" s="307">
        <v>108.1</v>
      </c>
    </row>
    <row r="21">
      <c r="A21" s="307">
        <v>20.0</v>
      </c>
      <c r="B21" s="167" t="s">
        <v>437</v>
      </c>
      <c r="C21" s="167" t="s">
        <v>422</v>
      </c>
      <c r="D21" s="308" t="s">
        <v>657</v>
      </c>
      <c r="F21" s="307">
        <v>53.0</v>
      </c>
    </row>
    <row r="22">
      <c r="A22" s="307">
        <v>21.0</v>
      </c>
      <c r="B22" s="167" t="s">
        <v>437</v>
      </c>
      <c r="C22" s="167" t="s">
        <v>422</v>
      </c>
      <c r="D22" s="308" t="s">
        <v>658</v>
      </c>
      <c r="F22" s="307">
        <v>870.3</v>
      </c>
      <c r="J22" s="309"/>
    </row>
    <row r="23">
      <c r="A23" s="307">
        <v>22.0</v>
      </c>
      <c r="B23" s="167" t="s">
        <v>437</v>
      </c>
      <c r="C23" s="167" t="s">
        <v>422</v>
      </c>
      <c r="D23" s="308" t="s">
        <v>659</v>
      </c>
      <c r="F23" s="307">
        <v>128.9</v>
      </c>
    </row>
    <row r="24">
      <c r="A24" s="307">
        <v>23.0</v>
      </c>
      <c r="B24" s="167" t="s">
        <v>439</v>
      </c>
      <c r="C24" s="167" t="s">
        <v>422</v>
      </c>
      <c r="D24" s="308" t="s">
        <v>660</v>
      </c>
      <c r="F24" s="307">
        <v>122.0</v>
      </c>
      <c r="H24" s="309"/>
      <c r="J24" s="309"/>
    </row>
    <row r="25">
      <c r="A25" s="307">
        <v>24.0</v>
      </c>
      <c r="B25" s="167" t="s">
        <v>439</v>
      </c>
      <c r="C25" s="167" t="s">
        <v>422</v>
      </c>
      <c r="D25" s="308" t="s">
        <v>661</v>
      </c>
      <c r="F25" s="307">
        <v>15.1</v>
      </c>
      <c r="J25" s="309"/>
    </row>
    <row r="26">
      <c r="A26" s="307">
        <v>25.0</v>
      </c>
      <c r="B26" s="167" t="s">
        <v>439</v>
      </c>
      <c r="C26" s="167" t="s">
        <v>422</v>
      </c>
      <c r="D26" s="308" t="s">
        <v>662</v>
      </c>
      <c r="F26" s="307">
        <v>343.3</v>
      </c>
      <c r="H26" s="309"/>
    </row>
    <row r="27">
      <c r="A27" s="307">
        <v>26.0</v>
      </c>
      <c r="B27" s="167" t="s">
        <v>441</v>
      </c>
      <c r="C27" s="167" t="s">
        <v>422</v>
      </c>
      <c r="D27" s="308" t="s">
        <v>442</v>
      </c>
      <c r="F27" s="307">
        <v>677.9</v>
      </c>
    </row>
    <row r="28">
      <c r="A28" s="307">
        <v>27.0</v>
      </c>
      <c r="B28" s="167" t="s">
        <v>441</v>
      </c>
      <c r="C28" s="167" t="s">
        <v>422</v>
      </c>
      <c r="D28" s="308" t="s">
        <v>663</v>
      </c>
      <c r="F28" s="307">
        <v>265.0</v>
      </c>
      <c r="H28" s="309"/>
    </row>
    <row r="29">
      <c r="A29" s="307">
        <v>28.0</v>
      </c>
      <c r="B29" s="167" t="s">
        <v>443</v>
      </c>
      <c r="C29" s="167" t="s">
        <v>422</v>
      </c>
      <c r="D29" s="308" t="s">
        <v>664</v>
      </c>
      <c r="F29" s="307">
        <v>2200.0</v>
      </c>
      <c r="H29" s="309"/>
      <c r="J29" s="309"/>
    </row>
    <row r="30">
      <c r="A30" s="307">
        <v>29.0</v>
      </c>
      <c r="B30" s="167" t="s">
        <v>443</v>
      </c>
      <c r="C30" s="167" t="s">
        <v>422</v>
      </c>
      <c r="D30" s="308" t="s">
        <v>665</v>
      </c>
      <c r="F30" s="307">
        <v>1100.0</v>
      </c>
      <c r="H30" s="309"/>
    </row>
    <row r="31">
      <c r="A31" s="307">
        <v>30.0</v>
      </c>
      <c r="B31" s="167" t="s">
        <v>443</v>
      </c>
      <c r="C31" s="167" t="s">
        <v>422</v>
      </c>
      <c r="D31" s="308" t="s">
        <v>666</v>
      </c>
      <c r="F31" s="307">
        <v>185.4</v>
      </c>
      <c r="H31" s="309"/>
      <c r="J31" s="309"/>
    </row>
    <row r="32">
      <c r="A32" s="307">
        <v>31.0</v>
      </c>
      <c r="B32" s="167" t="s">
        <v>443</v>
      </c>
      <c r="C32" s="167" t="s">
        <v>422</v>
      </c>
      <c r="D32" s="308" t="s">
        <v>667</v>
      </c>
      <c r="F32" s="307">
        <v>140.9</v>
      </c>
      <c r="H32" s="309"/>
      <c r="J32" s="309"/>
    </row>
    <row r="33">
      <c r="A33" s="307">
        <v>32.0</v>
      </c>
      <c r="B33" s="167" t="s">
        <v>443</v>
      </c>
      <c r="C33" s="167" t="s">
        <v>422</v>
      </c>
      <c r="D33" s="308" t="s">
        <v>668</v>
      </c>
      <c r="F33" s="307">
        <v>343.6</v>
      </c>
      <c r="H33" s="309"/>
    </row>
    <row r="34">
      <c r="A34" s="307">
        <v>33.0</v>
      </c>
      <c r="B34" s="167" t="s">
        <v>443</v>
      </c>
      <c r="C34" s="167" t="s">
        <v>422</v>
      </c>
      <c r="D34" s="308" t="s">
        <v>669</v>
      </c>
      <c r="F34" s="307">
        <v>233.5</v>
      </c>
      <c r="J34" s="309"/>
    </row>
    <row r="35">
      <c r="A35" s="307">
        <v>34.0</v>
      </c>
      <c r="B35" s="167" t="s">
        <v>443</v>
      </c>
      <c r="C35" s="167" t="s">
        <v>422</v>
      </c>
      <c r="D35" s="308" t="s">
        <v>670</v>
      </c>
      <c r="F35" s="307">
        <v>656.7</v>
      </c>
      <c r="H35" s="309"/>
      <c r="J35" s="309"/>
    </row>
    <row r="36">
      <c r="A36" s="307">
        <v>35.0</v>
      </c>
      <c r="B36" s="167" t="s">
        <v>446</v>
      </c>
      <c r="C36" s="167" t="s">
        <v>422</v>
      </c>
      <c r="D36" s="308" t="s">
        <v>447</v>
      </c>
      <c r="F36" s="307">
        <v>26.4</v>
      </c>
      <c r="H36" s="309"/>
      <c r="J36" s="309"/>
    </row>
    <row r="37">
      <c r="A37" s="307">
        <v>36.0</v>
      </c>
      <c r="B37" s="167" t="s">
        <v>448</v>
      </c>
      <c r="C37" s="167" t="s">
        <v>422</v>
      </c>
      <c r="D37" s="308" t="s">
        <v>449</v>
      </c>
      <c r="F37" s="307">
        <v>526.8</v>
      </c>
      <c r="H37" s="309"/>
      <c r="J37" s="309"/>
    </row>
    <row r="38">
      <c r="A38" s="307">
        <v>37.0</v>
      </c>
      <c r="B38" s="167" t="s">
        <v>448</v>
      </c>
      <c r="C38" s="167" t="s">
        <v>422</v>
      </c>
      <c r="D38" s="308" t="s">
        <v>671</v>
      </c>
      <c r="F38" s="307">
        <v>416.0</v>
      </c>
    </row>
    <row r="39">
      <c r="A39" s="307">
        <v>38.0</v>
      </c>
      <c r="B39" s="167" t="s">
        <v>448</v>
      </c>
      <c r="C39" s="167" t="s">
        <v>422</v>
      </c>
      <c r="D39" s="308" t="s">
        <v>672</v>
      </c>
      <c r="F39" s="307">
        <v>276.6</v>
      </c>
      <c r="H39" s="309"/>
      <c r="J39" s="309"/>
    </row>
    <row r="40">
      <c r="A40" s="307">
        <v>39.0</v>
      </c>
      <c r="B40" s="167" t="s">
        <v>448</v>
      </c>
      <c r="C40" s="167" t="s">
        <v>422</v>
      </c>
      <c r="D40" s="308" t="s">
        <v>673</v>
      </c>
      <c r="F40" s="307">
        <v>269.3</v>
      </c>
      <c r="H40" s="309"/>
      <c r="J40" s="309"/>
    </row>
    <row r="41">
      <c r="A41" s="307">
        <v>40.0</v>
      </c>
      <c r="B41" s="167" t="s">
        <v>450</v>
      </c>
      <c r="C41" s="167" t="s">
        <v>422</v>
      </c>
      <c r="D41" s="308" t="s">
        <v>451</v>
      </c>
      <c r="F41" s="307">
        <v>118.1</v>
      </c>
      <c r="H41" s="309"/>
      <c r="J41" s="309"/>
    </row>
    <row r="42">
      <c r="A42" s="307">
        <v>41.0</v>
      </c>
      <c r="B42" s="167" t="s">
        <v>452</v>
      </c>
      <c r="C42" s="167" t="s">
        <v>422</v>
      </c>
      <c r="D42" s="308" t="s">
        <v>674</v>
      </c>
      <c r="F42" s="307">
        <v>2.801</v>
      </c>
      <c r="J42" s="309"/>
    </row>
    <row r="43">
      <c r="A43" s="307">
        <v>42.0</v>
      </c>
      <c r="B43" s="167" t="s">
        <v>454</v>
      </c>
      <c r="C43" s="167" t="s">
        <v>422</v>
      </c>
      <c r="D43" s="308" t="s">
        <v>675</v>
      </c>
      <c r="F43" s="307">
        <v>174.1</v>
      </c>
      <c r="H43" s="309"/>
    </row>
    <row r="44">
      <c r="A44" s="307">
        <v>43.0</v>
      </c>
      <c r="B44" s="167" t="s">
        <v>454</v>
      </c>
      <c r="C44" s="167" t="s">
        <v>422</v>
      </c>
      <c r="D44" s="308" t="s">
        <v>676</v>
      </c>
      <c r="F44" s="307">
        <v>134.6</v>
      </c>
    </row>
    <row r="45">
      <c r="A45" s="307">
        <v>44.0</v>
      </c>
      <c r="B45" s="167" t="s">
        <v>456</v>
      </c>
      <c r="C45" s="167" t="s">
        <v>422</v>
      </c>
      <c r="D45" s="308" t="s">
        <v>677</v>
      </c>
      <c r="F45" s="307">
        <v>1100.0</v>
      </c>
      <c r="H45" s="309"/>
    </row>
    <row r="46">
      <c r="A46" s="307">
        <v>45.0</v>
      </c>
      <c r="B46" s="167" t="s">
        <v>456</v>
      </c>
      <c r="C46" s="167" t="s">
        <v>422</v>
      </c>
      <c r="D46" s="308" t="s">
        <v>678</v>
      </c>
      <c r="F46" s="307">
        <v>440.3</v>
      </c>
      <c r="J46" s="309"/>
    </row>
    <row r="47">
      <c r="A47" s="307">
        <v>46.0</v>
      </c>
      <c r="B47" s="167" t="s">
        <v>456</v>
      </c>
      <c r="C47" s="167" t="s">
        <v>422</v>
      </c>
      <c r="D47" s="308" t="s">
        <v>679</v>
      </c>
      <c r="F47" s="307">
        <v>2600.0</v>
      </c>
      <c r="H47" s="309"/>
      <c r="J47" s="309"/>
    </row>
    <row r="48">
      <c r="A48" s="307">
        <v>47.0</v>
      </c>
      <c r="B48" s="167" t="s">
        <v>458</v>
      </c>
      <c r="C48" s="167" t="s">
        <v>422</v>
      </c>
      <c r="D48" s="308" t="s">
        <v>459</v>
      </c>
      <c r="F48" s="307">
        <v>78.1</v>
      </c>
      <c r="H48" s="309"/>
    </row>
    <row r="49">
      <c r="A49" s="307">
        <v>48.0</v>
      </c>
      <c r="B49" s="167" t="s">
        <v>458</v>
      </c>
      <c r="C49" s="167" t="s">
        <v>422</v>
      </c>
      <c r="D49" s="308" t="s">
        <v>680</v>
      </c>
      <c r="F49" s="307">
        <v>143.8</v>
      </c>
      <c r="H49" s="309"/>
      <c r="J49" s="309"/>
    </row>
    <row r="50">
      <c r="A50" s="307">
        <v>49.0</v>
      </c>
      <c r="B50" s="167" t="s">
        <v>458</v>
      </c>
      <c r="C50" s="167" t="s">
        <v>422</v>
      </c>
      <c r="D50" s="308" t="s">
        <v>681</v>
      </c>
      <c r="F50" s="307">
        <v>168.5</v>
      </c>
    </row>
    <row r="51">
      <c r="A51" s="307">
        <v>50.0</v>
      </c>
      <c r="B51" s="167" t="s">
        <v>460</v>
      </c>
      <c r="C51" s="167" t="s">
        <v>422</v>
      </c>
      <c r="D51" s="308" t="s">
        <v>682</v>
      </c>
      <c r="F51" s="307">
        <v>19.7</v>
      </c>
      <c r="J51" s="309"/>
    </row>
    <row r="52">
      <c r="A52" s="307">
        <v>51.0</v>
      </c>
      <c r="B52" s="167" t="s">
        <v>462</v>
      </c>
      <c r="C52" s="167" t="s">
        <v>422</v>
      </c>
      <c r="D52" s="308" t="s">
        <v>683</v>
      </c>
      <c r="F52" s="307">
        <v>120.9</v>
      </c>
      <c r="H52" s="309"/>
    </row>
    <row r="53">
      <c r="A53" s="307">
        <v>52.0</v>
      </c>
      <c r="B53" s="167" t="s">
        <v>464</v>
      </c>
      <c r="C53" s="167" t="s">
        <v>422</v>
      </c>
      <c r="D53" s="308" t="s">
        <v>684</v>
      </c>
      <c r="F53" s="307">
        <v>20.3</v>
      </c>
    </row>
    <row r="54">
      <c r="A54" s="307">
        <v>53.0</v>
      </c>
      <c r="B54" s="167" t="s">
        <v>464</v>
      </c>
      <c r="C54" s="167" t="s">
        <v>422</v>
      </c>
      <c r="D54" s="308" t="s">
        <v>685</v>
      </c>
      <c r="F54" s="307">
        <v>105.7</v>
      </c>
      <c r="H54" s="309"/>
    </row>
    <row r="55">
      <c r="A55" s="307">
        <v>54.0</v>
      </c>
      <c r="B55" s="167" t="s">
        <v>469</v>
      </c>
      <c r="C55" s="167" t="s">
        <v>418</v>
      </c>
      <c r="D55" s="308" t="s">
        <v>470</v>
      </c>
    </row>
    <row r="56">
      <c r="A56" s="307">
        <v>55.0</v>
      </c>
      <c r="B56" s="167" t="s">
        <v>469</v>
      </c>
      <c r="C56" s="167" t="s">
        <v>510</v>
      </c>
      <c r="D56" s="308" t="s">
        <v>686</v>
      </c>
      <c r="F56" s="307">
        <v>62.82</v>
      </c>
      <c r="J56" s="309"/>
    </row>
    <row r="57">
      <c r="A57" s="307">
        <v>56.0</v>
      </c>
      <c r="B57" s="167" t="s">
        <v>471</v>
      </c>
      <c r="C57" s="167" t="s">
        <v>418</v>
      </c>
      <c r="D57" s="308" t="s">
        <v>687</v>
      </c>
      <c r="F57" s="307">
        <v>52.0</v>
      </c>
    </row>
    <row r="58">
      <c r="A58" s="307">
        <v>57.0</v>
      </c>
      <c r="B58" s="167" t="s">
        <v>473</v>
      </c>
      <c r="C58" s="167" t="s">
        <v>418</v>
      </c>
      <c r="D58" s="308" t="s">
        <v>474</v>
      </c>
      <c r="F58" s="307">
        <v>3.0</v>
      </c>
      <c r="J58" s="309"/>
    </row>
    <row r="59">
      <c r="A59" s="307">
        <v>58.0</v>
      </c>
      <c r="B59" s="167" t="s">
        <v>475</v>
      </c>
      <c r="C59" s="167" t="s">
        <v>422</v>
      </c>
      <c r="D59" s="308" t="s">
        <v>688</v>
      </c>
      <c r="F59" s="307">
        <v>83.1</v>
      </c>
      <c r="J59" s="309"/>
    </row>
    <row r="60">
      <c r="A60" s="307">
        <v>59.0</v>
      </c>
      <c r="B60" s="167" t="s">
        <v>477</v>
      </c>
      <c r="C60" s="167" t="s">
        <v>418</v>
      </c>
      <c r="D60" s="308" t="s">
        <v>689</v>
      </c>
      <c r="F60" s="307">
        <v>104.0</v>
      </c>
      <c r="H60" s="309"/>
    </row>
    <row r="61">
      <c r="A61" s="307">
        <v>60.0</v>
      </c>
      <c r="B61" s="167" t="s">
        <v>477</v>
      </c>
      <c r="C61" s="167" t="s">
        <v>422</v>
      </c>
      <c r="D61" s="308" t="s">
        <v>690</v>
      </c>
      <c r="F61" s="307">
        <v>107.6</v>
      </c>
      <c r="H61" s="309"/>
    </row>
    <row r="62">
      <c r="A62" s="307">
        <v>61.0</v>
      </c>
      <c r="B62" s="167" t="s">
        <v>479</v>
      </c>
      <c r="C62" s="167" t="s">
        <v>418</v>
      </c>
      <c r="D62" s="308" t="s">
        <v>480</v>
      </c>
      <c r="F62" s="307">
        <v>100.0</v>
      </c>
      <c r="H62" s="309"/>
    </row>
    <row r="63">
      <c r="A63" s="307">
        <v>62.0</v>
      </c>
      <c r="B63" s="167" t="s">
        <v>481</v>
      </c>
      <c r="C63" s="167" t="s">
        <v>418</v>
      </c>
      <c r="D63" s="308" t="s">
        <v>691</v>
      </c>
      <c r="F63" s="307">
        <v>2.4</v>
      </c>
    </row>
    <row r="64">
      <c r="A64" s="307">
        <v>63.0</v>
      </c>
      <c r="B64" s="167" t="s">
        <v>481</v>
      </c>
      <c r="C64" s="167" t="s">
        <v>422</v>
      </c>
      <c r="D64" s="308" t="s">
        <v>692</v>
      </c>
      <c r="F64" s="307">
        <v>55.6</v>
      </c>
    </row>
    <row r="65">
      <c r="A65" s="307">
        <v>64.0</v>
      </c>
      <c r="B65" s="167" t="s">
        <v>483</v>
      </c>
      <c r="C65" s="167" t="s">
        <v>418</v>
      </c>
      <c r="D65" s="308" t="s">
        <v>484</v>
      </c>
      <c r="F65" s="307">
        <v>102.0</v>
      </c>
      <c r="H65" s="309"/>
      <c r="J65" s="309"/>
    </row>
    <row r="66">
      <c r="A66" s="307">
        <v>65.0</v>
      </c>
      <c r="B66" s="167" t="s">
        <v>487</v>
      </c>
      <c r="C66" s="167" t="s">
        <v>422</v>
      </c>
      <c r="D66" s="308" t="s">
        <v>693</v>
      </c>
      <c r="F66" s="307">
        <v>77.4</v>
      </c>
      <c r="H66" s="309"/>
    </row>
    <row r="67">
      <c r="A67" s="307">
        <v>66.0</v>
      </c>
      <c r="B67" s="167" t="s">
        <v>487</v>
      </c>
      <c r="C67" s="167" t="s">
        <v>422</v>
      </c>
      <c r="D67" s="308" t="s">
        <v>694</v>
      </c>
      <c r="F67" s="307">
        <v>12.4</v>
      </c>
      <c r="H67" s="309"/>
      <c r="J67" s="309"/>
    </row>
    <row r="68">
      <c r="A68" s="307">
        <v>67.0</v>
      </c>
      <c r="B68" s="167" t="s">
        <v>487</v>
      </c>
      <c r="C68" s="167" t="s">
        <v>422</v>
      </c>
      <c r="D68" s="308" t="s">
        <v>695</v>
      </c>
      <c r="F68" s="307">
        <v>117.9</v>
      </c>
    </row>
    <row r="69">
      <c r="A69" s="307">
        <v>68.0</v>
      </c>
      <c r="B69" s="167" t="s">
        <v>490</v>
      </c>
      <c r="C69" s="167" t="s">
        <v>422</v>
      </c>
      <c r="D69" s="308" t="s">
        <v>696</v>
      </c>
      <c r="F69" s="307">
        <v>710.7</v>
      </c>
    </row>
    <row r="70">
      <c r="A70" s="307">
        <v>69.0</v>
      </c>
      <c r="B70" s="167" t="s">
        <v>490</v>
      </c>
      <c r="C70" s="167" t="s">
        <v>422</v>
      </c>
      <c r="D70" s="308" t="s">
        <v>697</v>
      </c>
      <c r="F70" s="307">
        <v>405.31</v>
      </c>
      <c r="H70" s="309"/>
      <c r="J70" s="309"/>
    </row>
    <row r="71">
      <c r="A71" s="307">
        <v>70.0</v>
      </c>
      <c r="B71" s="167" t="s">
        <v>492</v>
      </c>
      <c r="C71" s="167" t="s">
        <v>422</v>
      </c>
      <c r="D71" s="308" t="s">
        <v>698</v>
      </c>
      <c r="F71" s="307">
        <v>2400.0</v>
      </c>
    </row>
    <row r="72">
      <c r="A72" s="307">
        <v>71.0</v>
      </c>
      <c r="B72" s="167" t="s">
        <v>492</v>
      </c>
      <c r="C72" s="167" t="s">
        <v>422</v>
      </c>
      <c r="D72" s="308" t="s">
        <v>699</v>
      </c>
      <c r="F72" s="307">
        <v>2200.0</v>
      </c>
    </row>
    <row r="73">
      <c r="A73" s="307">
        <v>72.0</v>
      </c>
      <c r="B73" s="167" t="s">
        <v>494</v>
      </c>
      <c r="C73" s="167" t="s">
        <v>422</v>
      </c>
      <c r="D73" s="308" t="s">
        <v>700</v>
      </c>
      <c r="F73" s="307">
        <v>107.1</v>
      </c>
    </row>
    <row r="74">
      <c r="A74" s="307">
        <v>73.0</v>
      </c>
      <c r="B74" s="167" t="s">
        <v>496</v>
      </c>
      <c r="C74" s="167" t="s">
        <v>418</v>
      </c>
      <c r="D74" s="308" t="s">
        <v>701</v>
      </c>
      <c r="F74" s="307">
        <v>2.6</v>
      </c>
      <c r="J74" s="309"/>
    </row>
    <row r="75">
      <c r="A75" s="307">
        <v>74.0</v>
      </c>
      <c r="B75" s="167" t="s">
        <v>497</v>
      </c>
      <c r="C75" s="167" t="s">
        <v>418</v>
      </c>
      <c r="D75" s="308" t="s">
        <v>702</v>
      </c>
      <c r="F75" s="307">
        <v>33.0</v>
      </c>
      <c r="H75" s="309"/>
      <c r="J75" s="309"/>
    </row>
    <row r="76">
      <c r="A76" s="307">
        <v>75.0</v>
      </c>
      <c r="B76" s="167" t="s">
        <v>499</v>
      </c>
      <c r="C76" s="167" t="s">
        <v>418</v>
      </c>
      <c r="D76" s="308" t="s">
        <v>703</v>
      </c>
      <c r="H76" s="309"/>
      <c r="J76" s="309"/>
    </row>
    <row r="77">
      <c r="A77" s="307">
        <v>76.0</v>
      </c>
      <c r="B77" s="167" t="s">
        <v>499</v>
      </c>
      <c r="C77" s="167" t="s">
        <v>422</v>
      </c>
      <c r="D77" s="308" t="s">
        <v>704</v>
      </c>
      <c r="F77" s="307">
        <v>1500.0</v>
      </c>
      <c r="J77" s="309"/>
    </row>
    <row r="78">
      <c r="A78" s="307">
        <v>77.0</v>
      </c>
      <c r="B78" s="167" t="s">
        <v>501</v>
      </c>
      <c r="C78" s="167" t="s">
        <v>418</v>
      </c>
      <c r="D78" s="308" t="s">
        <v>705</v>
      </c>
      <c r="H78" s="309"/>
      <c r="L78" s="309"/>
    </row>
    <row r="79">
      <c r="A79" s="307">
        <v>78.0</v>
      </c>
      <c r="B79" s="167" t="s">
        <v>502</v>
      </c>
      <c r="C79" s="167" t="s">
        <v>418</v>
      </c>
      <c r="D79" s="308" t="s">
        <v>706</v>
      </c>
      <c r="F79" s="307">
        <v>50.0</v>
      </c>
      <c r="H79" s="309"/>
      <c r="L79" s="309"/>
    </row>
    <row r="80">
      <c r="A80" s="307">
        <v>79.0</v>
      </c>
      <c r="B80" s="167" t="s">
        <v>503</v>
      </c>
      <c r="C80" s="167" t="s">
        <v>422</v>
      </c>
      <c r="D80" s="308" t="s">
        <v>707</v>
      </c>
      <c r="F80" s="307">
        <v>2.287</v>
      </c>
      <c r="H80" s="309"/>
      <c r="L80" s="309"/>
    </row>
    <row r="81">
      <c r="A81" s="307">
        <v>80.0</v>
      </c>
      <c r="B81" s="167" t="s">
        <v>504</v>
      </c>
      <c r="C81" s="167" t="s">
        <v>418</v>
      </c>
      <c r="D81" s="308" t="s">
        <v>708</v>
      </c>
      <c r="F81" s="307">
        <v>51.0</v>
      </c>
      <c r="H81" s="309"/>
      <c r="J81" s="309"/>
    </row>
    <row r="82">
      <c r="A82" s="307">
        <v>81.0</v>
      </c>
      <c r="B82" s="167" t="s">
        <v>505</v>
      </c>
      <c r="C82" s="167" t="s">
        <v>418</v>
      </c>
      <c r="D82" s="308" t="s">
        <v>709</v>
      </c>
      <c r="H82" s="309"/>
      <c r="J82" s="309"/>
    </row>
    <row r="83">
      <c r="A83" s="307">
        <v>82.0</v>
      </c>
      <c r="B83" s="167" t="s">
        <v>506</v>
      </c>
      <c r="C83" s="167" t="s">
        <v>418</v>
      </c>
      <c r="D83" s="308" t="s">
        <v>710</v>
      </c>
      <c r="J83" s="309"/>
    </row>
    <row r="84">
      <c r="A84" s="307">
        <v>83.0</v>
      </c>
      <c r="B84" s="167" t="s">
        <v>507</v>
      </c>
      <c r="C84" s="167" t="s">
        <v>422</v>
      </c>
      <c r="D84" s="310" t="s">
        <v>711</v>
      </c>
      <c r="F84" s="307">
        <v>24.5</v>
      </c>
    </row>
    <row r="85">
      <c r="A85" s="307">
        <v>84.0</v>
      </c>
      <c r="B85" s="167" t="s">
        <v>508</v>
      </c>
      <c r="C85" s="167" t="s">
        <v>422</v>
      </c>
      <c r="D85" s="308" t="s">
        <v>712</v>
      </c>
      <c r="F85" s="307">
        <v>572.5</v>
      </c>
    </row>
    <row r="86">
      <c r="A86" s="307">
        <v>85.0</v>
      </c>
      <c r="B86" s="167" t="s">
        <v>511</v>
      </c>
      <c r="C86" s="167" t="s">
        <v>422</v>
      </c>
      <c r="D86" s="308" t="s">
        <v>713</v>
      </c>
      <c r="F86" s="307">
        <v>15.9</v>
      </c>
      <c r="J86" s="309"/>
    </row>
    <row r="87">
      <c r="A87" s="307">
        <v>86.0</v>
      </c>
      <c r="B87" s="167" t="s">
        <v>511</v>
      </c>
      <c r="C87" s="167" t="s">
        <v>422</v>
      </c>
      <c r="D87" s="308" t="s">
        <v>714</v>
      </c>
      <c r="F87" s="307">
        <v>34.2</v>
      </c>
      <c r="H87" s="309"/>
      <c r="J87" s="309"/>
    </row>
    <row r="88">
      <c r="A88" s="307">
        <v>87.0</v>
      </c>
      <c r="B88" s="167" t="s">
        <v>511</v>
      </c>
      <c r="C88" s="167" t="s">
        <v>422</v>
      </c>
      <c r="D88" s="308" t="s">
        <v>715</v>
      </c>
      <c r="F88" s="307">
        <v>56.8</v>
      </c>
    </row>
    <row r="89">
      <c r="A89" s="307">
        <v>88.0</v>
      </c>
      <c r="B89" s="167" t="s">
        <v>511</v>
      </c>
      <c r="C89" s="167" t="s">
        <v>422</v>
      </c>
      <c r="D89" s="310" t="s">
        <v>716</v>
      </c>
      <c r="F89" s="307">
        <v>15.6</v>
      </c>
      <c r="J89" s="309"/>
    </row>
    <row r="90">
      <c r="A90" s="307">
        <v>89.0</v>
      </c>
      <c r="B90" s="167" t="s">
        <v>511</v>
      </c>
      <c r="C90" s="167" t="s">
        <v>422</v>
      </c>
      <c r="D90" s="311" t="s">
        <v>717</v>
      </c>
      <c r="F90" s="307">
        <v>28.0</v>
      </c>
    </row>
    <row r="91">
      <c r="A91" s="307">
        <v>90.0</v>
      </c>
      <c r="B91" s="167" t="s">
        <v>512</v>
      </c>
      <c r="C91" s="167" t="s">
        <v>418</v>
      </c>
      <c r="D91" s="308" t="s">
        <v>718</v>
      </c>
      <c r="F91" s="307">
        <v>52.0</v>
      </c>
      <c r="J91" s="309"/>
    </row>
    <row r="92">
      <c r="A92" s="307">
        <v>91.0</v>
      </c>
      <c r="B92" s="167" t="s">
        <v>513</v>
      </c>
      <c r="C92" s="167" t="s">
        <v>422</v>
      </c>
      <c r="D92" s="308" t="s">
        <v>719</v>
      </c>
      <c r="F92" s="307">
        <v>128.4</v>
      </c>
    </row>
    <row r="93">
      <c r="A93" s="307">
        <v>92.0</v>
      </c>
      <c r="B93" s="167" t="s">
        <v>514</v>
      </c>
      <c r="C93" s="167" t="s">
        <v>422</v>
      </c>
      <c r="D93" s="308" t="s">
        <v>720</v>
      </c>
      <c r="F93" s="307">
        <v>350.1</v>
      </c>
    </row>
    <row r="94">
      <c r="A94" s="307">
        <v>93.0</v>
      </c>
      <c r="B94" s="167" t="s">
        <v>514</v>
      </c>
      <c r="C94" s="167" t="s">
        <v>422</v>
      </c>
      <c r="D94" s="308" t="s">
        <v>721</v>
      </c>
      <c r="F94" s="307">
        <v>616.7</v>
      </c>
    </row>
    <row r="95">
      <c r="A95" s="307">
        <v>94.0</v>
      </c>
      <c r="B95" s="167" t="s">
        <v>514</v>
      </c>
      <c r="C95" s="167" t="s">
        <v>422</v>
      </c>
      <c r="D95" s="308" t="s">
        <v>722</v>
      </c>
      <c r="F95" s="307">
        <v>536.4</v>
      </c>
      <c r="H95" s="309"/>
      <c r="J95" s="309"/>
    </row>
    <row r="96">
      <c r="A96" s="307">
        <v>95.0</v>
      </c>
      <c r="B96" s="167" t="s">
        <v>514</v>
      </c>
      <c r="C96" s="167" t="s">
        <v>422</v>
      </c>
      <c r="D96" s="308" t="s">
        <v>723</v>
      </c>
      <c r="F96" s="307">
        <v>221.7</v>
      </c>
    </row>
    <row r="97">
      <c r="A97" s="307">
        <v>96.0</v>
      </c>
      <c r="B97" s="167" t="s">
        <v>514</v>
      </c>
      <c r="C97" s="167" t="s">
        <v>422</v>
      </c>
      <c r="D97" s="308" t="s">
        <v>724</v>
      </c>
      <c r="F97" s="307">
        <v>1000.0</v>
      </c>
    </row>
    <row r="98">
      <c r="A98" s="307">
        <v>97.0</v>
      </c>
      <c r="B98" s="167" t="s">
        <v>514</v>
      </c>
      <c r="C98" s="167" t="s">
        <v>422</v>
      </c>
      <c r="D98" s="308" t="s">
        <v>725</v>
      </c>
      <c r="F98" s="307">
        <v>2600.0</v>
      </c>
    </row>
    <row r="99">
      <c r="A99" s="307">
        <v>98.0</v>
      </c>
      <c r="B99" s="167" t="s">
        <v>515</v>
      </c>
      <c r="C99" s="167" t="s">
        <v>422</v>
      </c>
      <c r="D99" s="308" t="s">
        <v>726</v>
      </c>
      <c r="F99" s="307">
        <v>173.6</v>
      </c>
    </row>
    <row r="100">
      <c r="A100" s="307">
        <v>99.0</v>
      </c>
      <c r="B100" s="167" t="s">
        <v>516</v>
      </c>
      <c r="C100" s="167" t="s">
        <v>422</v>
      </c>
      <c r="D100" s="308" t="s">
        <v>727</v>
      </c>
      <c r="F100" s="307">
        <v>15.6</v>
      </c>
    </row>
    <row r="101">
      <c r="A101" s="307">
        <v>100.0</v>
      </c>
      <c r="B101" s="167" t="s">
        <v>517</v>
      </c>
      <c r="C101" s="167" t="s">
        <v>422</v>
      </c>
      <c r="D101" s="308" t="s">
        <v>728</v>
      </c>
      <c r="F101" s="307">
        <v>43.5</v>
      </c>
      <c r="J101" s="309"/>
    </row>
    <row r="102">
      <c r="A102" s="307">
        <v>101.0</v>
      </c>
      <c r="B102" s="167" t="s">
        <v>517</v>
      </c>
      <c r="C102" s="167" t="s">
        <v>422</v>
      </c>
      <c r="D102" s="308" t="s">
        <v>729</v>
      </c>
      <c r="F102" s="307">
        <v>264.1</v>
      </c>
      <c r="J102" s="309"/>
    </row>
    <row r="103">
      <c r="A103" s="307">
        <v>102.0</v>
      </c>
      <c r="B103" s="167" t="s">
        <v>517</v>
      </c>
      <c r="C103" s="167" t="s">
        <v>422</v>
      </c>
      <c r="D103" s="308" t="s">
        <v>730</v>
      </c>
      <c r="F103" s="307">
        <v>60.7</v>
      </c>
      <c r="H103" s="309"/>
      <c r="J103" s="309"/>
    </row>
    <row r="104">
      <c r="A104" s="307">
        <v>103.0</v>
      </c>
      <c r="B104" s="167" t="s">
        <v>517</v>
      </c>
      <c r="C104" s="167" t="s">
        <v>422</v>
      </c>
      <c r="D104" s="308" t="s">
        <v>731</v>
      </c>
      <c r="F104" s="307">
        <v>452.8</v>
      </c>
      <c r="H104" s="309"/>
      <c r="J104" s="309"/>
    </row>
    <row r="105">
      <c r="A105" s="307">
        <v>104.0</v>
      </c>
      <c r="B105" s="167" t="s">
        <v>517</v>
      </c>
      <c r="C105" s="167" t="s">
        <v>422</v>
      </c>
      <c r="D105" s="308" t="s">
        <v>732</v>
      </c>
      <c r="F105" s="307">
        <v>77.6</v>
      </c>
      <c r="H105" s="309"/>
      <c r="J105" s="309"/>
    </row>
    <row r="106">
      <c r="A106" s="307">
        <v>105.0</v>
      </c>
      <c r="B106" s="167" t="s">
        <v>517</v>
      </c>
      <c r="C106" s="167" t="s">
        <v>422</v>
      </c>
      <c r="D106" s="308" t="s">
        <v>733</v>
      </c>
      <c r="F106" s="307">
        <v>468.8</v>
      </c>
      <c r="H106" s="309"/>
      <c r="J106" s="309"/>
    </row>
    <row r="107">
      <c r="A107" s="307">
        <v>106.0</v>
      </c>
      <c r="B107" s="167" t="s">
        <v>518</v>
      </c>
      <c r="C107" s="167" t="s">
        <v>422</v>
      </c>
      <c r="D107" s="308" t="s">
        <v>734</v>
      </c>
      <c r="F107" s="307">
        <v>51.6</v>
      </c>
      <c r="H107" s="309"/>
      <c r="J107" s="309"/>
    </row>
    <row r="108">
      <c r="A108" s="307">
        <v>107.0</v>
      </c>
      <c r="B108" s="167" t="s">
        <v>518</v>
      </c>
      <c r="C108" s="167" t="s">
        <v>422</v>
      </c>
      <c r="D108" s="308" t="s">
        <v>735</v>
      </c>
      <c r="F108" s="307">
        <v>31.9</v>
      </c>
      <c r="H108" s="309"/>
      <c r="J108" s="309"/>
    </row>
    <row r="109">
      <c r="A109" s="307">
        <v>108.0</v>
      </c>
      <c r="B109" s="167" t="s">
        <v>518</v>
      </c>
      <c r="C109" s="167" t="s">
        <v>422</v>
      </c>
      <c r="D109" s="308" t="s">
        <v>736</v>
      </c>
      <c r="F109" s="307">
        <v>133.3</v>
      </c>
      <c r="H109" s="309"/>
    </row>
    <row r="110">
      <c r="A110" s="307">
        <v>109.0</v>
      </c>
      <c r="B110" s="167" t="s">
        <v>519</v>
      </c>
      <c r="C110" s="167" t="s">
        <v>422</v>
      </c>
      <c r="D110" s="308" t="s">
        <v>737</v>
      </c>
      <c r="F110" s="307">
        <v>197.0</v>
      </c>
    </row>
    <row r="111">
      <c r="A111" s="307">
        <v>110.0</v>
      </c>
      <c r="B111" s="167" t="s">
        <v>520</v>
      </c>
      <c r="C111" s="167" t="s">
        <v>422</v>
      </c>
      <c r="D111" s="308" t="s">
        <v>738</v>
      </c>
      <c r="F111" s="307">
        <v>697.7</v>
      </c>
    </row>
    <row r="112">
      <c r="A112" s="307">
        <v>111.0</v>
      </c>
      <c r="B112" s="167" t="s">
        <v>520</v>
      </c>
      <c r="C112" s="167" t="s">
        <v>422</v>
      </c>
      <c r="D112" s="308" t="s">
        <v>739</v>
      </c>
      <c r="F112" s="307">
        <v>1300.0</v>
      </c>
      <c r="H112" s="309"/>
    </row>
    <row r="113">
      <c r="A113" s="307">
        <v>112.0</v>
      </c>
      <c r="B113" s="167" t="s">
        <v>520</v>
      </c>
      <c r="C113" s="167" t="s">
        <v>422</v>
      </c>
      <c r="D113" s="308" t="s">
        <v>740</v>
      </c>
      <c r="F113" s="307">
        <v>441.8</v>
      </c>
    </row>
    <row r="114">
      <c r="A114" s="307">
        <v>113.0</v>
      </c>
      <c r="B114" s="167" t="s">
        <v>520</v>
      </c>
      <c r="C114" s="167" t="s">
        <v>422</v>
      </c>
      <c r="D114" s="308" t="s">
        <v>741</v>
      </c>
      <c r="F114" s="307">
        <v>8400.0</v>
      </c>
      <c r="H114" s="309"/>
      <c r="J114" s="309"/>
    </row>
    <row r="115">
      <c r="A115" s="307">
        <v>114.0</v>
      </c>
      <c r="B115" s="167" t="s">
        <v>520</v>
      </c>
      <c r="C115" s="167" t="s">
        <v>422</v>
      </c>
      <c r="D115" s="308" t="s">
        <v>742</v>
      </c>
      <c r="F115" s="307">
        <v>316.5</v>
      </c>
    </row>
    <row r="116">
      <c r="A116" s="307">
        <v>115.0</v>
      </c>
      <c r="B116" s="167" t="s">
        <v>520</v>
      </c>
      <c r="C116" s="167" t="s">
        <v>422</v>
      </c>
      <c r="D116" s="308" t="s">
        <v>743</v>
      </c>
      <c r="F116" s="307">
        <v>900.7</v>
      </c>
      <c r="H116" s="309"/>
      <c r="J116" s="309"/>
    </row>
    <row r="117">
      <c r="A117" s="307">
        <v>116.0</v>
      </c>
      <c r="B117" s="167" t="s">
        <v>522</v>
      </c>
      <c r="C117" s="167" t="s">
        <v>422</v>
      </c>
      <c r="D117" s="308" t="s">
        <v>744</v>
      </c>
      <c r="F117" s="307">
        <v>2400.0</v>
      </c>
    </row>
    <row r="118">
      <c r="A118" s="307">
        <v>117.0</v>
      </c>
      <c r="B118" s="167" t="s">
        <v>522</v>
      </c>
      <c r="C118" s="167" t="s">
        <v>422</v>
      </c>
      <c r="D118" s="308" t="s">
        <v>745</v>
      </c>
      <c r="F118" s="307">
        <v>3000.0</v>
      </c>
    </row>
    <row r="119">
      <c r="A119" s="307">
        <v>118.0</v>
      </c>
      <c r="B119" s="167" t="s">
        <v>522</v>
      </c>
      <c r="C119" s="167" t="s">
        <v>422</v>
      </c>
      <c r="D119" s="308" t="s">
        <v>746</v>
      </c>
      <c r="F119" s="307">
        <v>7800.0</v>
      </c>
      <c r="J119" s="309"/>
    </row>
    <row r="120">
      <c r="A120" s="307">
        <v>119.0</v>
      </c>
      <c r="B120" s="167" t="s">
        <v>521</v>
      </c>
      <c r="C120" s="167" t="s">
        <v>422</v>
      </c>
      <c r="D120" s="308" t="s">
        <v>747</v>
      </c>
      <c r="F120" s="307">
        <v>107.3</v>
      </c>
      <c r="H120" s="309"/>
    </row>
    <row r="121">
      <c r="A121" s="307">
        <v>120.0</v>
      </c>
      <c r="B121" s="167" t="s">
        <v>523</v>
      </c>
      <c r="C121" s="167" t="s">
        <v>422</v>
      </c>
      <c r="D121" s="308" t="s">
        <v>748</v>
      </c>
      <c r="F121" s="307">
        <v>88.8</v>
      </c>
      <c r="H121" s="309"/>
    </row>
    <row r="122">
      <c r="A122" s="307">
        <v>121.0</v>
      </c>
      <c r="B122" s="167" t="s">
        <v>526</v>
      </c>
      <c r="C122" s="167" t="s">
        <v>418</v>
      </c>
      <c r="D122" s="308" t="s">
        <v>749</v>
      </c>
      <c r="H122" s="309"/>
      <c r="J122" s="309"/>
    </row>
    <row r="123">
      <c r="A123" s="307">
        <v>122.0</v>
      </c>
      <c r="B123" s="167" t="s">
        <v>528</v>
      </c>
      <c r="C123" s="167" t="s">
        <v>418</v>
      </c>
      <c r="D123" s="308" t="s">
        <v>750</v>
      </c>
      <c r="H123" s="309"/>
      <c r="J123" s="309"/>
    </row>
    <row r="124">
      <c r="A124" s="307">
        <v>123.0</v>
      </c>
      <c r="B124" s="167" t="s">
        <v>500</v>
      </c>
      <c r="C124" s="167" t="s">
        <v>422</v>
      </c>
      <c r="D124" s="308" t="s">
        <v>751</v>
      </c>
      <c r="F124" s="307">
        <v>73.8</v>
      </c>
      <c r="H124" s="309"/>
      <c r="J124" s="309"/>
    </row>
    <row r="125">
      <c r="A125" s="307">
        <v>124.0</v>
      </c>
      <c r="B125" s="167" t="s">
        <v>500</v>
      </c>
      <c r="C125" s="167" t="s">
        <v>422</v>
      </c>
      <c r="D125" s="308" t="s">
        <v>752</v>
      </c>
      <c r="F125" s="307">
        <v>720.8</v>
      </c>
      <c r="H125" s="309"/>
      <c r="J125" s="309"/>
    </row>
    <row r="126">
      <c r="A126" s="307">
        <v>125.0</v>
      </c>
      <c r="B126" s="167" t="s">
        <v>15</v>
      </c>
      <c r="C126" s="167" t="s">
        <v>422</v>
      </c>
      <c r="D126" s="308" t="s">
        <v>753</v>
      </c>
      <c r="H126" s="309"/>
      <c r="J126" s="309"/>
    </row>
    <row r="127">
      <c r="A127" s="307">
        <v>126.0</v>
      </c>
      <c r="B127" s="167" t="s">
        <v>531</v>
      </c>
      <c r="C127" s="167" t="s">
        <v>422</v>
      </c>
      <c r="D127" s="308" t="s">
        <v>754</v>
      </c>
      <c r="F127" s="307">
        <v>63.0</v>
      </c>
      <c r="H127" s="309"/>
      <c r="J127" s="309"/>
    </row>
    <row r="128">
      <c r="A128" s="307">
        <v>127.0</v>
      </c>
      <c r="B128" s="167" t="s">
        <v>534</v>
      </c>
      <c r="C128" s="167" t="s">
        <v>422</v>
      </c>
      <c r="D128" s="308" t="s">
        <v>755</v>
      </c>
      <c r="F128" s="307">
        <v>2.812</v>
      </c>
      <c r="H128" s="309"/>
      <c r="J128" s="309"/>
    </row>
    <row r="129">
      <c r="A129" s="307">
        <v>128.0</v>
      </c>
      <c r="B129" s="167" t="s">
        <v>534</v>
      </c>
      <c r="C129" s="167" t="s">
        <v>418</v>
      </c>
      <c r="D129" s="308" t="s">
        <v>535</v>
      </c>
      <c r="H129" s="309"/>
      <c r="J129" s="309"/>
    </row>
    <row r="130">
      <c r="A130" s="307">
        <v>129.0</v>
      </c>
      <c r="B130" s="167" t="s">
        <v>539</v>
      </c>
      <c r="C130" s="167" t="s">
        <v>418</v>
      </c>
      <c r="D130" s="308" t="s">
        <v>540</v>
      </c>
      <c r="J130" s="309"/>
    </row>
    <row r="131">
      <c r="A131" s="307">
        <v>130.0</v>
      </c>
      <c r="B131" s="167" t="s">
        <v>541</v>
      </c>
      <c r="C131" s="167" t="s">
        <v>418</v>
      </c>
      <c r="D131" s="308" t="s">
        <v>542</v>
      </c>
    </row>
    <row r="132">
      <c r="A132" s="307">
        <v>131.0</v>
      </c>
      <c r="B132" s="167" t="s">
        <v>543</v>
      </c>
      <c r="C132" s="167" t="s">
        <v>422</v>
      </c>
      <c r="D132" s="308" t="s">
        <v>756</v>
      </c>
      <c r="F132" s="307">
        <v>15.9</v>
      </c>
    </row>
    <row r="133">
      <c r="A133" s="307">
        <v>132.0</v>
      </c>
      <c r="B133" s="167" t="s">
        <v>546</v>
      </c>
      <c r="C133" s="167" t="s">
        <v>418</v>
      </c>
      <c r="D133" s="308" t="s">
        <v>547</v>
      </c>
    </row>
    <row r="134">
      <c r="A134" s="307">
        <v>133.0</v>
      </c>
      <c r="B134" s="167" t="s">
        <v>546</v>
      </c>
      <c r="C134" s="167" t="s">
        <v>510</v>
      </c>
      <c r="D134" s="308" t="s">
        <v>548</v>
      </c>
      <c r="F134" s="307">
        <v>1.494</v>
      </c>
    </row>
    <row r="135">
      <c r="A135" s="307">
        <v>134.0</v>
      </c>
      <c r="B135" s="167" t="s">
        <v>549</v>
      </c>
      <c r="C135" s="167" t="s">
        <v>422</v>
      </c>
      <c r="D135" s="308" t="s">
        <v>757</v>
      </c>
      <c r="F135" s="307">
        <v>1700.0</v>
      </c>
      <c r="H135" s="309"/>
      <c r="J135" s="309"/>
    </row>
    <row r="136">
      <c r="A136" s="307">
        <v>135.0</v>
      </c>
      <c r="B136" s="167" t="s">
        <v>553</v>
      </c>
      <c r="C136" s="167" t="s">
        <v>422</v>
      </c>
      <c r="D136" s="308" t="s">
        <v>758</v>
      </c>
      <c r="F136" s="307">
        <v>124.0</v>
      </c>
      <c r="H136" s="309"/>
    </row>
    <row r="137">
      <c r="A137" s="307">
        <v>136.0</v>
      </c>
      <c r="B137" s="167" t="s">
        <v>555</v>
      </c>
      <c r="C137" s="167" t="s">
        <v>418</v>
      </c>
      <c r="D137" s="308" t="s">
        <v>556</v>
      </c>
    </row>
    <row r="138">
      <c r="A138" s="307">
        <v>137.0</v>
      </c>
      <c r="B138" s="167" t="s">
        <v>557</v>
      </c>
      <c r="C138" s="167" t="s">
        <v>418</v>
      </c>
      <c r="D138" s="308" t="s">
        <v>558</v>
      </c>
    </row>
    <row r="139">
      <c r="A139" s="307">
        <v>138.0</v>
      </c>
      <c r="B139" s="167" t="s">
        <v>559</v>
      </c>
      <c r="C139" s="167" t="s">
        <v>422</v>
      </c>
      <c r="D139" s="308" t="s">
        <v>759</v>
      </c>
      <c r="F139" s="307">
        <v>5800.0</v>
      </c>
      <c r="H139" s="309"/>
      <c r="J139" s="309"/>
    </row>
    <row r="140">
      <c r="A140" s="307">
        <v>139.0</v>
      </c>
      <c r="B140" s="167" t="s">
        <v>561</v>
      </c>
      <c r="C140" s="167" t="s">
        <v>422</v>
      </c>
      <c r="D140" s="308" t="s">
        <v>760</v>
      </c>
      <c r="F140" s="307">
        <v>213.1</v>
      </c>
      <c r="H140" s="309"/>
      <c r="J140" s="309"/>
    </row>
    <row r="141">
      <c r="A141" s="307">
        <v>140.0</v>
      </c>
      <c r="B141" s="167" t="s">
        <v>563</v>
      </c>
      <c r="C141" s="167" t="s">
        <v>422</v>
      </c>
      <c r="D141" s="308" t="s">
        <v>761</v>
      </c>
      <c r="F141" s="307">
        <v>2500.0</v>
      </c>
    </row>
    <row r="142">
      <c r="A142" s="307">
        <v>141.0</v>
      </c>
      <c r="B142" s="167" t="s">
        <v>563</v>
      </c>
      <c r="C142" s="167" t="s">
        <v>422</v>
      </c>
      <c r="D142" s="308" t="s">
        <v>564</v>
      </c>
      <c r="F142" s="307">
        <v>1800.0</v>
      </c>
    </row>
    <row r="143">
      <c r="A143" s="307">
        <v>142.0</v>
      </c>
      <c r="B143" s="167" t="s">
        <v>565</v>
      </c>
      <c r="C143" s="167" t="s">
        <v>422</v>
      </c>
      <c r="D143" s="308" t="s">
        <v>762</v>
      </c>
      <c r="F143" s="307">
        <v>44.3</v>
      </c>
    </row>
    <row r="144">
      <c r="A144" s="307">
        <v>143.0</v>
      </c>
      <c r="B144" s="167" t="s">
        <v>567</v>
      </c>
      <c r="C144" s="167" t="s">
        <v>422</v>
      </c>
      <c r="D144" s="308" t="s">
        <v>763</v>
      </c>
      <c r="F144" s="307">
        <v>1900.0</v>
      </c>
    </row>
    <row r="145">
      <c r="A145" s="307">
        <v>144.0</v>
      </c>
      <c r="B145" s="167" t="s">
        <v>567</v>
      </c>
      <c r="C145" s="167" t="s">
        <v>422</v>
      </c>
      <c r="D145" s="308" t="s">
        <v>764</v>
      </c>
      <c r="F145" s="307">
        <v>1800.0</v>
      </c>
      <c r="H145" s="309"/>
    </row>
    <row r="146">
      <c r="A146" s="307">
        <v>145.0</v>
      </c>
      <c r="B146" s="167" t="s">
        <v>569</v>
      </c>
      <c r="C146" s="167" t="s">
        <v>422</v>
      </c>
      <c r="D146" s="308" t="s">
        <v>765</v>
      </c>
      <c r="F146" s="307">
        <v>126.1</v>
      </c>
    </row>
    <row r="147">
      <c r="A147" s="307">
        <v>146.0</v>
      </c>
      <c r="B147" s="167" t="s">
        <v>573</v>
      </c>
      <c r="C147" s="167" t="s">
        <v>422</v>
      </c>
      <c r="D147" s="308" t="s">
        <v>766</v>
      </c>
      <c r="F147" s="307">
        <v>11.4</v>
      </c>
    </row>
    <row r="148">
      <c r="A148" s="307">
        <v>147.0</v>
      </c>
      <c r="B148" s="167" t="s">
        <v>575</v>
      </c>
      <c r="C148" s="167" t="s">
        <v>422</v>
      </c>
      <c r="D148" s="312" t="s">
        <v>767</v>
      </c>
      <c r="F148" s="307">
        <v>42.1</v>
      </c>
    </row>
    <row r="149">
      <c r="A149" s="307">
        <v>148.0</v>
      </c>
      <c r="B149" s="167" t="s">
        <v>577</v>
      </c>
      <c r="C149" s="167" t="s">
        <v>422</v>
      </c>
      <c r="D149" s="308" t="s">
        <v>768</v>
      </c>
      <c r="H149" s="309"/>
    </row>
    <row r="150">
      <c r="A150" s="307">
        <v>149.0</v>
      </c>
      <c r="B150" s="167" t="s">
        <v>577</v>
      </c>
      <c r="C150" s="167" t="s">
        <v>422</v>
      </c>
      <c r="D150" s="308" t="s">
        <v>769</v>
      </c>
      <c r="F150" s="307">
        <v>1200.0</v>
      </c>
      <c r="H150" s="309"/>
    </row>
    <row r="151">
      <c r="A151" s="307">
        <v>150.0</v>
      </c>
      <c r="B151" s="167" t="s">
        <v>577</v>
      </c>
      <c r="C151" s="167" t="s">
        <v>422</v>
      </c>
      <c r="D151" s="308" t="s">
        <v>770</v>
      </c>
      <c r="F151" s="307">
        <v>227.9</v>
      </c>
      <c r="H151" s="309"/>
    </row>
    <row r="152">
      <c r="A152" s="307">
        <v>151.0</v>
      </c>
      <c r="B152" s="167" t="s">
        <v>579</v>
      </c>
      <c r="C152" s="167" t="s">
        <v>422</v>
      </c>
      <c r="D152" s="308" t="s">
        <v>771</v>
      </c>
      <c r="F152" s="307">
        <v>54.6</v>
      </c>
      <c r="H152" s="309"/>
    </row>
    <row r="153">
      <c r="A153" s="307">
        <v>152.0</v>
      </c>
      <c r="B153" s="167" t="s">
        <v>579</v>
      </c>
      <c r="C153" s="167" t="s">
        <v>422</v>
      </c>
      <c r="D153" s="308" t="s">
        <v>772</v>
      </c>
      <c r="F153" s="307">
        <v>61.0</v>
      </c>
    </row>
    <row r="154">
      <c r="A154" s="307">
        <v>153.0</v>
      </c>
      <c r="B154" s="167" t="s">
        <v>579</v>
      </c>
      <c r="C154" s="167" t="s">
        <v>422</v>
      </c>
      <c r="D154" s="308" t="s">
        <v>773</v>
      </c>
      <c r="F154" s="307">
        <v>426.4</v>
      </c>
      <c r="H154" s="309"/>
    </row>
    <row r="155">
      <c r="A155" s="307">
        <v>154.0</v>
      </c>
      <c r="B155" s="167" t="s">
        <v>581</v>
      </c>
      <c r="C155" s="167" t="s">
        <v>422</v>
      </c>
      <c r="D155" s="308" t="s">
        <v>774</v>
      </c>
      <c r="F155" s="307">
        <v>606.8</v>
      </c>
      <c r="H155" s="309"/>
    </row>
    <row r="156">
      <c r="A156" s="307">
        <v>155.0</v>
      </c>
      <c r="B156" s="167" t="s">
        <v>581</v>
      </c>
      <c r="C156" s="167" t="s">
        <v>422</v>
      </c>
      <c r="D156" s="308" t="s">
        <v>775</v>
      </c>
      <c r="F156" s="307">
        <v>361.0</v>
      </c>
    </row>
    <row r="157">
      <c r="A157" s="307">
        <v>156.0</v>
      </c>
      <c r="B157" s="167" t="s">
        <v>583</v>
      </c>
      <c r="C157" s="167" t="s">
        <v>422</v>
      </c>
      <c r="D157" s="308" t="s">
        <v>776</v>
      </c>
      <c r="F157" s="307">
        <v>706.3</v>
      </c>
      <c r="H157" s="309"/>
    </row>
    <row r="158">
      <c r="A158" s="307">
        <v>157.0</v>
      </c>
      <c r="B158" s="167" t="s">
        <v>583</v>
      </c>
      <c r="C158" s="167" t="s">
        <v>422</v>
      </c>
      <c r="D158" s="308" t="s">
        <v>777</v>
      </c>
      <c r="F158" s="307">
        <v>2000.0</v>
      </c>
    </row>
    <row r="159">
      <c r="A159" s="307">
        <v>158.0</v>
      </c>
      <c r="B159" s="167" t="s">
        <v>583</v>
      </c>
      <c r="C159" s="167" t="s">
        <v>422</v>
      </c>
      <c r="D159" s="308" t="s">
        <v>778</v>
      </c>
      <c r="F159" s="307">
        <v>1400.0</v>
      </c>
    </row>
    <row r="160">
      <c r="A160" s="307">
        <v>159.0</v>
      </c>
      <c r="B160" s="167" t="s">
        <v>779</v>
      </c>
      <c r="C160" s="167" t="s">
        <v>422</v>
      </c>
      <c r="D160" s="308" t="s">
        <v>780</v>
      </c>
      <c r="F160" s="307">
        <v>252.6</v>
      </c>
    </row>
    <row r="161">
      <c r="A161" s="307">
        <v>160.0</v>
      </c>
      <c r="B161" s="167" t="s">
        <v>779</v>
      </c>
      <c r="C161" s="167" t="s">
        <v>422</v>
      </c>
      <c r="D161" s="308" t="s">
        <v>781</v>
      </c>
      <c r="F161" s="307">
        <v>210.9</v>
      </c>
      <c r="H161" s="309"/>
    </row>
    <row r="162">
      <c r="A162" s="307">
        <v>161.0</v>
      </c>
      <c r="B162" s="167" t="s">
        <v>779</v>
      </c>
      <c r="C162" s="167" t="s">
        <v>422</v>
      </c>
      <c r="D162" s="308" t="s">
        <v>782</v>
      </c>
      <c r="F162" s="307">
        <v>1900.0</v>
      </c>
    </row>
    <row r="163">
      <c r="A163" s="307">
        <v>162.0</v>
      </c>
      <c r="B163" s="167" t="s">
        <v>779</v>
      </c>
      <c r="C163" s="167" t="s">
        <v>422</v>
      </c>
      <c r="D163" s="308" t="s">
        <v>783</v>
      </c>
      <c r="F163" s="307">
        <v>241.4</v>
      </c>
    </row>
    <row r="164">
      <c r="B164" s="122"/>
      <c r="C164" s="122"/>
      <c r="D164" s="313" t="s">
        <v>628</v>
      </c>
    </row>
    <row r="165">
      <c r="A165" s="307">
        <v>1.0</v>
      </c>
      <c r="B165" s="167" t="s">
        <v>437</v>
      </c>
      <c r="C165" s="167" t="s">
        <v>422</v>
      </c>
      <c r="D165" s="308" t="s">
        <v>784</v>
      </c>
      <c r="F165" s="307">
        <v>1000.0</v>
      </c>
      <c r="H165" s="309"/>
    </row>
    <row r="166">
      <c r="A166" s="307">
        <v>2.0</v>
      </c>
      <c r="B166" s="167" t="s">
        <v>437</v>
      </c>
      <c r="C166" s="167" t="s">
        <v>422</v>
      </c>
      <c r="D166" s="308" t="s">
        <v>785</v>
      </c>
      <c r="F166" s="307">
        <v>1500.0</v>
      </c>
      <c r="H166" s="309"/>
    </row>
    <row r="167">
      <c r="A167" s="307">
        <v>3.0</v>
      </c>
      <c r="B167" s="167" t="s">
        <v>443</v>
      </c>
      <c r="C167" s="167" t="s">
        <v>422</v>
      </c>
      <c r="D167" s="308" t="s">
        <v>786</v>
      </c>
      <c r="F167" s="307">
        <v>3100.0</v>
      </c>
    </row>
    <row r="168">
      <c r="A168" s="307">
        <v>4.0</v>
      </c>
      <c r="B168" s="167" t="s">
        <v>443</v>
      </c>
      <c r="C168" s="167" t="s">
        <v>422</v>
      </c>
      <c r="D168" s="308" t="s">
        <v>787</v>
      </c>
      <c r="F168" s="307">
        <v>1800.0</v>
      </c>
      <c r="H168" s="309"/>
    </row>
    <row r="169">
      <c r="A169" s="307">
        <v>5.0</v>
      </c>
      <c r="B169" s="167" t="s">
        <v>443</v>
      </c>
      <c r="C169" s="167" t="s">
        <v>422</v>
      </c>
      <c r="D169" s="308" t="s">
        <v>788</v>
      </c>
      <c r="F169" s="307">
        <v>661.5</v>
      </c>
      <c r="H169" s="309"/>
    </row>
    <row r="170">
      <c r="A170" s="307">
        <v>6.0</v>
      </c>
      <c r="B170" s="167" t="s">
        <v>443</v>
      </c>
      <c r="C170" s="167" t="s">
        <v>422</v>
      </c>
      <c r="D170" s="308" t="s">
        <v>789</v>
      </c>
      <c r="F170" s="307">
        <v>127.4</v>
      </c>
      <c r="H170" s="309"/>
    </row>
    <row r="171">
      <c r="A171" s="307">
        <v>7.0</v>
      </c>
      <c r="B171" s="167" t="s">
        <v>448</v>
      </c>
      <c r="C171" s="167" t="s">
        <v>422</v>
      </c>
      <c r="D171" s="308" t="s">
        <v>790</v>
      </c>
      <c r="F171" s="307">
        <v>244.8</v>
      </c>
      <c r="H171" s="309"/>
    </row>
    <row r="172">
      <c r="A172" s="307">
        <v>8.0</v>
      </c>
      <c r="B172" s="167" t="s">
        <v>452</v>
      </c>
      <c r="C172" s="167" t="s">
        <v>422</v>
      </c>
      <c r="D172" s="308" t="s">
        <v>791</v>
      </c>
      <c r="F172" s="307">
        <v>1.16</v>
      </c>
      <c r="H172" s="309"/>
    </row>
    <row r="173">
      <c r="A173" s="307">
        <v>9.0</v>
      </c>
      <c r="B173" s="167" t="s">
        <v>454</v>
      </c>
      <c r="C173" s="167" t="s">
        <v>422</v>
      </c>
      <c r="D173" s="308" t="s">
        <v>792</v>
      </c>
      <c r="F173" s="307">
        <v>232.0</v>
      </c>
      <c r="H173" s="309"/>
    </row>
    <row r="174">
      <c r="A174" s="307">
        <v>10.0</v>
      </c>
      <c r="B174" s="167" t="s">
        <v>454</v>
      </c>
      <c r="C174" s="167" t="s">
        <v>422</v>
      </c>
      <c r="D174" s="308" t="s">
        <v>793</v>
      </c>
      <c r="F174" s="307">
        <v>149.7</v>
      </c>
      <c r="H174" s="309"/>
    </row>
    <row r="175">
      <c r="A175" s="307">
        <v>11.0</v>
      </c>
      <c r="B175" s="167" t="s">
        <v>456</v>
      </c>
      <c r="C175" s="167" t="s">
        <v>422</v>
      </c>
      <c r="D175" s="308" t="s">
        <v>794</v>
      </c>
      <c r="F175" s="307">
        <v>1200.0</v>
      </c>
    </row>
    <row r="176">
      <c r="A176" s="307">
        <v>12.0</v>
      </c>
      <c r="B176" s="167" t="s">
        <v>456</v>
      </c>
      <c r="C176" s="167" t="s">
        <v>422</v>
      </c>
      <c r="D176" s="308" t="s">
        <v>795</v>
      </c>
      <c r="F176" s="307">
        <v>2500.0</v>
      </c>
    </row>
    <row r="177">
      <c r="A177" s="307">
        <v>13.0</v>
      </c>
      <c r="B177" s="167" t="s">
        <v>456</v>
      </c>
      <c r="C177" s="167" t="s">
        <v>422</v>
      </c>
      <c r="D177" s="308" t="s">
        <v>796</v>
      </c>
      <c r="F177" s="307">
        <v>2600.0</v>
      </c>
    </row>
    <row r="178">
      <c r="A178" s="307">
        <v>14.0</v>
      </c>
      <c r="B178" s="167" t="s">
        <v>462</v>
      </c>
      <c r="C178" s="167" t="s">
        <v>422</v>
      </c>
      <c r="D178" s="308" t="s">
        <v>797</v>
      </c>
      <c r="F178" s="307">
        <v>106.4</v>
      </c>
    </row>
    <row r="179">
      <c r="A179" s="307">
        <v>15.0</v>
      </c>
      <c r="B179" s="167" t="s">
        <v>464</v>
      </c>
      <c r="C179" s="167" t="s">
        <v>422</v>
      </c>
      <c r="D179" s="308" t="s">
        <v>798</v>
      </c>
      <c r="F179" s="307">
        <v>114.6</v>
      </c>
    </row>
    <row r="180">
      <c r="A180" s="307">
        <v>16.0</v>
      </c>
      <c r="B180" s="167" t="s">
        <v>586</v>
      </c>
      <c r="C180" s="167" t="s">
        <v>422</v>
      </c>
      <c r="D180" s="308" t="s">
        <v>587</v>
      </c>
      <c r="F180" s="307">
        <v>1500.0</v>
      </c>
    </row>
    <row r="181">
      <c r="A181" s="307">
        <v>17.0</v>
      </c>
      <c r="B181" s="167" t="s">
        <v>588</v>
      </c>
      <c r="C181" s="167" t="s">
        <v>422</v>
      </c>
      <c r="D181" s="308" t="s">
        <v>589</v>
      </c>
      <c r="F181" s="307">
        <v>435.4</v>
      </c>
    </row>
    <row r="182">
      <c r="A182" s="307">
        <v>18.0</v>
      </c>
      <c r="B182" s="167" t="s">
        <v>588</v>
      </c>
      <c r="C182" s="167" t="s">
        <v>422</v>
      </c>
      <c r="D182" s="308" t="s">
        <v>799</v>
      </c>
      <c r="F182" s="307">
        <v>781.8</v>
      </c>
    </row>
    <row r="183">
      <c r="A183" s="307">
        <v>19.0</v>
      </c>
      <c r="B183" s="167" t="s">
        <v>588</v>
      </c>
      <c r="C183" s="167" t="s">
        <v>422</v>
      </c>
      <c r="D183" s="308" t="s">
        <v>800</v>
      </c>
      <c r="F183" s="307">
        <v>514.9</v>
      </c>
    </row>
    <row r="184">
      <c r="A184" s="307">
        <v>20.0</v>
      </c>
      <c r="B184" s="167" t="s">
        <v>590</v>
      </c>
      <c r="C184" s="167" t="s">
        <v>422</v>
      </c>
      <c r="D184" s="308" t="s">
        <v>801</v>
      </c>
      <c r="F184" s="307">
        <v>26.8</v>
      </c>
    </row>
    <row r="185">
      <c r="A185" s="307">
        <v>21.0</v>
      </c>
      <c r="B185" s="167" t="s">
        <v>469</v>
      </c>
      <c r="C185" s="167" t="s">
        <v>418</v>
      </c>
      <c r="D185" s="308" t="s">
        <v>802</v>
      </c>
      <c r="F185" s="307">
        <v>21.0</v>
      </c>
    </row>
    <row r="186">
      <c r="A186" s="307">
        <v>22.0</v>
      </c>
      <c r="B186" s="167" t="s">
        <v>469</v>
      </c>
      <c r="C186" s="167" t="s">
        <v>510</v>
      </c>
      <c r="D186" s="308" t="s">
        <v>803</v>
      </c>
      <c r="F186" s="307">
        <v>73.3</v>
      </c>
    </row>
    <row r="187">
      <c r="A187" s="307">
        <v>23.0</v>
      </c>
      <c r="B187" s="167" t="s">
        <v>477</v>
      </c>
      <c r="C187" s="167" t="s">
        <v>418</v>
      </c>
      <c r="D187" s="308" t="s">
        <v>804</v>
      </c>
      <c r="F187" s="307">
        <v>102.0</v>
      </c>
    </row>
    <row r="188">
      <c r="A188" s="307">
        <v>24.0</v>
      </c>
      <c r="B188" s="167" t="s">
        <v>483</v>
      </c>
      <c r="C188" s="167" t="s">
        <v>418</v>
      </c>
      <c r="D188" s="308" t="s">
        <v>805</v>
      </c>
      <c r="F188" s="307">
        <v>20.0</v>
      </c>
    </row>
    <row r="189">
      <c r="A189" s="307">
        <v>25.0</v>
      </c>
      <c r="B189" s="167" t="s">
        <v>485</v>
      </c>
      <c r="C189" s="167" t="s">
        <v>418</v>
      </c>
      <c r="D189" s="308" t="s">
        <v>806</v>
      </c>
      <c r="F189" s="307">
        <v>10.0</v>
      </c>
    </row>
    <row r="190">
      <c r="A190" s="307">
        <v>26.0</v>
      </c>
      <c r="B190" s="167" t="s">
        <v>492</v>
      </c>
      <c r="C190" s="167" t="s">
        <v>422</v>
      </c>
      <c r="D190" s="308" t="s">
        <v>807</v>
      </c>
      <c r="F190" s="307">
        <v>460.6</v>
      </c>
    </row>
    <row r="191">
      <c r="A191" s="307">
        <v>27.0</v>
      </c>
      <c r="B191" s="167" t="s">
        <v>492</v>
      </c>
      <c r="C191" s="167" t="s">
        <v>422</v>
      </c>
      <c r="D191" s="308" t="s">
        <v>808</v>
      </c>
      <c r="F191" s="307">
        <v>933.9</v>
      </c>
    </row>
    <row r="192">
      <c r="A192" s="307">
        <v>28.0</v>
      </c>
      <c r="B192" s="167" t="s">
        <v>592</v>
      </c>
      <c r="C192" s="167" t="s">
        <v>418</v>
      </c>
      <c r="D192" s="308" t="s">
        <v>809</v>
      </c>
      <c r="F192" s="307">
        <v>51.0</v>
      </c>
    </row>
    <row r="193">
      <c r="A193" s="307">
        <v>29.0</v>
      </c>
      <c r="B193" s="167" t="s">
        <v>594</v>
      </c>
      <c r="C193" s="167" t="s">
        <v>418</v>
      </c>
      <c r="D193" s="308" t="s">
        <v>810</v>
      </c>
      <c r="F193" s="307">
        <v>4.2</v>
      </c>
    </row>
    <row r="194">
      <c r="A194" s="307">
        <v>30.0</v>
      </c>
      <c r="B194" s="167" t="s">
        <v>594</v>
      </c>
      <c r="C194" s="167" t="s">
        <v>422</v>
      </c>
      <c r="D194" s="308" t="s">
        <v>811</v>
      </c>
      <c r="F194" s="307">
        <v>100.4</v>
      </c>
    </row>
    <row r="195">
      <c r="A195" s="307">
        <v>31.0</v>
      </c>
      <c r="B195" s="167" t="s">
        <v>596</v>
      </c>
      <c r="C195" s="167" t="s">
        <v>418</v>
      </c>
      <c r="D195" s="308" t="s">
        <v>812</v>
      </c>
      <c r="F195" s="307">
        <v>54.0</v>
      </c>
    </row>
    <row r="196">
      <c r="A196" s="307">
        <v>32.0</v>
      </c>
      <c r="B196" s="167" t="s">
        <v>598</v>
      </c>
      <c r="C196" s="167" t="s">
        <v>418</v>
      </c>
      <c r="D196" s="308" t="s">
        <v>813</v>
      </c>
      <c r="F196" s="307">
        <v>5.2</v>
      </c>
    </row>
    <row r="197">
      <c r="A197" s="307">
        <v>33.0</v>
      </c>
      <c r="B197" s="167" t="s">
        <v>600</v>
      </c>
      <c r="C197" s="167" t="s">
        <v>422</v>
      </c>
      <c r="D197" s="308" t="s">
        <v>814</v>
      </c>
      <c r="F197" s="307">
        <v>2000.0</v>
      </c>
    </row>
    <row r="198">
      <c r="A198" s="307">
        <v>34.0</v>
      </c>
      <c r="B198" s="167" t="s">
        <v>600</v>
      </c>
      <c r="C198" s="167" t="s">
        <v>422</v>
      </c>
      <c r="D198" s="308" t="s">
        <v>815</v>
      </c>
      <c r="F198" s="307">
        <v>1800.0</v>
      </c>
    </row>
    <row r="199">
      <c r="A199" s="307">
        <v>35.0</v>
      </c>
      <c r="B199" s="167" t="s">
        <v>602</v>
      </c>
      <c r="C199" s="167" t="s">
        <v>422</v>
      </c>
      <c r="D199" s="308" t="s">
        <v>816</v>
      </c>
      <c r="F199" s="307">
        <v>64.1</v>
      </c>
    </row>
    <row r="200">
      <c r="A200" s="307">
        <v>36.0</v>
      </c>
      <c r="B200" s="167" t="s">
        <v>602</v>
      </c>
      <c r="C200" s="167" t="s">
        <v>422</v>
      </c>
      <c r="D200" s="308" t="s">
        <v>817</v>
      </c>
      <c r="F200" s="307">
        <v>64.6</v>
      </c>
    </row>
    <row r="201">
      <c r="A201" s="307">
        <v>37.0</v>
      </c>
      <c r="B201" s="167" t="s">
        <v>615</v>
      </c>
      <c r="C201" s="167" t="s">
        <v>418</v>
      </c>
      <c r="D201" s="308" t="s">
        <v>818</v>
      </c>
      <c r="F201" s="307">
        <v>5.8</v>
      </c>
    </row>
    <row r="202">
      <c r="A202" s="307">
        <v>38.0</v>
      </c>
      <c r="B202" s="167" t="s">
        <v>617</v>
      </c>
      <c r="C202" s="167" t="s">
        <v>422</v>
      </c>
      <c r="D202" s="308" t="s">
        <v>819</v>
      </c>
      <c r="F202" s="307">
        <v>342.0</v>
      </c>
    </row>
    <row r="203">
      <c r="A203" s="307">
        <v>39.0</v>
      </c>
      <c r="B203" s="167" t="s">
        <v>617</v>
      </c>
      <c r="C203" s="167" t="s">
        <v>422</v>
      </c>
      <c r="D203" s="308" t="s">
        <v>820</v>
      </c>
      <c r="F203" s="307">
        <v>190.9</v>
      </c>
    </row>
    <row r="204">
      <c r="A204" s="307">
        <v>40.0</v>
      </c>
      <c r="B204" s="167" t="s">
        <v>619</v>
      </c>
      <c r="C204" s="167" t="s">
        <v>422</v>
      </c>
      <c r="D204" s="308" t="s">
        <v>620</v>
      </c>
      <c r="F204" s="307">
        <v>10100.0</v>
      </c>
    </row>
    <row r="205">
      <c r="A205" s="307">
        <v>41.0</v>
      </c>
      <c r="B205" s="167" t="s">
        <v>621</v>
      </c>
      <c r="C205" s="167" t="s">
        <v>422</v>
      </c>
      <c r="D205" s="308" t="s">
        <v>622</v>
      </c>
      <c r="F205" s="307">
        <v>6000.0</v>
      </c>
    </row>
    <row r="206">
      <c r="A206" s="307">
        <v>42.0</v>
      </c>
      <c r="B206" s="167" t="s">
        <v>623</v>
      </c>
      <c r="C206" s="167" t="s">
        <v>422</v>
      </c>
      <c r="D206" s="308" t="s">
        <v>821</v>
      </c>
      <c r="F206" s="307">
        <v>2300.0</v>
      </c>
    </row>
    <row r="207">
      <c r="A207" s="307">
        <v>43.0</v>
      </c>
      <c r="B207" s="167" t="s">
        <v>623</v>
      </c>
      <c r="C207" s="167" t="s">
        <v>422</v>
      </c>
      <c r="D207" s="308" t="s">
        <v>822</v>
      </c>
      <c r="F207" s="307">
        <v>1300.0</v>
      </c>
    </row>
    <row r="208">
      <c r="A208" s="307">
        <v>44.0</v>
      </c>
      <c r="B208" s="167" t="s">
        <v>623</v>
      </c>
      <c r="C208" s="167" t="s">
        <v>422</v>
      </c>
      <c r="D208" s="308" t="s">
        <v>823</v>
      </c>
      <c r="F208" s="307">
        <v>2100.0</v>
      </c>
    </row>
    <row r="209">
      <c r="A209" s="307">
        <v>45.0</v>
      </c>
      <c r="B209" s="167" t="s">
        <v>623</v>
      </c>
      <c r="C209" s="167" t="s">
        <v>422</v>
      </c>
      <c r="D209" s="308" t="s">
        <v>824</v>
      </c>
      <c r="F209" s="307">
        <v>479.0</v>
      </c>
    </row>
    <row r="210">
      <c r="A210" s="307">
        <v>46.0</v>
      </c>
      <c r="B210" s="167" t="s">
        <v>623</v>
      </c>
      <c r="C210" s="167" t="s">
        <v>422</v>
      </c>
      <c r="D210" s="308" t="s">
        <v>825</v>
      </c>
      <c r="F210" s="307">
        <v>564.1</v>
      </c>
    </row>
    <row r="211">
      <c r="A211" s="307">
        <v>47.0</v>
      </c>
      <c r="B211" s="167" t="s">
        <v>623</v>
      </c>
      <c r="C211" s="167" t="s">
        <v>422</v>
      </c>
      <c r="D211" s="308" t="s">
        <v>826</v>
      </c>
      <c r="F211" s="307">
        <v>2900.0</v>
      </c>
    </row>
    <row r="212">
      <c r="A212" s="307">
        <v>48.0</v>
      </c>
      <c r="B212" s="167" t="s">
        <v>625</v>
      </c>
      <c r="C212" s="167" t="s">
        <v>422</v>
      </c>
      <c r="D212" s="308" t="s">
        <v>827</v>
      </c>
      <c r="F212" s="307">
        <v>943.5</v>
      </c>
    </row>
    <row r="213">
      <c r="A213" s="307">
        <v>49.0</v>
      </c>
      <c r="B213" s="167" t="s">
        <v>625</v>
      </c>
      <c r="C213" s="167" t="s">
        <v>422</v>
      </c>
      <c r="D213" s="308" t="s">
        <v>828</v>
      </c>
      <c r="F213" s="307">
        <v>6500.0</v>
      </c>
    </row>
    <row r="214">
      <c r="A214" s="307">
        <v>50.0</v>
      </c>
      <c r="B214" s="167" t="s">
        <v>625</v>
      </c>
      <c r="C214" s="167" t="s">
        <v>422</v>
      </c>
      <c r="D214" s="308" t="s">
        <v>829</v>
      </c>
      <c r="F214" s="307">
        <v>13800.0</v>
      </c>
    </row>
    <row r="215">
      <c r="A215" s="307">
        <v>51.0</v>
      </c>
      <c r="B215" s="167" t="s">
        <v>830</v>
      </c>
      <c r="C215" s="167" t="s">
        <v>422</v>
      </c>
      <c r="D215" s="308" t="s">
        <v>831</v>
      </c>
      <c r="F215" s="307">
        <v>3900.0</v>
      </c>
    </row>
    <row r="216">
      <c r="A216" s="307">
        <v>52.0</v>
      </c>
      <c r="B216" s="167" t="s">
        <v>613</v>
      </c>
      <c r="C216" s="167" t="s">
        <v>418</v>
      </c>
      <c r="D216" s="308" t="s">
        <v>614</v>
      </c>
      <c r="F216" s="307">
        <v>98.0</v>
      </c>
    </row>
    <row r="217">
      <c r="A217" s="307">
        <v>53.0</v>
      </c>
      <c r="B217" s="167" t="s">
        <v>611</v>
      </c>
      <c r="C217" s="167" t="s">
        <v>422</v>
      </c>
      <c r="D217" s="308" t="s">
        <v>832</v>
      </c>
      <c r="F217" s="307">
        <v>118.5</v>
      </c>
    </row>
    <row r="218">
      <c r="A218" s="307">
        <v>54.0</v>
      </c>
      <c r="B218" s="167" t="s">
        <v>611</v>
      </c>
      <c r="C218" s="167" t="s">
        <v>422</v>
      </c>
      <c r="D218" s="308" t="s">
        <v>833</v>
      </c>
      <c r="F218" s="307">
        <v>1800.0</v>
      </c>
    </row>
    <row r="219">
      <c r="A219" s="307">
        <v>55.0</v>
      </c>
      <c r="B219" s="167" t="s">
        <v>606</v>
      </c>
      <c r="C219" s="167" t="s">
        <v>418</v>
      </c>
      <c r="D219" s="308" t="s">
        <v>834</v>
      </c>
      <c r="F219" s="307">
        <v>663.0</v>
      </c>
    </row>
    <row r="220">
      <c r="A220" s="307">
        <v>56.0</v>
      </c>
      <c r="B220" s="167" t="s">
        <v>604</v>
      </c>
      <c r="C220" s="167" t="s">
        <v>422</v>
      </c>
      <c r="D220" s="308" t="s">
        <v>835</v>
      </c>
      <c r="F220" s="307">
        <v>776.7</v>
      </c>
    </row>
    <row r="221">
      <c r="A221" s="307">
        <v>57.0</v>
      </c>
      <c r="B221" s="167" t="s">
        <v>604</v>
      </c>
      <c r="C221" s="167" t="s">
        <v>422</v>
      </c>
      <c r="D221" s="308" t="s">
        <v>836</v>
      </c>
      <c r="F221" s="307">
        <v>495.1</v>
      </c>
    </row>
    <row r="222">
      <c r="A222" s="307">
        <v>58.0</v>
      </c>
      <c r="B222" s="167" t="s">
        <v>604</v>
      </c>
      <c r="C222" s="167" t="s">
        <v>422</v>
      </c>
      <c r="D222" s="308" t="s">
        <v>837</v>
      </c>
      <c r="F222" s="307">
        <v>9700.0</v>
      </c>
    </row>
    <row r="223">
      <c r="A223" s="307">
        <v>59.0</v>
      </c>
      <c r="B223" s="167" t="s">
        <v>606</v>
      </c>
      <c r="C223" s="167" t="s">
        <v>422</v>
      </c>
      <c r="D223" s="308" t="s">
        <v>838</v>
      </c>
      <c r="F223" s="307">
        <v>8400.0</v>
      </c>
    </row>
    <row r="224">
      <c r="A224" s="307">
        <v>60.0</v>
      </c>
      <c r="B224" s="167" t="s">
        <v>606</v>
      </c>
      <c r="C224" s="167" t="s">
        <v>422</v>
      </c>
      <c r="D224" s="308" t="s">
        <v>839</v>
      </c>
      <c r="F224" s="307">
        <v>648.8</v>
      </c>
    </row>
    <row r="225">
      <c r="A225" s="307">
        <v>61.0</v>
      </c>
      <c r="B225" s="167" t="s">
        <v>606</v>
      </c>
      <c r="C225" s="167" t="s">
        <v>422</v>
      </c>
      <c r="D225" s="308" t="s">
        <v>840</v>
      </c>
      <c r="F225" s="307">
        <v>1000.0</v>
      </c>
    </row>
    <row r="226">
      <c r="A226" s="307">
        <v>62.0</v>
      </c>
      <c r="B226" s="167" t="s">
        <v>606</v>
      </c>
      <c r="C226" s="167" t="s">
        <v>609</v>
      </c>
      <c r="D226" s="308" t="s">
        <v>610</v>
      </c>
    </row>
    <row r="227">
      <c r="A227" s="307">
        <v>63.0</v>
      </c>
      <c r="B227" s="167" t="s">
        <v>458</v>
      </c>
      <c r="C227" s="167" t="s">
        <v>422</v>
      </c>
      <c r="D227" s="308" t="s">
        <v>841</v>
      </c>
      <c r="F227" s="307">
        <v>42.3</v>
      </c>
    </row>
    <row r="228">
      <c r="A228" s="307">
        <v>64.0</v>
      </c>
      <c r="B228" s="167" t="s">
        <v>623</v>
      </c>
      <c r="C228" s="167" t="s">
        <v>422</v>
      </c>
      <c r="D228" s="308" t="s">
        <v>842</v>
      </c>
      <c r="F228" s="307">
        <v>3900.0</v>
      </c>
    </row>
    <row r="229">
      <c r="A229" s="307">
        <v>65.0</v>
      </c>
      <c r="B229" s="167" t="s">
        <v>492</v>
      </c>
      <c r="C229" s="167" t="s">
        <v>422</v>
      </c>
      <c r="D229" s="308" t="s">
        <v>843</v>
      </c>
      <c r="F229" s="307">
        <v>1800.0</v>
      </c>
    </row>
    <row r="230">
      <c r="A230" s="307">
        <v>66.0</v>
      </c>
      <c r="B230" s="167" t="s">
        <v>492</v>
      </c>
      <c r="C230" s="167" t="s">
        <v>422</v>
      </c>
      <c r="D230" s="308" t="s">
        <v>844</v>
      </c>
      <c r="F230" s="307">
        <v>822.5</v>
      </c>
    </row>
    <row r="231">
      <c r="A231" s="307">
        <v>67.0</v>
      </c>
      <c r="B231" s="167" t="s">
        <v>845</v>
      </c>
      <c r="C231" s="167" t="s">
        <v>422</v>
      </c>
      <c r="D231" s="308" t="s">
        <v>846</v>
      </c>
      <c r="F231" s="307">
        <v>76.3</v>
      </c>
    </row>
    <row r="232">
      <c r="A232" s="307">
        <v>68.0</v>
      </c>
      <c r="B232" s="167" t="s">
        <v>845</v>
      </c>
      <c r="C232" s="167" t="s">
        <v>422</v>
      </c>
      <c r="D232" s="308" t="s">
        <v>847</v>
      </c>
      <c r="F232" s="307">
        <v>241.5</v>
      </c>
    </row>
    <row r="233">
      <c r="A233" s="307">
        <v>69.0</v>
      </c>
      <c r="B233" s="167" t="s">
        <v>437</v>
      </c>
      <c r="C233" s="167" t="s">
        <v>422</v>
      </c>
      <c r="D233" s="308" t="s">
        <v>848</v>
      </c>
      <c r="F233" s="307">
        <v>85.4</v>
      </c>
    </row>
    <row r="234">
      <c r="A234" s="307">
        <v>70.0</v>
      </c>
      <c r="B234" s="167" t="s">
        <v>490</v>
      </c>
      <c r="C234" s="167" t="s">
        <v>422</v>
      </c>
      <c r="D234" s="308" t="s">
        <v>849</v>
      </c>
      <c r="F234" s="307">
        <v>1200.0</v>
      </c>
    </row>
    <row r="235">
      <c r="A235" s="307">
        <v>71.0</v>
      </c>
      <c r="B235" s="167" t="s">
        <v>490</v>
      </c>
      <c r="C235" s="167" t="s">
        <v>422</v>
      </c>
      <c r="D235" s="308" t="s">
        <v>850</v>
      </c>
      <c r="F235" s="307">
        <v>1349.001</v>
      </c>
    </row>
    <row r="236">
      <c r="A236" s="307">
        <v>72.0</v>
      </c>
      <c r="B236" s="167" t="s">
        <v>851</v>
      </c>
      <c r="C236" s="167" t="s">
        <v>422</v>
      </c>
      <c r="D236" s="308" t="s">
        <v>852</v>
      </c>
      <c r="F236" s="307">
        <v>163.0</v>
      </c>
    </row>
    <row r="237">
      <c r="A237" s="307">
        <v>73.0</v>
      </c>
      <c r="B237" s="167" t="s">
        <v>851</v>
      </c>
      <c r="C237" s="314" t="s">
        <v>422</v>
      </c>
      <c r="D237" s="308" t="s">
        <v>853</v>
      </c>
      <c r="F237" s="307">
        <v>52.3</v>
      </c>
    </row>
    <row r="238">
      <c r="A238" s="307">
        <v>74.0</v>
      </c>
      <c r="B238" s="167" t="s">
        <v>611</v>
      </c>
      <c r="C238" s="314" t="s">
        <v>422</v>
      </c>
      <c r="D238" s="308" t="s">
        <v>854</v>
      </c>
      <c r="F238" s="307">
        <v>168.5</v>
      </c>
    </row>
    <row r="239">
      <c r="A239" s="307">
        <v>75.0</v>
      </c>
      <c r="B239" s="167" t="s">
        <v>443</v>
      </c>
      <c r="C239" s="314" t="s">
        <v>422</v>
      </c>
      <c r="D239" s="308" t="s">
        <v>855</v>
      </c>
      <c r="F239" s="307">
        <v>576.9</v>
      </c>
    </row>
    <row r="240">
      <c r="A240" s="307">
        <v>76.0</v>
      </c>
      <c r="B240" s="167" t="s">
        <v>443</v>
      </c>
      <c r="C240" s="314" t="s">
        <v>422</v>
      </c>
      <c r="D240" s="308" t="s">
        <v>856</v>
      </c>
      <c r="F240" s="307">
        <v>103.1</v>
      </c>
    </row>
    <row r="241">
      <c r="A241" s="307">
        <v>77.0</v>
      </c>
      <c r="B241" s="167" t="s">
        <v>437</v>
      </c>
      <c r="C241" s="314" t="s">
        <v>422</v>
      </c>
      <c r="D241" s="308" t="s">
        <v>857</v>
      </c>
      <c r="F241" s="307">
        <v>54.6</v>
      </c>
    </row>
    <row r="242">
      <c r="A242" s="307">
        <v>78.0</v>
      </c>
      <c r="B242" s="167" t="s">
        <v>623</v>
      </c>
      <c r="C242" s="314" t="s">
        <v>422</v>
      </c>
      <c r="D242" s="308" t="s">
        <v>858</v>
      </c>
      <c r="F242" s="307">
        <v>702.4</v>
      </c>
    </row>
    <row r="243">
      <c r="A243" s="307">
        <v>79.0</v>
      </c>
      <c r="B243" s="167" t="s">
        <v>623</v>
      </c>
      <c r="C243" s="314" t="s">
        <v>422</v>
      </c>
      <c r="D243" s="308" t="s">
        <v>859</v>
      </c>
      <c r="F243" s="307">
        <v>1800.0</v>
      </c>
    </row>
    <row r="244">
      <c r="A244" s="307">
        <v>80.0</v>
      </c>
      <c r="B244" s="167" t="s">
        <v>623</v>
      </c>
      <c r="C244" s="314" t="s">
        <v>422</v>
      </c>
      <c r="D244" s="308" t="s">
        <v>860</v>
      </c>
      <c r="F244" s="307">
        <v>4100.0</v>
      </c>
    </row>
    <row r="245">
      <c r="A245" s="307">
        <v>81.0</v>
      </c>
      <c r="B245" s="167" t="s">
        <v>851</v>
      </c>
      <c r="C245" s="314" t="s">
        <v>422</v>
      </c>
      <c r="D245" s="308" t="s">
        <v>861</v>
      </c>
      <c r="F245" s="307">
        <v>255.9</v>
      </c>
    </row>
    <row r="246">
      <c r="A246" s="307">
        <v>82.0</v>
      </c>
      <c r="B246" s="167" t="s">
        <v>862</v>
      </c>
      <c r="C246" s="314" t="s">
        <v>422</v>
      </c>
      <c r="D246" s="308" t="s">
        <v>863</v>
      </c>
      <c r="F246" s="307">
        <v>338.2</v>
      </c>
    </row>
    <row r="247">
      <c r="A247" s="307">
        <v>83.0</v>
      </c>
      <c r="B247" s="167" t="s">
        <v>864</v>
      </c>
      <c r="C247" s="314" t="s">
        <v>422</v>
      </c>
      <c r="D247" s="308" t="s">
        <v>865</v>
      </c>
      <c r="F247" s="307">
        <v>164.0</v>
      </c>
    </row>
    <row r="248">
      <c r="A248" s="307">
        <v>84.0</v>
      </c>
      <c r="B248" s="167" t="s">
        <v>454</v>
      </c>
      <c r="C248" s="314" t="s">
        <v>422</v>
      </c>
      <c r="D248" s="308" t="s">
        <v>866</v>
      </c>
      <c r="F248" s="307">
        <v>119.0</v>
      </c>
    </row>
    <row r="249">
      <c r="A249" s="307">
        <v>85.0</v>
      </c>
      <c r="B249" s="167" t="s">
        <v>464</v>
      </c>
      <c r="C249" s="314" t="s">
        <v>422</v>
      </c>
      <c r="D249" s="308" t="s">
        <v>867</v>
      </c>
      <c r="F249" s="307">
        <v>8.976</v>
      </c>
    </row>
    <row r="250">
      <c r="A250" s="307">
        <v>86.0</v>
      </c>
      <c r="B250" s="167" t="s">
        <v>868</v>
      </c>
      <c r="C250" s="314" t="s">
        <v>422</v>
      </c>
      <c r="D250" s="308" t="s">
        <v>869</v>
      </c>
      <c r="F250" s="307">
        <v>44.5</v>
      </c>
    </row>
    <row r="251">
      <c r="A251" s="307">
        <v>87.0</v>
      </c>
      <c r="B251" s="167" t="s">
        <v>870</v>
      </c>
      <c r="C251" s="314" t="s">
        <v>422</v>
      </c>
      <c r="D251" s="308" t="s">
        <v>871</v>
      </c>
      <c r="F251" s="307">
        <v>32.9</v>
      </c>
    </row>
    <row r="252">
      <c r="A252" s="307">
        <v>88.0</v>
      </c>
      <c r="B252" s="167" t="s">
        <v>872</v>
      </c>
      <c r="C252" s="314" t="s">
        <v>422</v>
      </c>
      <c r="D252" s="308" t="s">
        <v>873</v>
      </c>
      <c r="F252" s="307">
        <v>196.3</v>
      </c>
    </row>
    <row r="253">
      <c r="A253" s="307">
        <v>89.0</v>
      </c>
      <c r="B253" s="167" t="s">
        <v>872</v>
      </c>
      <c r="C253" s="314" t="s">
        <v>422</v>
      </c>
      <c r="D253" s="308" t="s">
        <v>874</v>
      </c>
      <c r="F253" s="307">
        <v>135.1</v>
      </c>
    </row>
    <row r="254">
      <c r="A254" s="307">
        <v>90.0</v>
      </c>
      <c r="B254" s="167" t="s">
        <v>875</v>
      </c>
      <c r="C254" s="314" t="s">
        <v>422</v>
      </c>
      <c r="D254" s="308" t="s">
        <v>876</v>
      </c>
      <c r="F254" s="307">
        <v>33.6</v>
      </c>
    </row>
    <row r="255">
      <c r="A255" s="307">
        <v>91.0</v>
      </c>
      <c r="B255" s="167" t="s">
        <v>877</v>
      </c>
      <c r="C255" s="314" t="s">
        <v>422</v>
      </c>
      <c r="D255" s="308" t="s">
        <v>878</v>
      </c>
      <c r="F255" s="307">
        <v>8.864</v>
      </c>
    </row>
    <row r="256">
      <c r="A256" s="307">
        <v>92.0</v>
      </c>
      <c r="B256" s="167" t="s">
        <v>879</v>
      </c>
      <c r="C256" s="314" t="s">
        <v>422</v>
      </c>
      <c r="D256" s="308" t="s">
        <v>880</v>
      </c>
      <c r="F256" s="307">
        <v>8.724</v>
      </c>
    </row>
    <row r="257">
      <c r="A257" s="307">
        <v>93.0</v>
      </c>
      <c r="B257" s="167" t="s">
        <v>881</v>
      </c>
      <c r="C257" s="314" t="s">
        <v>422</v>
      </c>
      <c r="D257" s="308" t="s">
        <v>882</v>
      </c>
      <c r="F257" s="307">
        <v>21.3</v>
      </c>
    </row>
    <row r="258">
      <c r="A258" s="307">
        <v>94.0</v>
      </c>
      <c r="B258" s="167" t="s">
        <v>883</v>
      </c>
      <c r="C258" s="314" t="s">
        <v>422</v>
      </c>
      <c r="D258" s="308" t="s">
        <v>884</v>
      </c>
      <c r="F258" s="307">
        <v>3200.0</v>
      </c>
    </row>
    <row r="259">
      <c r="A259" s="307">
        <v>95.0</v>
      </c>
      <c r="B259" s="167" t="s">
        <v>883</v>
      </c>
      <c r="C259" s="314" t="s">
        <v>422</v>
      </c>
      <c r="D259" s="308" t="s">
        <v>885</v>
      </c>
      <c r="F259" s="307">
        <v>677.4</v>
      </c>
    </row>
    <row r="260">
      <c r="A260" s="307">
        <v>96.0</v>
      </c>
      <c r="B260" s="167" t="s">
        <v>886</v>
      </c>
      <c r="C260" s="314" t="s">
        <v>422</v>
      </c>
      <c r="D260" s="308" t="s">
        <v>887</v>
      </c>
      <c r="F260" s="307">
        <v>1400.0</v>
      </c>
    </row>
    <row r="261">
      <c r="A261" s="307">
        <v>97.0</v>
      </c>
      <c r="B261" s="167" t="s">
        <v>886</v>
      </c>
      <c r="C261" s="314" t="s">
        <v>422</v>
      </c>
      <c r="D261" s="308" t="s">
        <v>888</v>
      </c>
      <c r="F261" s="307">
        <v>1900.0</v>
      </c>
    </row>
    <row r="262">
      <c r="A262" s="307">
        <v>98.0</v>
      </c>
      <c r="B262" s="167" t="s">
        <v>889</v>
      </c>
      <c r="C262" s="314" t="s">
        <v>422</v>
      </c>
      <c r="D262" s="308" t="s">
        <v>890</v>
      </c>
      <c r="F262" s="307">
        <v>526.2</v>
      </c>
    </row>
    <row r="263">
      <c r="A263" s="307">
        <v>99.0</v>
      </c>
      <c r="B263" s="167" t="s">
        <v>889</v>
      </c>
      <c r="C263" s="314" t="s">
        <v>422</v>
      </c>
      <c r="D263" s="308" t="s">
        <v>891</v>
      </c>
      <c r="F263" s="307">
        <v>106.5</v>
      </c>
    </row>
    <row r="264">
      <c r="A264" s="307">
        <v>100.0</v>
      </c>
      <c r="B264" s="167" t="s">
        <v>892</v>
      </c>
      <c r="C264" s="314" t="s">
        <v>422</v>
      </c>
      <c r="D264" s="308" t="s">
        <v>893</v>
      </c>
      <c r="F264" s="307">
        <v>97.1</v>
      </c>
    </row>
    <row r="265">
      <c r="A265" s="307">
        <v>101.0</v>
      </c>
      <c r="B265" s="167" t="s">
        <v>604</v>
      </c>
      <c r="C265" s="314" t="s">
        <v>422</v>
      </c>
      <c r="D265" s="308" t="s">
        <v>894</v>
      </c>
      <c r="F265" s="307">
        <v>3800.0</v>
      </c>
    </row>
    <row r="266">
      <c r="A266" s="307">
        <v>102.0</v>
      </c>
      <c r="B266" s="167" t="s">
        <v>611</v>
      </c>
      <c r="C266" s="314" t="s">
        <v>422</v>
      </c>
      <c r="D266" s="308" t="s">
        <v>895</v>
      </c>
      <c r="F266" s="307">
        <v>432.4</v>
      </c>
    </row>
    <row r="267">
      <c r="A267" s="307">
        <v>103.0</v>
      </c>
      <c r="B267" s="167" t="s">
        <v>896</v>
      </c>
      <c r="C267" s="314" t="s">
        <v>418</v>
      </c>
      <c r="D267" s="308" t="s">
        <v>897</v>
      </c>
      <c r="F267" s="307">
        <v>3.6</v>
      </c>
    </row>
    <row r="268">
      <c r="A268" s="307">
        <v>104.0</v>
      </c>
      <c r="B268" s="167" t="s">
        <v>898</v>
      </c>
      <c r="C268" s="314" t="s">
        <v>422</v>
      </c>
      <c r="D268" s="308" t="s">
        <v>899</v>
      </c>
      <c r="F268" s="307">
        <v>5.285</v>
      </c>
    </row>
    <row r="269">
      <c r="A269" s="307">
        <v>105.0</v>
      </c>
      <c r="B269" s="167" t="s">
        <v>900</v>
      </c>
      <c r="C269" s="314" t="s">
        <v>422</v>
      </c>
      <c r="D269" s="308" t="s">
        <v>901</v>
      </c>
      <c r="F269" s="307">
        <v>4700.0</v>
      </c>
    </row>
    <row r="270">
      <c r="A270" s="307">
        <v>106.0</v>
      </c>
      <c r="B270" s="167" t="s">
        <v>900</v>
      </c>
      <c r="C270" s="314" t="s">
        <v>422</v>
      </c>
      <c r="D270" s="308" t="s">
        <v>902</v>
      </c>
      <c r="F270" s="307">
        <v>645.6</v>
      </c>
    </row>
    <row r="271">
      <c r="A271" s="307">
        <v>107.0</v>
      </c>
      <c r="B271" s="167" t="s">
        <v>900</v>
      </c>
      <c r="C271" s="314" t="s">
        <v>422</v>
      </c>
      <c r="D271" s="308" t="s">
        <v>903</v>
      </c>
      <c r="F271" s="307">
        <v>1900.0</v>
      </c>
    </row>
    <row r="272">
      <c r="A272" s="307">
        <v>108.0</v>
      </c>
      <c r="B272" s="167" t="s">
        <v>900</v>
      </c>
      <c r="C272" s="314" t="s">
        <v>422</v>
      </c>
      <c r="D272" s="308" t="s">
        <v>904</v>
      </c>
      <c r="F272" s="307">
        <v>4000.0</v>
      </c>
    </row>
    <row r="273">
      <c r="A273" s="307">
        <v>109.0</v>
      </c>
      <c r="B273" s="167" t="s">
        <v>900</v>
      </c>
      <c r="C273" s="314" t="s">
        <v>422</v>
      </c>
      <c r="D273" s="308" t="s">
        <v>905</v>
      </c>
      <c r="F273" s="307">
        <v>3200.0</v>
      </c>
    </row>
    <row r="274">
      <c r="A274" s="307">
        <v>110.0</v>
      </c>
      <c r="B274" s="167" t="s">
        <v>900</v>
      </c>
      <c r="C274" s="314" t="s">
        <v>422</v>
      </c>
      <c r="D274" s="308" t="s">
        <v>906</v>
      </c>
      <c r="F274" s="307">
        <v>2100.0</v>
      </c>
    </row>
    <row r="275">
      <c r="A275" s="307">
        <v>111.0</v>
      </c>
      <c r="B275" s="167" t="s">
        <v>900</v>
      </c>
      <c r="C275" s="314" t="s">
        <v>422</v>
      </c>
      <c r="D275" s="308" t="s">
        <v>907</v>
      </c>
      <c r="F275" s="307">
        <v>2900.0</v>
      </c>
    </row>
    <row r="276">
      <c r="A276" s="307">
        <v>112.0</v>
      </c>
      <c r="B276" s="167" t="s">
        <v>900</v>
      </c>
      <c r="C276" s="314" t="s">
        <v>422</v>
      </c>
      <c r="D276" s="308" t="s">
        <v>908</v>
      </c>
      <c r="F276" s="307">
        <v>3500.0</v>
      </c>
    </row>
    <row r="277">
      <c r="A277" s="307">
        <v>113.0</v>
      </c>
      <c r="B277" s="167" t="s">
        <v>900</v>
      </c>
      <c r="C277" s="314" t="s">
        <v>422</v>
      </c>
      <c r="D277" s="308" t="s">
        <v>909</v>
      </c>
      <c r="F277" s="307">
        <v>6100.0</v>
      </c>
    </row>
    <row r="278">
      <c r="A278" s="307">
        <v>114.0</v>
      </c>
      <c r="B278" s="167" t="s">
        <v>910</v>
      </c>
      <c r="C278" s="314" t="s">
        <v>422</v>
      </c>
      <c r="D278" s="308" t="s">
        <v>911</v>
      </c>
      <c r="F278" s="307">
        <v>1400.0</v>
      </c>
    </row>
    <row r="279">
      <c r="A279" s="307">
        <v>115.0</v>
      </c>
      <c r="B279" s="167" t="s">
        <v>910</v>
      </c>
      <c r="C279" s="314" t="s">
        <v>422</v>
      </c>
      <c r="D279" s="308" t="s">
        <v>912</v>
      </c>
      <c r="F279" s="307">
        <v>2500.0</v>
      </c>
    </row>
    <row r="280">
      <c r="A280" s="307">
        <v>116.0</v>
      </c>
      <c r="B280" s="167" t="s">
        <v>913</v>
      </c>
      <c r="C280" s="314" t="s">
        <v>609</v>
      </c>
      <c r="D280" s="308" t="s">
        <v>914</v>
      </c>
    </row>
    <row r="281">
      <c r="A281" s="307">
        <v>117.0</v>
      </c>
      <c r="B281" s="167" t="s">
        <v>913</v>
      </c>
      <c r="C281" s="314" t="s">
        <v>609</v>
      </c>
      <c r="D281" s="308" t="s">
        <v>915</v>
      </c>
    </row>
    <row r="282">
      <c r="A282" s="307">
        <v>118.0</v>
      </c>
      <c r="B282" s="167" t="s">
        <v>913</v>
      </c>
      <c r="C282" s="314" t="s">
        <v>609</v>
      </c>
      <c r="D282" s="308" t="s">
        <v>916</v>
      </c>
    </row>
    <row r="283">
      <c r="A283" s="307">
        <v>119.0</v>
      </c>
      <c r="B283" s="167" t="s">
        <v>539</v>
      </c>
      <c r="C283" s="314" t="s">
        <v>418</v>
      </c>
      <c r="D283" s="308" t="s">
        <v>917</v>
      </c>
      <c r="F283" s="307">
        <v>90.0</v>
      </c>
    </row>
    <row r="284">
      <c r="A284" s="307">
        <v>120.0</v>
      </c>
      <c r="B284" s="167" t="s">
        <v>534</v>
      </c>
      <c r="C284" s="314" t="s">
        <v>418</v>
      </c>
      <c r="D284" s="308" t="s">
        <v>918</v>
      </c>
      <c r="F284" s="307">
        <v>102.0</v>
      </c>
    </row>
    <row r="285">
      <c r="A285" s="307">
        <v>121.0</v>
      </c>
      <c r="B285" s="167" t="s">
        <v>534</v>
      </c>
      <c r="C285" s="314" t="s">
        <v>418</v>
      </c>
      <c r="D285" s="308" t="s">
        <v>919</v>
      </c>
      <c r="F285" s="307">
        <v>50.0</v>
      </c>
    </row>
    <row r="286">
      <c r="A286" s="307">
        <v>122.0</v>
      </c>
      <c r="B286" s="167" t="s">
        <v>920</v>
      </c>
      <c r="C286" s="314" t="s">
        <v>422</v>
      </c>
      <c r="D286" s="308" t="s">
        <v>921</v>
      </c>
      <c r="F286" s="307">
        <v>1100.0</v>
      </c>
    </row>
    <row r="287">
      <c r="A287" s="307">
        <v>123.0</v>
      </c>
      <c r="B287" s="167" t="s">
        <v>920</v>
      </c>
      <c r="C287" s="314" t="s">
        <v>422</v>
      </c>
      <c r="D287" s="308" t="s">
        <v>923</v>
      </c>
      <c r="F287" s="307">
        <v>116.7</v>
      </c>
    </row>
    <row r="288">
      <c r="A288" s="307">
        <v>124.0</v>
      </c>
      <c r="B288" s="167" t="s">
        <v>924</v>
      </c>
      <c r="C288" s="314" t="s">
        <v>422</v>
      </c>
      <c r="D288" s="308" t="s">
        <v>925</v>
      </c>
      <c r="F288" s="307">
        <v>1100.0</v>
      </c>
    </row>
    <row r="289">
      <c r="A289" s="307">
        <v>125.0</v>
      </c>
      <c r="B289" s="167" t="s">
        <v>924</v>
      </c>
      <c r="C289" s="314" t="s">
        <v>422</v>
      </c>
      <c r="D289" s="308" t="s">
        <v>927</v>
      </c>
      <c r="F289" s="307">
        <v>55.6</v>
      </c>
    </row>
    <row r="290">
      <c r="A290" s="307">
        <v>126.0</v>
      </c>
      <c r="B290" s="167" t="s">
        <v>924</v>
      </c>
      <c r="C290" s="314" t="s">
        <v>422</v>
      </c>
      <c r="D290" s="308" t="s">
        <v>1199</v>
      </c>
      <c r="F290" s="307">
        <v>125.8</v>
      </c>
    </row>
    <row r="291">
      <c r="A291" s="307">
        <v>127.0</v>
      </c>
      <c r="B291" s="167" t="s">
        <v>924</v>
      </c>
      <c r="C291" s="314" t="s">
        <v>422</v>
      </c>
      <c r="D291" s="308" t="s">
        <v>929</v>
      </c>
      <c r="F291" s="307">
        <v>764.2</v>
      </c>
    </row>
    <row r="292">
      <c r="A292" s="307">
        <v>128.0</v>
      </c>
      <c r="B292" s="167" t="s">
        <v>924</v>
      </c>
      <c r="C292" s="314" t="s">
        <v>422</v>
      </c>
      <c r="D292" s="308" t="s">
        <v>930</v>
      </c>
      <c r="F292" s="307">
        <v>53.8</v>
      </c>
    </row>
    <row r="293">
      <c r="A293" s="307">
        <v>129.0</v>
      </c>
      <c r="B293" s="167" t="s">
        <v>924</v>
      </c>
      <c r="C293" s="314" t="s">
        <v>422</v>
      </c>
      <c r="D293" s="308" t="s">
        <v>931</v>
      </c>
      <c r="F293" s="307">
        <v>1200.0</v>
      </c>
    </row>
    <row r="294">
      <c r="A294" s="307">
        <v>130.0</v>
      </c>
      <c r="B294" s="167" t="s">
        <v>924</v>
      </c>
      <c r="C294" s="314" t="s">
        <v>422</v>
      </c>
      <c r="D294" s="308" t="s">
        <v>932</v>
      </c>
      <c r="F294" s="307">
        <v>34.6</v>
      </c>
    </row>
    <row r="295">
      <c r="A295" s="307">
        <v>131.0</v>
      </c>
      <c r="B295" s="167" t="s">
        <v>933</v>
      </c>
      <c r="C295" s="314" t="s">
        <v>422</v>
      </c>
      <c r="D295" s="308" t="s">
        <v>1200</v>
      </c>
      <c r="F295" s="307">
        <v>230.2</v>
      </c>
    </row>
    <row r="296">
      <c r="A296" s="307">
        <v>132.0</v>
      </c>
      <c r="B296" s="167" t="s">
        <v>933</v>
      </c>
      <c r="C296" s="314" t="s">
        <v>422</v>
      </c>
      <c r="D296" s="308" t="s">
        <v>935</v>
      </c>
      <c r="F296" s="307">
        <v>2700.0</v>
      </c>
    </row>
    <row r="297">
      <c r="A297" s="307">
        <v>133.0</v>
      </c>
      <c r="B297" s="167" t="s">
        <v>933</v>
      </c>
      <c r="C297" s="314" t="s">
        <v>422</v>
      </c>
      <c r="D297" s="308" t="s">
        <v>936</v>
      </c>
      <c r="F297" s="307">
        <v>75.4</v>
      </c>
    </row>
    <row r="298">
      <c r="A298" s="307">
        <v>134.0</v>
      </c>
      <c r="B298" s="167" t="s">
        <v>933</v>
      </c>
      <c r="C298" s="314" t="s">
        <v>422</v>
      </c>
      <c r="D298" s="308" t="s">
        <v>937</v>
      </c>
      <c r="F298" s="307">
        <v>229.8</v>
      </c>
    </row>
    <row r="299">
      <c r="A299" s="307">
        <v>135.0</v>
      </c>
      <c r="B299" s="167" t="s">
        <v>933</v>
      </c>
      <c r="C299" s="314" t="s">
        <v>422</v>
      </c>
      <c r="D299" s="308" t="s">
        <v>938</v>
      </c>
      <c r="F299" s="307">
        <v>216.2</v>
      </c>
    </row>
    <row r="300">
      <c r="A300" s="307">
        <v>136.0</v>
      </c>
      <c r="B300" s="167" t="s">
        <v>933</v>
      </c>
      <c r="C300" s="314" t="s">
        <v>422</v>
      </c>
      <c r="D300" s="308" t="s">
        <v>939</v>
      </c>
      <c r="F300" s="307">
        <v>164.5</v>
      </c>
    </row>
    <row r="301">
      <c r="A301" s="307">
        <v>137.0</v>
      </c>
      <c r="B301" s="167" t="s">
        <v>553</v>
      </c>
      <c r="C301" s="314" t="s">
        <v>422</v>
      </c>
      <c r="D301" s="308" t="s">
        <v>940</v>
      </c>
      <c r="F301" s="307">
        <v>187.1</v>
      </c>
    </row>
    <row r="302">
      <c r="A302" s="307">
        <v>138.0</v>
      </c>
      <c r="B302" s="167" t="s">
        <v>553</v>
      </c>
      <c r="C302" s="314" t="s">
        <v>422</v>
      </c>
      <c r="D302" s="308" t="s">
        <v>941</v>
      </c>
      <c r="F302" s="307">
        <v>1800.0</v>
      </c>
    </row>
    <row r="303">
      <c r="A303" s="307">
        <v>139.0</v>
      </c>
      <c r="B303" s="167" t="s">
        <v>553</v>
      </c>
      <c r="C303" s="314" t="s">
        <v>422</v>
      </c>
      <c r="D303" s="308" t="s">
        <v>942</v>
      </c>
      <c r="F303" s="307">
        <v>146.5</v>
      </c>
    </row>
    <row r="304">
      <c r="A304" s="307">
        <v>140.0</v>
      </c>
      <c r="B304" s="167" t="s">
        <v>553</v>
      </c>
      <c r="C304" s="314" t="s">
        <v>422</v>
      </c>
      <c r="D304" s="308" t="s">
        <v>943</v>
      </c>
      <c r="F304" s="307">
        <v>105.4</v>
      </c>
    </row>
    <row r="305">
      <c r="A305" s="307">
        <v>141.0</v>
      </c>
      <c r="B305" s="167" t="s">
        <v>944</v>
      </c>
      <c r="C305" s="314" t="s">
        <v>422</v>
      </c>
      <c r="D305" s="308" t="s">
        <v>945</v>
      </c>
      <c r="F305" s="307">
        <v>1200.0</v>
      </c>
    </row>
    <row r="306">
      <c r="A306" s="307">
        <v>142.0</v>
      </c>
      <c r="B306" s="167" t="s">
        <v>944</v>
      </c>
      <c r="C306" s="314" t="s">
        <v>422</v>
      </c>
      <c r="D306" s="308" t="s">
        <v>946</v>
      </c>
      <c r="F306" s="307">
        <v>455.0</v>
      </c>
    </row>
    <row r="307">
      <c r="A307" s="307">
        <v>143.0</v>
      </c>
      <c r="B307" s="167" t="s">
        <v>944</v>
      </c>
      <c r="C307" s="314" t="s">
        <v>422</v>
      </c>
      <c r="D307" s="308" t="s">
        <v>947</v>
      </c>
      <c r="F307" s="307">
        <v>217.0</v>
      </c>
    </row>
    <row r="308">
      <c r="A308" s="307">
        <v>144.0</v>
      </c>
      <c r="B308" s="167" t="s">
        <v>944</v>
      </c>
      <c r="C308" s="314" t="s">
        <v>422</v>
      </c>
      <c r="D308" s="308" t="s">
        <v>948</v>
      </c>
      <c r="F308" s="307">
        <v>4000.0</v>
      </c>
    </row>
    <row r="309">
      <c r="A309" s="307">
        <v>145.0</v>
      </c>
      <c r="B309" s="167" t="s">
        <v>944</v>
      </c>
      <c r="C309" s="314" t="s">
        <v>422</v>
      </c>
      <c r="D309" s="308" t="s">
        <v>949</v>
      </c>
      <c r="F309" s="307">
        <v>972.9</v>
      </c>
    </row>
    <row r="310">
      <c r="A310" s="307">
        <v>146.0</v>
      </c>
      <c r="B310" s="167" t="s">
        <v>950</v>
      </c>
      <c r="C310" s="314" t="s">
        <v>422</v>
      </c>
      <c r="D310" s="308" t="s">
        <v>951</v>
      </c>
      <c r="F310" s="307">
        <v>869.8</v>
      </c>
    </row>
    <row r="311">
      <c r="A311" s="307">
        <v>147.0</v>
      </c>
      <c r="B311" s="167" t="s">
        <v>950</v>
      </c>
      <c r="C311" s="314" t="s">
        <v>422</v>
      </c>
      <c r="D311" s="308" t="s">
        <v>952</v>
      </c>
      <c r="F311" s="307">
        <v>2600.0</v>
      </c>
    </row>
    <row r="312">
      <c r="A312" s="307">
        <v>148.0</v>
      </c>
      <c r="B312" s="167" t="s">
        <v>953</v>
      </c>
      <c r="C312" s="314" t="s">
        <v>422</v>
      </c>
      <c r="D312" s="308" t="s">
        <v>954</v>
      </c>
      <c r="F312" s="307">
        <v>166.8</v>
      </c>
    </row>
    <row r="313">
      <c r="A313" s="307">
        <v>149.0</v>
      </c>
      <c r="B313" s="167" t="s">
        <v>953</v>
      </c>
      <c r="C313" s="314" t="s">
        <v>422</v>
      </c>
      <c r="D313" s="308" t="s">
        <v>955</v>
      </c>
      <c r="F313" s="307">
        <v>100.9</v>
      </c>
    </row>
    <row r="314">
      <c r="A314" s="307">
        <v>150.0</v>
      </c>
      <c r="B314" s="167" t="s">
        <v>913</v>
      </c>
      <c r="C314" s="314" t="s">
        <v>422</v>
      </c>
      <c r="D314" s="308" t="s">
        <v>956</v>
      </c>
      <c r="F314" s="307">
        <v>338.1</v>
      </c>
    </row>
    <row r="315">
      <c r="A315" s="307">
        <v>151.0</v>
      </c>
      <c r="B315" s="167" t="s">
        <v>913</v>
      </c>
      <c r="C315" s="314" t="s">
        <v>422</v>
      </c>
      <c r="D315" s="308" t="s">
        <v>957</v>
      </c>
      <c r="F315" s="307">
        <v>1700.0</v>
      </c>
    </row>
    <row r="316">
      <c r="A316" s="307">
        <v>152.0</v>
      </c>
      <c r="B316" s="167" t="s">
        <v>913</v>
      </c>
      <c r="C316" s="314" t="s">
        <v>422</v>
      </c>
      <c r="D316" s="308" t="s">
        <v>958</v>
      </c>
      <c r="F316" s="307">
        <v>338.8</v>
      </c>
    </row>
    <row r="317">
      <c r="A317" s="307">
        <v>153.0</v>
      </c>
      <c r="B317" s="167" t="s">
        <v>913</v>
      </c>
      <c r="C317" s="314" t="s">
        <v>422</v>
      </c>
      <c r="D317" s="308" t="s">
        <v>1201</v>
      </c>
      <c r="F317" s="307">
        <v>292.7</v>
      </c>
    </row>
    <row r="318">
      <c r="A318" s="307">
        <v>154.0</v>
      </c>
      <c r="B318" s="167" t="s">
        <v>913</v>
      </c>
      <c r="C318" s="314" t="s">
        <v>422</v>
      </c>
      <c r="D318" s="308" t="s">
        <v>960</v>
      </c>
      <c r="F318" s="307">
        <v>377.0</v>
      </c>
    </row>
    <row r="319">
      <c r="A319" s="307">
        <v>155.0</v>
      </c>
      <c r="B319" s="167" t="s">
        <v>913</v>
      </c>
      <c r="C319" s="314" t="s">
        <v>422</v>
      </c>
      <c r="D319" s="308" t="s">
        <v>961</v>
      </c>
      <c r="F319" s="307">
        <v>5200.0</v>
      </c>
    </row>
    <row r="320">
      <c r="A320" s="307">
        <v>156.0</v>
      </c>
      <c r="B320" s="167" t="s">
        <v>913</v>
      </c>
      <c r="C320" s="314" t="s">
        <v>422</v>
      </c>
      <c r="D320" s="308" t="s">
        <v>962</v>
      </c>
      <c r="F320" s="307">
        <v>63.2</v>
      </c>
    </row>
    <row r="321">
      <c r="A321" s="307">
        <v>157.0</v>
      </c>
      <c r="B321" s="167" t="s">
        <v>913</v>
      </c>
      <c r="C321" s="314" t="s">
        <v>422</v>
      </c>
      <c r="D321" s="308" t="s">
        <v>963</v>
      </c>
      <c r="F321" s="307">
        <v>28.0</v>
      </c>
    </row>
    <row r="322">
      <c r="A322" s="307">
        <v>158.0</v>
      </c>
      <c r="B322" s="167" t="s">
        <v>964</v>
      </c>
      <c r="C322" s="314" t="s">
        <v>422</v>
      </c>
      <c r="D322" s="308" t="s">
        <v>965</v>
      </c>
      <c r="F322" s="307">
        <v>1000.0</v>
      </c>
    </row>
    <row r="323">
      <c r="A323" s="307">
        <v>159.0</v>
      </c>
      <c r="B323" s="167" t="s">
        <v>964</v>
      </c>
      <c r="C323" s="314" t="s">
        <v>422</v>
      </c>
      <c r="D323" s="308" t="s">
        <v>966</v>
      </c>
      <c r="F323" s="307">
        <v>505.2</v>
      </c>
    </row>
    <row r="324">
      <c r="A324" s="307">
        <v>160.0</v>
      </c>
      <c r="B324" s="167" t="s">
        <v>964</v>
      </c>
      <c r="C324" s="314" t="s">
        <v>422</v>
      </c>
      <c r="D324" s="308" t="s">
        <v>967</v>
      </c>
      <c r="F324" s="307">
        <v>0.34</v>
      </c>
    </row>
    <row r="325">
      <c r="A325" s="307">
        <v>161.0</v>
      </c>
      <c r="B325" s="167" t="s">
        <v>964</v>
      </c>
      <c r="C325" s="314" t="s">
        <v>418</v>
      </c>
      <c r="D325" s="308" t="s">
        <v>968</v>
      </c>
      <c r="F325" s="307">
        <v>50.0</v>
      </c>
    </row>
    <row r="326">
      <c r="A326" s="307">
        <v>162.0</v>
      </c>
      <c r="B326" s="167" t="s">
        <v>969</v>
      </c>
      <c r="C326" s="314" t="s">
        <v>418</v>
      </c>
      <c r="D326" s="308" t="s">
        <v>970</v>
      </c>
      <c r="F326" s="307">
        <v>55.0</v>
      </c>
    </row>
    <row r="327">
      <c r="A327" s="307">
        <v>163.0</v>
      </c>
      <c r="B327" s="167" t="s">
        <v>971</v>
      </c>
      <c r="C327" s="314" t="s">
        <v>418</v>
      </c>
      <c r="D327" s="308" t="s">
        <v>972</v>
      </c>
      <c r="F327" s="307">
        <v>5.5</v>
      </c>
    </row>
    <row r="328">
      <c r="A328" s="307">
        <v>164.0</v>
      </c>
      <c r="B328" s="167" t="s">
        <v>973</v>
      </c>
      <c r="C328" s="314" t="s">
        <v>418</v>
      </c>
      <c r="D328" s="308" t="s">
        <v>974</v>
      </c>
      <c r="F328" s="307">
        <v>104.0</v>
      </c>
    </row>
    <row r="329">
      <c r="A329" s="307">
        <v>165.0</v>
      </c>
      <c r="B329" s="167" t="s">
        <v>975</v>
      </c>
      <c r="C329" s="314" t="s">
        <v>422</v>
      </c>
      <c r="D329" s="308" t="s">
        <v>976</v>
      </c>
      <c r="F329" s="307">
        <v>70.4</v>
      </c>
    </row>
    <row r="330">
      <c r="A330" s="307">
        <v>166.0</v>
      </c>
      <c r="B330" s="167" t="s">
        <v>975</v>
      </c>
      <c r="C330" s="314" t="s">
        <v>422</v>
      </c>
      <c r="D330" s="308" t="s">
        <v>977</v>
      </c>
      <c r="F330" s="307">
        <v>35.2</v>
      </c>
    </row>
    <row r="331">
      <c r="A331" s="307">
        <v>167.0</v>
      </c>
      <c r="B331" s="167" t="s">
        <v>978</v>
      </c>
      <c r="C331" s="314" t="s">
        <v>418</v>
      </c>
      <c r="D331" s="308" t="s">
        <v>979</v>
      </c>
      <c r="F331" s="307">
        <v>3.9</v>
      </c>
    </row>
    <row r="332">
      <c r="A332" s="307">
        <v>168.0</v>
      </c>
      <c r="B332" s="167" t="s">
        <v>981</v>
      </c>
      <c r="C332" s="314" t="s">
        <v>418</v>
      </c>
      <c r="D332" s="308" t="s">
        <v>982</v>
      </c>
      <c r="F332" s="307">
        <v>41.0</v>
      </c>
    </row>
    <row r="333">
      <c r="A333" s="307">
        <v>169.0</v>
      </c>
      <c r="B333" s="167" t="s">
        <v>983</v>
      </c>
      <c r="C333" s="314" t="s">
        <v>418</v>
      </c>
      <c r="D333" s="308" t="s">
        <v>984</v>
      </c>
    </row>
    <row r="334">
      <c r="A334" s="307">
        <v>170.0</v>
      </c>
      <c r="B334" s="167" t="s">
        <v>985</v>
      </c>
      <c r="C334" s="314" t="s">
        <v>418</v>
      </c>
      <c r="D334" s="308" t="s">
        <v>986</v>
      </c>
    </row>
    <row r="335">
      <c r="A335" s="307">
        <v>171.0</v>
      </c>
      <c r="B335" s="167" t="s">
        <v>987</v>
      </c>
      <c r="C335" s="314" t="s">
        <v>418</v>
      </c>
      <c r="D335" s="308" t="s">
        <v>988</v>
      </c>
    </row>
    <row r="336">
      <c r="A336" s="307">
        <v>172.0</v>
      </c>
      <c r="B336" s="167" t="s">
        <v>989</v>
      </c>
      <c r="C336" s="314" t="s">
        <v>418</v>
      </c>
      <c r="D336" s="308" t="s">
        <v>990</v>
      </c>
    </row>
    <row r="337">
      <c r="A337" s="307">
        <v>173.0</v>
      </c>
      <c r="B337" s="167" t="s">
        <v>991</v>
      </c>
      <c r="C337" s="314" t="s">
        <v>422</v>
      </c>
      <c r="D337" s="308" t="s">
        <v>992</v>
      </c>
      <c r="F337" s="307">
        <v>51.6</v>
      </c>
    </row>
    <row r="338">
      <c r="A338" s="307">
        <v>174.0</v>
      </c>
      <c r="B338" s="167" t="s">
        <v>993</v>
      </c>
      <c r="C338" s="314" t="s">
        <v>418</v>
      </c>
      <c r="D338" s="308" t="s">
        <v>994</v>
      </c>
      <c r="F338" s="307">
        <v>55.0</v>
      </c>
    </row>
    <row r="339">
      <c r="A339" s="307">
        <v>175.0</v>
      </c>
      <c r="B339" s="167" t="s">
        <v>995</v>
      </c>
      <c r="C339" s="314" t="s">
        <v>418</v>
      </c>
      <c r="D339" s="308" t="s">
        <v>996</v>
      </c>
      <c r="F339" s="307">
        <v>33.0</v>
      </c>
    </row>
    <row r="340">
      <c r="A340" s="307">
        <v>176.0</v>
      </c>
      <c r="B340" s="167" t="s">
        <v>900</v>
      </c>
      <c r="C340" s="314" t="s">
        <v>418</v>
      </c>
      <c r="D340" s="308" t="s">
        <v>997</v>
      </c>
      <c r="F340" s="307">
        <v>271.0</v>
      </c>
    </row>
    <row r="341">
      <c r="A341" s="307">
        <v>177.0</v>
      </c>
      <c r="B341" s="167" t="s">
        <v>900</v>
      </c>
      <c r="C341" s="314" t="s">
        <v>418</v>
      </c>
      <c r="D341" s="308" t="s">
        <v>998</v>
      </c>
      <c r="F341" s="307">
        <v>1000.0</v>
      </c>
    </row>
    <row r="342">
      <c r="A342" s="307">
        <v>178.0</v>
      </c>
      <c r="B342" s="167" t="s">
        <v>900</v>
      </c>
      <c r="C342" s="314" t="s">
        <v>418</v>
      </c>
      <c r="D342" s="308" t="s">
        <v>999</v>
      </c>
      <c r="F342" s="307">
        <v>412.0</v>
      </c>
    </row>
    <row r="343">
      <c r="A343" s="307">
        <v>179.0</v>
      </c>
      <c r="B343" s="167" t="s">
        <v>900</v>
      </c>
      <c r="C343" s="314" t="s">
        <v>418</v>
      </c>
      <c r="D343" s="308" t="s">
        <v>1000</v>
      </c>
      <c r="F343" s="307">
        <v>307.0</v>
      </c>
    </row>
    <row r="344">
      <c r="A344" s="307">
        <v>180.0</v>
      </c>
      <c r="B344" s="167" t="s">
        <v>913</v>
      </c>
      <c r="C344" s="314" t="s">
        <v>418</v>
      </c>
      <c r="D344" s="308" t="s">
        <v>1001</v>
      </c>
      <c r="F344" s="307">
        <v>97.0</v>
      </c>
    </row>
    <row r="345">
      <c r="A345" s="307">
        <v>181.0</v>
      </c>
      <c r="B345" s="167" t="s">
        <v>913</v>
      </c>
      <c r="C345" s="314" t="s">
        <v>418</v>
      </c>
      <c r="D345" s="308" t="s">
        <v>1002</v>
      </c>
      <c r="F345" s="307">
        <v>158.0</v>
      </c>
    </row>
    <row r="346">
      <c r="A346" s="307">
        <v>182.0</v>
      </c>
      <c r="B346" s="167" t="s">
        <v>913</v>
      </c>
      <c r="C346" s="314" t="s">
        <v>418</v>
      </c>
      <c r="D346" s="308" t="s">
        <v>1003</v>
      </c>
      <c r="F346" s="307">
        <v>17.0</v>
      </c>
    </row>
    <row r="347">
      <c r="A347" s="307">
        <v>183.0</v>
      </c>
      <c r="B347" s="167" t="s">
        <v>913</v>
      </c>
      <c r="C347" s="314" t="s">
        <v>418</v>
      </c>
      <c r="D347" s="308" t="s">
        <v>1004</v>
      </c>
      <c r="F347" s="307">
        <v>14.0</v>
      </c>
    </row>
    <row r="348">
      <c r="A348" s="307">
        <v>184.0</v>
      </c>
      <c r="B348" s="167" t="s">
        <v>1005</v>
      </c>
      <c r="C348" s="314" t="s">
        <v>422</v>
      </c>
      <c r="D348" s="308" t="s">
        <v>1006</v>
      </c>
    </row>
    <row r="349">
      <c r="A349" s="307">
        <v>185.0</v>
      </c>
      <c r="B349" s="167" t="s">
        <v>1007</v>
      </c>
      <c r="C349" s="314" t="s">
        <v>422</v>
      </c>
      <c r="D349" s="308" t="s">
        <v>1008</v>
      </c>
      <c r="F349" s="307">
        <v>9200.0</v>
      </c>
    </row>
    <row r="350">
      <c r="A350" s="307">
        <v>186.0</v>
      </c>
      <c r="B350" s="167" t="s">
        <v>1007</v>
      </c>
      <c r="C350" s="314" t="s">
        <v>422</v>
      </c>
      <c r="D350" s="308" t="s">
        <v>1009</v>
      </c>
      <c r="F350" s="307">
        <v>2400.0</v>
      </c>
    </row>
    <row r="351">
      <c r="A351" s="307">
        <v>187.0</v>
      </c>
      <c r="B351" s="167" t="s">
        <v>1007</v>
      </c>
      <c r="C351" s="314" t="s">
        <v>422</v>
      </c>
      <c r="D351" s="308" t="s">
        <v>1010</v>
      </c>
      <c r="F351" s="307">
        <v>4600.0</v>
      </c>
    </row>
    <row r="352">
      <c r="A352" s="307">
        <v>188.0</v>
      </c>
      <c r="B352" s="167" t="s">
        <v>1007</v>
      </c>
      <c r="C352" s="314" t="s">
        <v>422</v>
      </c>
      <c r="D352" s="308" t="s">
        <v>1011</v>
      </c>
      <c r="F352" s="307">
        <v>6000.0</v>
      </c>
    </row>
    <row r="353">
      <c r="A353" s="307">
        <v>189.0</v>
      </c>
      <c r="B353" s="167" t="s">
        <v>1007</v>
      </c>
      <c r="C353" s="314" t="s">
        <v>422</v>
      </c>
      <c r="D353" s="308" t="s">
        <v>1012</v>
      </c>
      <c r="F353" s="307">
        <v>535.4</v>
      </c>
    </row>
    <row r="354">
      <c r="A354" s="307">
        <v>190.0</v>
      </c>
      <c r="B354" s="167" t="s">
        <v>561</v>
      </c>
      <c r="C354" s="314" t="s">
        <v>422</v>
      </c>
      <c r="D354" s="308" t="s">
        <v>1013</v>
      </c>
      <c r="F354" s="307">
        <v>159.2</v>
      </c>
    </row>
    <row r="355">
      <c r="A355" s="307">
        <v>191.0</v>
      </c>
      <c r="B355" s="167" t="s">
        <v>561</v>
      </c>
      <c r="C355" s="314" t="s">
        <v>422</v>
      </c>
      <c r="D355" s="308" t="s">
        <v>1014</v>
      </c>
      <c r="F355" s="307">
        <v>341.9</v>
      </c>
    </row>
    <row r="356">
      <c r="A356" s="307">
        <v>192.0</v>
      </c>
      <c r="B356" s="167" t="s">
        <v>561</v>
      </c>
      <c r="C356" s="314" t="s">
        <v>422</v>
      </c>
      <c r="D356" s="308" t="s">
        <v>1015</v>
      </c>
      <c r="F356" s="307">
        <v>76.3</v>
      </c>
    </row>
    <row r="357">
      <c r="A357" s="307">
        <v>193.0</v>
      </c>
      <c r="B357" s="167" t="s">
        <v>1016</v>
      </c>
      <c r="C357" s="314" t="s">
        <v>422</v>
      </c>
      <c r="D357" s="308" t="s">
        <v>1017</v>
      </c>
      <c r="F357" s="307">
        <v>1100.0</v>
      </c>
    </row>
    <row r="358">
      <c r="A358" s="307">
        <v>194.0</v>
      </c>
      <c r="B358" s="167" t="s">
        <v>1016</v>
      </c>
      <c r="C358" s="314" t="s">
        <v>422</v>
      </c>
      <c r="D358" s="308" t="s">
        <v>1018</v>
      </c>
      <c r="F358" s="307">
        <v>1400.0</v>
      </c>
    </row>
    <row r="359">
      <c r="A359" s="307">
        <v>195.0</v>
      </c>
      <c r="B359" s="167" t="s">
        <v>1016</v>
      </c>
      <c r="C359" s="314" t="s">
        <v>422</v>
      </c>
      <c r="D359" s="308" t="s">
        <v>1019</v>
      </c>
      <c r="F359" s="307">
        <v>88.7</v>
      </c>
    </row>
    <row r="360">
      <c r="A360" s="307">
        <v>196.0</v>
      </c>
      <c r="B360" s="167" t="s">
        <v>1016</v>
      </c>
      <c r="C360" s="314" t="s">
        <v>422</v>
      </c>
      <c r="D360" s="308" t="s">
        <v>1020</v>
      </c>
      <c r="F360" s="307">
        <v>164.6</v>
      </c>
    </row>
    <row r="361">
      <c r="A361" s="307">
        <v>197.0</v>
      </c>
      <c r="B361" s="167" t="s">
        <v>1016</v>
      </c>
      <c r="C361" s="314" t="s">
        <v>422</v>
      </c>
      <c r="D361" s="308" t="s">
        <v>1021</v>
      </c>
      <c r="F361" s="307">
        <v>462.3</v>
      </c>
    </row>
    <row r="362">
      <c r="A362" s="307">
        <v>198.0</v>
      </c>
      <c r="B362" s="167" t="s">
        <v>1016</v>
      </c>
      <c r="C362" s="314" t="s">
        <v>422</v>
      </c>
      <c r="D362" s="308" t="s">
        <v>1022</v>
      </c>
      <c r="F362" s="307">
        <v>18.2</v>
      </c>
    </row>
    <row r="363">
      <c r="A363" s="307">
        <v>199.0</v>
      </c>
      <c r="B363" s="167" t="s">
        <v>1016</v>
      </c>
      <c r="C363" s="314" t="s">
        <v>418</v>
      </c>
      <c r="D363" s="308" t="s">
        <v>1023</v>
      </c>
      <c r="F363" s="307">
        <v>306.0</v>
      </c>
    </row>
    <row r="364">
      <c r="A364" s="307">
        <v>200.0</v>
      </c>
      <c r="B364" s="167" t="s">
        <v>1016</v>
      </c>
      <c r="C364" s="314" t="s">
        <v>418</v>
      </c>
      <c r="D364" s="308" t="s">
        <v>1024</v>
      </c>
      <c r="F364" s="307">
        <v>48.0</v>
      </c>
    </row>
    <row r="365">
      <c r="A365" s="307">
        <v>201.0</v>
      </c>
      <c r="B365" s="167" t="s">
        <v>583</v>
      </c>
      <c r="C365" s="314" t="s">
        <v>422</v>
      </c>
      <c r="D365" s="308" t="s">
        <v>1025</v>
      </c>
      <c r="F365" s="307">
        <v>318.0</v>
      </c>
    </row>
    <row r="366">
      <c r="A366" s="307">
        <v>202.0</v>
      </c>
      <c r="B366" s="167" t="s">
        <v>583</v>
      </c>
      <c r="C366" s="314" t="s">
        <v>422</v>
      </c>
      <c r="D366" s="308" t="s">
        <v>1026</v>
      </c>
      <c r="F366" s="307">
        <v>2100.0</v>
      </c>
    </row>
    <row r="367">
      <c r="A367" s="307">
        <v>203.0</v>
      </c>
      <c r="B367" s="167" t="s">
        <v>583</v>
      </c>
      <c r="C367" s="314" t="s">
        <v>422</v>
      </c>
      <c r="D367" s="308" t="s">
        <v>1027</v>
      </c>
      <c r="F367" s="307">
        <v>1000.0</v>
      </c>
    </row>
    <row r="368">
      <c r="A368" s="307">
        <v>204.0</v>
      </c>
      <c r="B368" s="167" t="s">
        <v>583</v>
      </c>
      <c r="C368" s="314" t="s">
        <v>422</v>
      </c>
      <c r="D368" s="308" t="s">
        <v>1028</v>
      </c>
      <c r="F368" s="307">
        <v>116.6</v>
      </c>
    </row>
    <row r="369">
      <c r="A369" s="307">
        <v>205.0</v>
      </c>
      <c r="B369" s="167" t="s">
        <v>579</v>
      </c>
      <c r="C369" s="314" t="s">
        <v>422</v>
      </c>
      <c r="D369" s="308" t="s">
        <v>1029</v>
      </c>
      <c r="F369" s="307">
        <v>98.3</v>
      </c>
    </row>
    <row r="370">
      <c r="A370" s="307">
        <v>206.0</v>
      </c>
      <c r="B370" s="167" t="s">
        <v>577</v>
      </c>
      <c r="C370" s="314" t="s">
        <v>422</v>
      </c>
      <c r="D370" s="308" t="s">
        <v>1030</v>
      </c>
      <c r="F370" s="307">
        <v>168.3</v>
      </c>
    </row>
    <row r="371">
      <c r="A371" s="307">
        <v>207.0</v>
      </c>
      <c r="B371" s="167" t="s">
        <v>577</v>
      </c>
      <c r="C371" s="314" t="s">
        <v>422</v>
      </c>
      <c r="D371" s="308" t="s">
        <v>1031</v>
      </c>
      <c r="F371" s="307">
        <v>326.1</v>
      </c>
    </row>
    <row r="372">
      <c r="A372" s="307">
        <v>208.0</v>
      </c>
      <c r="B372" s="167" t="s">
        <v>577</v>
      </c>
      <c r="C372" s="314" t="s">
        <v>422</v>
      </c>
      <c r="D372" s="308" t="s">
        <v>1032</v>
      </c>
      <c r="F372" s="307">
        <v>949.8</v>
      </c>
    </row>
    <row r="373">
      <c r="A373" s="307">
        <v>209.0</v>
      </c>
      <c r="B373" s="167" t="s">
        <v>577</v>
      </c>
      <c r="C373" s="314" t="s">
        <v>422</v>
      </c>
      <c r="D373" s="308" t="s">
        <v>1033</v>
      </c>
      <c r="F373" s="307">
        <v>321.9</v>
      </c>
    </row>
    <row r="374">
      <c r="A374" s="307">
        <v>210.0</v>
      </c>
      <c r="B374" s="167" t="s">
        <v>577</v>
      </c>
      <c r="C374" s="314" t="s">
        <v>422</v>
      </c>
      <c r="D374" s="308" t="s">
        <v>1034</v>
      </c>
      <c r="F374" s="307">
        <v>145.1</v>
      </c>
    </row>
    <row r="375">
      <c r="A375" s="307">
        <v>211.0</v>
      </c>
      <c r="B375" s="167" t="s">
        <v>577</v>
      </c>
      <c r="C375" s="314" t="s">
        <v>422</v>
      </c>
      <c r="D375" s="308" t="s">
        <v>1035</v>
      </c>
      <c r="F375" s="307">
        <v>57.9</v>
      </c>
    </row>
    <row r="376">
      <c r="A376" s="307">
        <v>212.0</v>
      </c>
      <c r="B376" s="167" t="s">
        <v>577</v>
      </c>
      <c r="C376" s="314" t="s">
        <v>418</v>
      </c>
      <c r="D376" s="308" t="s">
        <v>1036</v>
      </c>
      <c r="F376" s="307">
        <v>2.3</v>
      </c>
    </row>
    <row r="377">
      <c r="A377" s="307">
        <v>213.0</v>
      </c>
      <c r="B377" s="167" t="s">
        <v>577</v>
      </c>
      <c r="C377" s="314" t="s">
        <v>418</v>
      </c>
      <c r="D377" s="308" t="s">
        <v>1037</v>
      </c>
      <c r="F377" s="307">
        <v>54.0</v>
      </c>
    </row>
    <row r="378">
      <c r="A378" s="307">
        <v>214.0</v>
      </c>
      <c r="B378" s="167" t="s">
        <v>575</v>
      </c>
      <c r="C378" s="314" t="s">
        <v>422</v>
      </c>
      <c r="D378" s="308" t="s">
        <v>1038</v>
      </c>
      <c r="F378" s="307">
        <v>125.6</v>
      </c>
    </row>
    <row r="379">
      <c r="A379" s="307">
        <v>215.0</v>
      </c>
      <c r="B379" s="167" t="s">
        <v>575</v>
      </c>
      <c r="C379" s="314" t="s">
        <v>422</v>
      </c>
      <c r="D379" s="308" t="s">
        <v>1039</v>
      </c>
      <c r="F379" s="307">
        <v>54.9</v>
      </c>
    </row>
    <row r="380">
      <c r="A380" s="307">
        <v>216.0</v>
      </c>
      <c r="B380" s="167" t="s">
        <v>575</v>
      </c>
      <c r="C380" s="314" t="s">
        <v>422</v>
      </c>
      <c r="D380" s="308" t="s">
        <v>1040</v>
      </c>
      <c r="F380" s="307">
        <v>299.6</v>
      </c>
    </row>
    <row r="381">
      <c r="A381" s="307">
        <v>217.0</v>
      </c>
      <c r="B381" s="167" t="s">
        <v>575</v>
      </c>
      <c r="C381" s="314" t="s">
        <v>422</v>
      </c>
      <c r="D381" s="308" t="s">
        <v>1041</v>
      </c>
      <c r="F381" s="307">
        <v>26.1</v>
      </c>
    </row>
    <row r="382">
      <c r="A382" s="307">
        <v>218.0</v>
      </c>
      <c r="B382" s="167" t="s">
        <v>575</v>
      </c>
      <c r="C382" s="314" t="s">
        <v>609</v>
      </c>
      <c r="D382" s="308" t="s">
        <v>1042</v>
      </c>
    </row>
    <row r="383">
      <c r="A383" s="307">
        <v>219.0</v>
      </c>
      <c r="B383" s="167" t="s">
        <v>1043</v>
      </c>
      <c r="C383" s="314" t="s">
        <v>422</v>
      </c>
      <c r="D383" s="308" t="s">
        <v>1044</v>
      </c>
      <c r="F383" s="307">
        <v>1100.0</v>
      </c>
    </row>
    <row r="384">
      <c r="A384" s="307">
        <v>220.0</v>
      </c>
      <c r="B384" s="167" t="s">
        <v>1045</v>
      </c>
      <c r="C384" s="314" t="s">
        <v>422</v>
      </c>
      <c r="D384" s="308" t="s">
        <v>1046</v>
      </c>
      <c r="F384" s="307">
        <v>352.9</v>
      </c>
    </row>
    <row r="385">
      <c r="A385" s="307">
        <v>221.0</v>
      </c>
      <c r="B385" s="167" t="s">
        <v>1045</v>
      </c>
      <c r="C385" s="314" t="s">
        <v>422</v>
      </c>
      <c r="D385" s="308" t="s">
        <v>1047</v>
      </c>
      <c r="F385" s="307">
        <v>57.6</v>
      </c>
    </row>
    <row r="386">
      <c r="A386" s="307">
        <v>222.0</v>
      </c>
      <c r="B386" s="167" t="s">
        <v>559</v>
      </c>
      <c r="C386" s="314" t="s">
        <v>422</v>
      </c>
      <c r="D386" s="308" t="s">
        <v>1048</v>
      </c>
    </row>
    <row r="387">
      <c r="A387" s="307">
        <v>223.0</v>
      </c>
      <c r="B387" s="167" t="s">
        <v>1049</v>
      </c>
      <c r="C387" s="314" t="s">
        <v>422</v>
      </c>
      <c r="D387" s="308" t="s">
        <v>1050</v>
      </c>
      <c r="F387" s="307">
        <v>105.2</v>
      </c>
    </row>
    <row r="388">
      <c r="A388" s="307">
        <v>224.0</v>
      </c>
      <c r="B388" s="167" t="s">
        <v>1049</v>
      </c>
      <c r="C388" s="314" t="s">
        <v>422</v>
      </c>
      <c r="D388" s="308" t="s">
        <v>1051</v>
      </c>
      <c r="F388" s="307">
        <v>215.2</v>
      </c>
    </row>
    <row r="389">
      <c r="A389" s="307">
        <v>225.0</v>
      </c>
      <c r="B389" s="167" t="s">
        <v>509</v>
      </c>
      <c r="C389" s="314" t="s">
        <v>422</v>
      </c>
      <c r="D389" s="308" t="s">
        <v>1052</v>
      </c>
      <c r="F389" s="307">
        <v>900.6</v>
      </c>
    </row>
    <row r="390">
      <c r="A390" s="307">
        <v>226.0</v>
      </c>
      <c r="B390" s="167" t="s">
        <v>509</v>
      </c>
      <c r="C390" s="314" t="s">
        <v>422</v>
      </c>
      <c r="D390" s="308" t="s">
        <v>1053</v>
      </c>
      <c r="F390" s="307">
        <v>1100.0</v>
      </c>
    </row>
    <row r="391">
      <c r="A391" s="307">
        <v>227.0</v>
      </c>
      <c r="B391" s="167" t="s">
        <v>509</v>
      </c>
      <c r="C391" s="314" t="s">
        <v>422</v>
      </c>
      <c r="D391" s="308" t="s">
        <v>1054</v>
      </c>
      <c r="F391" s="307">
        <v>328.9</v>
      </c>
    </row>
    <row r="392">
      <c r="A392" s="307">
        <v>228.0</v>
      </c>
      <c r="B392" s="167" t="s">
        <v>509</v>
      </c>
      <c r="C392" s="314" t="s">
        <v>422</v>
      </c>
      <c r="D392" s="308" t="s">
        <v>1055</v>
      </c>
      <c r="F392" s="307">
        <v>722.9</v>
      </c>
    </row>
    <row r="393">
      <c r="A393" s="307">
        <v>229.0</v>
      </c>
      <c r="B393" s="167" t="s">
        <v>509</v>
      </c>
      <c r="C393" s="314" t="s">
        <v>422</v>
      </c>
      <c r="D393" s="308" t="s">
        <v>1056</v>
      </c>
      <c r="F393" s="307">
        <v>1000.0</v>
      </c>
    </row>
    <row r="394">
      <c r="A394" s="307">
        <v>230.0</v>
      </c>
      <c r="B394" s="167" t="s">
        <v>509</v>
      </c>
      <c r="C394" s="314" t="s">
        <v>422</v>
      </c>
      <c r="D394" s="308" t="s">
        <v>1057</v>
      </c>
      <c r="F394" s="307">
        <v>292.0</v>
      </c>
    </row>
    <row r="395">
      <c r="A395" s="307">
        <v>231.0</v>
      </c>
      <c r="B395" s="167" t="s">
        <v>509</v>
      </c>
      <c r="C395" s="314" t="s">
        <v>422</v>
      </c>
      <c r="D395" s="308" t="s">
        <v>1058</v>
      </c>
      <c r="F395" s="307">
        <v>321.8</v>
      </c>
    </row>
    <row r="396">
      <c r="A396" s="307">
        <v>232.0</v>
      </c>
      <c r="B396" s="167" t="s">
        <v>1059</v>
      </c>
      <c r="C396" s="314" t="s">
        <v>422</v>
      </c>
      <c r="D396" s="308" t="s">
        <v>1060</v>
      </c>
      <c r="F396" s="307">
        <v>33.3</v>
      </c>
    </row>
    <row r="397">
      <c r="A397" s="307">
        <v>233.0</v>
      </c>
      <c r="B397" s="167" t="s">
        <v>1059</v>
      </c>
      <c r="C397" s="314" t="s">
        <v>422</v>
      </c>
      <c r="D397" s="308" t="s">
        <v>1061</v>
      </c>
      <c r="F397" s="307">
        <v>137.0</v>
      </c>
    </row>
    <row r="398">
      <c r="A398" s="307">
        <v>234.0</v>
      </c>
      <c r="B398" s="167" t="s">
        <v>1059</v>
      </c>
      <c r="C398" s="314" t="s">
        <v>422</v>
      </c>
      <c r="D398" s="308" t="s">
        <v>1062</v>
      </c>
      <c r="F398" s="307">
        <v>21.0</v>
      </c>
    </row>
    <row r="399">
      <c r="A399" s="307">
        <v>235.0</v>
      </c>
      <c r="B399" s="167" t="s">
        <v>508</v>
      </c>
      <c r="C399" s="314" t="s">
        <v>422</v>
      </c>
      <c r="D399" s="308" t="s">
        <v>1063</v>
      </c>
      <c r="F399" s="307">
        <v>237.2</v>
      </c>
    </row>
    <row r="400">
      <c r="A400" s="307">
        <v>236.0</v>
      </c>
      <c r="B400" s="167" t="s">
        <v>508</v>
      </c>
      <c r="C400" s="314" t="s">
        <v>422</v>
      </c>
      <c r="D400" s="308" t="s">
        <v>1064</v>
      </c>
      <c r="F400" s="307">
        <v>341.4</v>
      </c>
    </row>
    <row r="401">
      <c r="A401" s="307">
        <v>237.0</v>
      </c>
      <c r="B401" s="167" t="s">
        <v>511</v>
      </c>
      <c r="C401" s="314" t="s">
        <v>422</v>
      </c>
      <c r="D401" s="308" t="s">
        <v>1065</v>
      </c>
      <c r="F401" s="307">
        <v>15.8</v>
      </c>
    </row>
    <row r="402">
      <c r="A402" s="307">
        <v>238.0</v>
      </c>
      <c r="B402" s="167" t="s">
        <v>511</v>
      </c>
      <c r="C402" s="314" t="s">
        <v>422</v>
      </c>
      <c r="D402" s="308" t="s">
        <v>1066</v>
      </c>
      <c r="F402" s="307">
        <v>15.1</v>
      </c>
    </row>
    <row r="403">
      <c r="A403" s="307">
        <v>239.0</v>
      </c>
      <c r="B403" s="167" t="s">
        <v>511</v>
      </c>
      <c r="C403" s="314" t="s">
        <v>422</v>
      </c>
      <c r="D403" s="308" t="s">
        <v>1067</v>
      </c>
      <c r="F403" s="307">
        <v>18.2</v>
      </c>
    </row>
    <row r="404">
      <c r="A404" s="307">
        <v>240.0</v>
      </c>
      <c r="B404" s="167" t="s">
        <v>511</v>
      </c>
      <c r="C404" s="314" t="s">
        <v>422</v>
      </c>
      <c r="D404" s="308" t="s">
        <v>1068</v>
      </c>
      <c r="F404" s="307">
        <v>39.5</v>
      </c>
    </row>
    <row r="405">
      <c r="A405" s="307">
        <v>241.0</v>
      </c>
      <c r="B405" s="167" t="s">
        <v>513</v>
      </c>
      <c r="C405" s="314" t="s">
        <v>422</v>
      </c>
      <c r="D405" s="308" t="s">
        <v>1069</v>
      </c>
      <c r="F405" s="307">
        <v>73.4</v>
      </c>
    </row>
    <row r="406">
      <c r="A406" s="307">
        <v>242.0</v>
      </c>
      <c r="B406" s="167" t="s">
        <v>513</v>
      </c>
      <c r="C406" s="314" t="s">
        <v>422</v>
      </c>
      <c r="D406" s="308" t="s">
        <v>1070</v>
      </c>
      <c r="F406" s="307">
        <v>71.2</v>
      </c>
    </row>
    <row r="407">
      <c r="A407" s="307">
        <v>243.0</v>
      </c>
      <c r="B407" s="167" t="s">
        <v>513</v>
      </c>
      <c r="C407" s="314" t="s">
        <v>422</v>
      </c>
      <c r="D407" s="308" t="s">
        <v>1071</v>
      </c>
      <c r="F407" s="307">
        <v>40.7</v>
      </c>
    </row>
    <row r="408">
      <c r="A408" s="307">
        <v>244.0</v>
      </c>
      <c r="B408" s="167" t="s">
        <v>513</v>
      </c>
      <c r="C408" s="314" t="s">
        <v>422</v>
      </c>
      <c r="D408" s="308" t="s">
        <v>1072</v>
      </c>
      <c r="F408" s="307">
        <v>209.7</v>
      </c>
    </row>
    <row r="409">
      <c r="A409" s="307">
        <v>245.0</v>
      </c>
      <c r="B409" s="167" t="s">
        <v>514</v>
      </c>
      <c r="C409" s="314" t="s">
        <v>422</v>
      </c>
      <c r="D409" s="308" t="s">
        <v>1073</v>
      </c>
      <c r="F409" s="307">
        <v>2000.0</v>
      </c>
    </row>
    <row r="410">
      <c r="A410" s="307">
        <v>246.0</v>
      </c>
      <c r="B410" s="167" t="s">
        <v>514</v>
      </c>
      <c r="C410" s="314" t="s">
        <v>422</v>
      </c>
      <c r="D410" s="308" t="s">
        <v>1074</v>
      </c>
      <c r="F410" s="307">
        <v>681.3</v>
      </c>
    </row>
    <row r="411">
      <c r="A411" s="307">
        <v>247.0</v>
      </c>
      <c r="B411" s="167" t="s">
        <v>514</v>
      </c>
      <c r="C411" s="314" t="s">
        <v>422</v>
      </c>
      <c r="D411" s="308" t="s">
        <v>1075</v>
      </c>
      <c r="F411" s="307">
        <v>170.4</v>
      </c>
    </row>
    <row r="412">
      <c r="A412" s="307">
        <v>248.0</v>
      </c>
      <c r="B412" s="167" t="s">
        <v>514</v>
      </c>
      <c r="C412" s="314" t="s">
        <v>422</v>
      </c>
      <c r="D412" s="308" t="s">
        <v>1076</v>
      </c>
      <c r="F412" s="307">
        <v>398.1</v>
      </c>
    </row>
    <row r="413">
      <c r="A413" s="307">
        <v>249.0</v>
      </c>
      <c r="B413" s="167" t="s">
        <v>514</v>
      </c>
      <c r="C413" s="314" t="s">
        <v>422</v>
      </c>
      <c r="D413" s="308" t="s">
        <v>1077</v>
      </c>
      <c r="F413" s="307">
        <v>3700.0</v>
      </c>
    </row>
    <row r="414">
      <c r="A414" s="307">
        <v>250.0</v>
      </c>
      <c r="B414" s="167" t="s">
        <v>515</v>
      </c>
      <c r="C414" s="314" t="s">
        <v>422</v>
      </c>
      <c r="D414" s="308" t="s">
        <v>1078</v>
      </c>
      <c r="F414" s="307">
        <v>124.7</v>
      </c>
    </row>
    <row r="415">
      <c r="A415" s="307">
        <v>251.0</v>
      </c>
      <c r="B415" s="167" t="s">
        <v>517</v>
      </c>
      <c r="C415" s="314" t="s">
        <v>422</v>
      </c>
      <c r="D415" s="308" t="s">
        <v>1079</v>
      </c>
      <c r="F415" s="307">
        <v>371.6</v>
      </c>
    </row>
    <row r="416">
      <c r="A416" s="307">
        <v>252.0</v>
      </c>
      <c r="B416" s="167" t="s">
        <v>517</v>
      </c>
      <c r="C416" s="314" t="s">
        <v>422</v>
      </c>
      <c r="D416" s="308" t="s">
        <v>1080</v>
      </c>
      <c r="F416" s="307">
        <v>1200.0</v>
      </c>
    </row>
    <row r="417">
      <c r="A417" s="307">
        <v>253.0</v>
      </c>
      <c r="B417" s="167" t="s">
        <v>517</v>
      </c>
      <c r="C417" s="314" t="s">
        <v>422</v>
      </c>
      <c r="D417" s="308" t="s">
        <v>1081</v>
      </c>
      <c r="F417" s="307">
        <v>967.1</v>
      </c>
    </row>
    <row r="418">
      <c r="A418" s="307">
        <v>254.0</v>
      </c>
      <c r="B418" s="167" t="s">
        <v>517</v>
      </c>
      <c r="C418" s="314" t="s">
        <v>422</v>
      </c>
      <c r="D418" s="308" t="s">
        <v>1082</v>
      </c>
      <c r="F418" s="307">
        <v>15.7</v>
      </c>
    </row>
    <row r="419">
      <c r="A419" s="307">
        <v>255.0</v>
      </c>
      <c r="B419" s="167" t="s">
        <v>518</v>
      </c>
      <c r="C419" s="314" t="s">
        <v>422</v>
      </c>
      <c r="D419" s="308" t="s">
        <v>1083</v>
      </c>
      <c r="F419" s="307">
        <v>38.2</v>
      </c>
    </row>
    <row r="420">
      <c r="A420" s="307">
        <v>256.0</v>
      </c>
      <c r="B420" s="167" t="s">
        <v>518</v>
      </c>
      <c r="C420" s="314" t="s">
        <v>422</v>
      </c>
      <c r="D420" s="308" t="s">
        <v>1084</v>
      </c>
      <c r="F420" s="307">
        <v>41.4</v>
      </c>
    </row>
    <row r="421">
      <c r="A421" s="307">
        <v>257.0</v>
      </c>
      <c r="B421" s="167" t="s">
        <v>518</v>
      </c>
      <c r="C421" s="314" t="s">
        <v>422</v>
      </c>
      <c r="D421" s="308" t="s">
        <v>1085</v>
      </c>
      <c r="F421" s="307">
        <v>61.1</v>
      </c>
    </row>
    <row r="422">
      <c r="A422" s="307">
        <v>258.0</v>
      </c>
      <c r="B422" s="167" t="s">
        <v>520</v>
      </c>
      <c r="C422" s="314" t="s">
        <v>422</v>
      </c>
      <c r="D422" s="308" t="s">
        <v>1086</v>
      </c>
      <c r="F422" s="307">
        <v>211.6</v>
      </c>
    </row>
    <row r="423">
      <c r="A423" s="307">
        <v>259.0</v>
      </c>
      <c r="B423" s="167" t="s">
        <v>520</v>
      </c>
      <c r="C423" s="314" t="s">
        <v>422</v>
      </c>
      <c r="D423" s="308" t="s">
        <v>1087</v>
      </c>
      <c r="F423" s="307">
        <v>187.5</v>
      </c>
    </row>
    <row r="424">
      <c r="A424" s="307">
        <v>260.0</v>
      </c>
      <c r="B424" s="167" t="s">
        <v>520</v>
      </c>
      <c r="C424" s="314" t="s">
        <v>422</v>
      </c>
      <c r="D424" s="308" t="s">
        <v>1088</v>
      </c>
      <c r="F424" s="307">
        <v>88.2</v>
      </c>
    </row>
    <row r="425">
      <c r="A425" s="307">
        <v>261.0</v>
      </c>
      <c r="B425" s="167" t="s">
        <v>1089</v>
      </c>
      <c r="C425" s="314" t="s">
        <v>422</v>
      </c>
      <c r="D425" s="308" t="s">
        <v>1090</v>
      </c>
      <c r="F425" s="307">
        <v>62.4</v>
      </c>
    </row>
    <row r="426">
      <c r="A426" s="307">
        <v>262.0</v>
      </c>
      <c r="B426" s="167" t="s">
        <v>1091</v>
      </c>
      <c r="C426" s="314" t="s">
        <v>422</v>
      </c>
      <c r="D426" s="308" t="s">
        <v>1092</v>
      </c>
      <c r="F426" s="307">
        <v>11.6</v>
      </c>
    </row>
    <row r="427">
      <c r="A427" s="307">
        <v>263.0</v>
      </c>
      <c r="B427" s="167" t="s">
        <v>522</v>
      </c>
      <c r="C427" s="314" t="s">
        <v>422</v>
      </c>
      <c r="D427" s="308" t="s">
        <v>1093</v>
      </c>
      <c r="F427" s="307">
        <v>3700.0</v>
      </c>
    </row>
    <row r="428">
      <c r="A428" s="307">
        <v>264.0</v>
      </c>
      <c r="B428" s="167" t="s">
        <v>522</v>
      </c>
      <c r="C428" s="314" t="s">
        <v>422</v>
      </c>
      <c r="D428" s="308" t="s">
        <v>1094</v>
      </c>
      <c r="F428" s="307">
        <v>7200.0</v>
      </c>
    </row>
    <row r="429">
      <c r="A429" s="307">
        <v>265.0</v>
      </c>
      <c r="B429" s="167" t="s">
        <v>522</v>
      </c>
      <c r="C429" s="314" t="s">
        <v>422</v>
      </c>
      <c r="D429" s="308" t="s">
        <v>1095</v>
      </c>
      <c r="F429" s="307">
        <v>3100.0</v>
      </c>
    </row>
    <row r="430">
      <c r="A430" s="307">
        <v>266.0</v>
      </c>
      <c r="B430" s="167" t="s">
        <v>522</v>
      </c>
      <c r="C430" s="314" t="s">
        <v>422</v>
      </c>
      <c r="D430" s="308" t="s">
        <v>1096</v>
      </c>
      <c r="F430" s="307">
        <v>718.6</v>
      </c>
    </row>
    <row r="431">
      <c r="A431" s="307">
        <v>267.0</v>
      </c>
      <c r="B431" s="167" t="s">
        <v>522</v>
      </c>
      <c r="C431" s="314" t="s">
        <v>422</v>
      </c>
      <c r="D431" s="308" t="s">
        <v>1097</v>
      </c>
      <c r="F431" s="307">
        <v>570.3</v>
      </c>
    </row>
    <row r="432">
      <c r="A432" s="307">
        <v>268.0</v>
      </c>
      <c r="B432" s="167" t="s">
        <v>522</v>
      </c>
      <c r="C432" s="314" t="s">
        <v>422</v>
      </c>
      <c r="D432" s="308" t="s">
        <v>1098</v>
      </c>
      <c r="F432" s="307">
        <v>2800.0</v>
      </c>
    </row>
    <row r="433">
      <c r="A433" s="307">
        <v>269.0</v>
      </c>
      <c r="B433" s="167" t="s">
        <v>1099</v>
      </c>
      <c r="C433" s="314" t="s">
        <v>422</v>
      </c>
      <c r="D433" s="308" t="s">
        <v>1100</v>
      </c>
      <c r="F433" s="307">
        <v>245.0</v>
      </c>
    </row>
    <row r="434">
      <c r="A434" s="307">
        <v>270.0</v>
      </c>
      <c r="B434" s="167" t="s">
        <v>1101</v>
      </c>
      <c r="C434" s="314" t="s">
        <v>422</v>
      </c>
      <c r="D434" s="308" t="s">
        <v>1102</v>
      </c>
      <c r="F434" s="307">
        <v>237.3</v>
      </c>
    </row>
    <row r="435">
      <c r="A435" s="307">
        <v>271.0</v>
      </c>
      <c r="B435" s="167" t="s">
        <v>1101</v>
      </c>
      <c r="C435" s="314" t="s">
        <v>422</v>
      </c>
      <c r="D435" s="308" t="s">
        <v>1103</v>
      </c>
      <c r="F435" s="307">
        <v>257.8</v>
      </c>
    </row>
    <row r="436">
      <c r="A436" s="307">
        <v>272.0</v>
      </c>
      <c r="B436" s="167" t="s">
        <v>1101</v>
      </c>
      <c r="C436" s="314" t="s">
        <v>418</v>
      </c>
      <c r="D436" s="308" t="s">
        <v>1104</v>
      </c>
      <c r="F436" s="307">
        <v>347.0</v>
      </c>
      <c r="G436" s="315"/>
    </row>
    <row r="437">
      <c r="A437" s="307">
        <v>273.0</v>
      </c>
      <c r="B437" s="167" t="s">
        <v>1101</v>
      </c>
      <c r="C437" s="314" t="s">
        <v>609</v>
      </c>
      <c r="D437" s="308" t="s">
        <v>1105</v>
      </c>
    </row>
    <row r="438">
      <c r="A438" s="307">
        <v>274.0</v>
      </c>
      <c r="B438" s="167" t="s">
        <v>1106</v>
      </c>
      <c r="C438" s="314" t="s">
        <v>418</v>
      </c>
      <c r="D438" s="308" t="s">
        <v>1107</v>
      </c>
      <c r="F438" s="307">
        <v>50.0</v>
      </c>
    </row>
    <row r="439">
      <c r="A439" s="307">
        <v>275.0</v>
      </c>
      <c r="B439" s="167" t="s">
        <v>1106</v>
      </c>
      <c r="C439" s="314" t="s">
        <v>510</v>
      </c>
      <c r="D439" s="308" t="s">
        <v>1108</v>
      </c>
      <c r="F439" s="307">
        <v>5.307</v>
      </c>
    </row>
    <row r="440">
      <c r="A440" s="307">
        <v>276.0</v>
      </c>
      <c r="B440" s="167" t="s">
        <v>1109</v>
      </c>
      <c r="C440" s="314" t="s">
        <v>418</v>
      </c>
      <c r="D440" s="308" t="s">
        <v>1110</v>
      </c>
      <c r="F440" s="307">
        <v>52.0</v>
      </c>
    </row>
    <row r="441">
      <c r="A441" s="307">
        <v>277.0</v>
      </c>
      <c r="B441" s="167" t="s">
        <v>1109</v>
      </c>
      <c r="C441" s="314" t="s">
        <v>422</v>
      </c>
      <c r="D441" s="308" t="s">
        <v>1111</v>
      </c>
      <c r="F441" s="307">
        <v>103.8</v>
      </c>
    </row>
    <row r="442">
      <c r="A442" s="307">
        <v>278.0</v>
      </c>
      <c r="B442" s="167" t="s">
        <v>1109</v>
      </c>
      <c r="C442" s="314" t="s">
        <v>422</v>
      </c>
      <c r="D442" s="308" t="s">
        <v>1112</v>
      </c>
      <c r="F442" s="307">
        <v>100.7</v>
      </c>
    </row>
    <row r="443">
      <c r="A443" s="307">
        <v>279.0</v>
      </c>
      <c r="B443" s="167" t="s">
        <v>1109</v>
      </c>
      <c r="C443" s="314" t="s">
        <v>422</v>
      </c>
      <c r="D443" s="308" t="s">
        <v>1113</v>
      </c>
      <c r="F443" s="307">
        <v>102.6</v>
      </c>
    </row>
    <row r="444">
      <c r="A444" s="307">
        <v>280.0</v>
      </c>
      <c r="B444" s="167" t="s">
        <v>1114</v>
      </c>
      <c r="C444" s="314" t="s">
        <v>418</v>
      </c>
      <c r="D444" s="308" t="s">
        <v>1115</v>
      </c>
      <c r="F444" s="307">
        <v>11.0</v>
      </c>
    </row>
    <row r="445">
      <c r="A445" s="307">
        <v>281.0</v>
      </c>
      <c r="B445" s="167" t="s">
        <v>1116</v>
      </c>
      <c r="C445" s="314" t="s">
        <v>418</v>
      </c>
      <c r="D445" s="308" t="s">
        <v>1117</v>
      </c>
      <c r="F445" s="307">
        <v>2.9</v>
      </c>
    </row>
    <row r="446">
      <c r="A446" s="307">
        <v>282.0</v>
      </c>
      <c r="B446" s="167" t="s">
        <v>1118</v>
      </c>
      <c r="C446" s="314" t="s">
        <v>422</v>
      </c>
      <c r="D446" s="308" t="s">
        <v>1119</v>
      </c>
      <c r="F446" s="307">
        <v>109.9</v>
      </c>
    </row>
    <row r="447">
      <c r="A447" s="307">
        <v>283.0</v>
      </c>
      <c r="B447" s="167" t="s">
        <v>1120</v>
      </c>
      <c r="C447" s="314" t="s">
        <v>418</v>
      </c>
      <c r="D447" s="308" t="s">
        <v>1121</v>
      </c>
      <c r="F447" s="307">
        <v>60.0</v>
      </c>
    </row>
    <row r="448">
      <c r="A448" s="307">
        <v>284.0</v>
      </c>
      <c r="B448" s="167" t="s">
        <v>1120</v>
      </c>
      <c r="C448" s="314" t="s">
        <v>422</v>
      </c>
      <c r="D448" s="308" t="s">
        <v>1122</v>
      </c>
      <c r="F448" s="307">
        <v>903.5</v>
      </c>
    </row>
    <row r="449">
      <c r="A449" s="307">
        <v>285.0</v>
      </c>
      <c r="B449" s="167" t="s">
        <v>1120</v>
      </c>
      <c r="C449" s="314" t="s">
        <v>422</v>
      </c>
      <c r="D449" s="308" t="s">
        <v>1123</v>
      </c>
      <c r="F449" s="307">
        <v>551.3</v>
      </c>
    </row>
    <row r="450">
      <c r="A450" s="307">
        <v>286.0</v>
      </c>
      <c r="B450" s="167" t="s">
        <v>499</v>
      </c>
      <c r="C450" s="314" t="s">
        <v>422</v>
      </c>
      <c r="D450" s="308" t="s">
        <v>1124</v>
      </c>
      <c r="F450" s="307">
        <v>501.7</v>
      </c>
    </row>
    <row r="451">
      <c r="A451" s="307">
        <v>287.0</v>
      </c>
      <c r="B451" s="167" t="s">
        <v>499</v>
      </c>
      <c r="C451" s="314" t="s">
        <v>422</v>
      </c>
      <c r="D451" s="308" t="s">
        <v>1125</v>
      </c>
      <c r="F451" s="307">
        <v>803.3</v>
      </c>
    </row>
    <row r="452">
      <c r="A452" s="307">
        <v>288.0</v>
      </c>
      <c r="B452" s="167" t="s">
        <v>500</v>
      </c>
      <c r="C452" s="314" t="s">
        <v>422</v>
      </c>
      <c r="D452" s="308" t="s">
        <v>1126</v>
      </c>
      <c r="F452" s="307">
        <v>9.188</v>
      </c>
    </row>
    <row r="453">
      <c r="A453" s="307">
        <v>289.0</v>
      </c>
      <c r="B453" s="167" t="s">
        <v>500</v>
      </c>
      <c r="C453" s="314" t="s">
        <v>422</v>
      </c>
      <c r="D453" s="308" t="s">
        <v>1127</v>
      </c>
      <c r="F453" s="307">
        <v>75.2</v>
      </c>
    </row>
    <row r="454">
      <c r="A454" s="307">
        <v>290.0</v>
      </c>
      <c r="B454" s="167" t="s">
        <v>1128</v>
      </c>
      <c r="C454" s="314" t="s">
        <v>422</v>
      </c>
      <c r="D454" s="308" t="s">
        <v>1129</v>
      </c>
      <c r="F454" s="307">
        <v>893.0</v>
      </c>
    </row>
    <row r="455">
      <c r="A455" s="307">
        <v>291.0</v>
      </c>
      <c r="B455" s="167" t="s">
        <v>1128</v>
      </c>
      <c r="C455" s="314" t="s">
        <v>422</v>
      </c>
      <c r="D455" s="308" t="s">
        <v>1130</v>
      </c>
      <c r="F455" s="307">
        <v>161.8</v>
      </c>
    </row>
    <row r="456">
      <c r="A456" s="307">
        <v>292.0</v>
      </c>
      <c r="B456" s="167" t="s">
        <v>1128</v>
      </c>
      <c r="C456" s="314" t="s">
        <v>422</v>
      </c>
      <c r="D456" s="308" t="s">
        <v>1131</v>
      </c>
      <c r="F456" s="307">
        <v>203.2</v>
      </c>
    </row>
    <row r="457">
      <c r="A457" s="307">
        <v>293.0</v>
      </c>
      <c r="B457" s="167" t="s">
        <v>1128</v>
      </c>
      <c r="C457" s="314" t="s">
        <v>422</v>
      </c>
      <c r="D457" s="308" t="s">
        <v>1132</v>
      </c>
      <c r="F457" s="307">
        <v>164.1</v>
      </c>
    </row>
    <row r="458">
      <c r="A458" s="307">
        <v>294.0</v>
      </c>
      <c r="B458" s="167" t="s">
        <v>1128</v>
      </c>
      <c r="C458" s="314" t="s">
        <v>422</v>
      </c>
      <c r="D458" s="308" t="s">
        <v>1133</v>
      </c>
      <c r="F458" s="307">
        <v>45.0</v>
      </c>
    </row>
    <row r="459">
      <c r="A459" s="307">
        <v>295.0</v>
      </c>
      <c r="B459" s="167" t="s">
        <v>1128</v>
      </c>
      <c r="C459" s="314" t="s">
        <v>422</v>
      </c>
      <c r="D459" s="308" t="s">
        <v>1134</v>
      </c>
      <c r="F459" s="307">
        <v>22.0</v>
      </c>
    </row>
    <row r="460">
      <c r="A460" s="307">
        <v>296.0</v>
      </c>
      <c r="B460" s="167" t="s">
        <v>521</v>
      </c>
      <c r="C460" s="314" t="s">
        <v>422</v>
      </c>
      <c r="D460" s="308" t="s">
        <v>1135</v>
      </c>
      <c r="F460" s="307">
        <v>73.6</v>
      </c>
    </row>
    <row r="461">
      <c r="A461" s="307">
        <v>297.0</v>
      </c>
      <c r="B461" s="167" t="s">
        <v>1136</v>
      </c>
      <c r="C461" s="314" t="s">
        <v>418</v>
      </c>
      <c r="D461" s="308" t="s">
        <v>1137</v>
      </c>
      <c r="F461" s="307">
        <v>102.0</v>
      </c>
    </row>
    <row r="462">
      <c r="A462" s="307">
        <v>298.0</v>
      </c>
      <c r="B462" s="167" t="s">
        <v>1138</v>
      </c>
      <c r="C462" s="314" t="s">
        <v>422</v>
      </c>
      <c r="D462" s="308" t="s">
        <v>1139</v>
      </c>
      <c r="F462" s="307">
        <v>156.6</v>
      </c>
    </row>
    <row r="463">
      <c r="A463" s="307">
        <v>299.0</v>
      </c>
      <c r="B463" s="167" t="s">
        <v>1138</v>
      </c>
      <c r="C463" s="314" t="s">
        <v>422</v>
      </c>
      <c r="D463" s="308" t="s">
        <v>1140</v>
      </c>
      <c r="F463" s="307">
        <v>466.1</v>
      </c>
    </row>
    <row r="464">
      <c r="A464" s="307">
        <v>300.0</v>
      </c>
      <c r="B464" s="167" t="s">
        <v>1138</v>
      </c>
      <c r="C464" s="314" t="s">
        <v>422</v>
      </c>
      <c r="D464" s="308" t="s">
        <v>1141</v>
      </c>
      <c r="F464" s="307">
        <v>1200.0</v>
      </c>
    </row>
    <row r="465">
      <c r="A465" s="307">
        <v>301.0</v>
      </c>
      <c r="B465" s="167" t="s">
        <v>1138</v>
      </c>
      <c r="C465" s="314" t="s">
        <v>422</v>
      </c>
      <c r="D465" s="308" t="s">
        <v>1142</v>
      </c>
      <c r="F465" s="307">
        <v>2200.0</v>
      </c>
    </row>
    <row r="466">
      <c r="A466" s="307">
        <v>302.0</v>
      </c>
      <c r="B466" s="167" t="s">
        <v>1138</v>
      </c>
      <c r="C466" s="314" t="s">
        <v>422</v>
      </c>
      <c r="D466" s="308" t="s">
        <v>1143</v>
      </c>
      <c r="F466" s="307">
        <v>135.3</v>
      </c>
    </row>
    <row r="467">
      <c r="A467" s="307">
        <v>303.0</v>
      </c>
      <c r="B467" s="167" t="s">
        <v>1138</v>
      </c>
      <c r="C467" s="314" t="s">
        <v>422</v>
      </c>
      <c r="D467" s="308" t="s">
        <v>1144</v>
      </c>
      <c r="F467" s="307">
        <v>136.0</v>
      </c>
    </row>
    <row r="468">
      <c r="A468" s="307">
        <v>304.0</v>
      </c>
      <c r="B468" s="167" t="s">
        <v>1138</v>
      </c>
      <c r="C468" s="314" t="s">
        <v>422</v>
      </c>
      <c r="D468" s="308" t="s">
        <v>1145</v>
      </c>
      <c r="F468" s="307">
        <v>126.1</v>
      </c>
    </row>
    <row r="469">
      <c r="A469" s="307">
        <v>305.0</v>
      </c>
      <c r="B469" s="167" t="s">
        <v>1146</v>
      </c>
      <c r="C469" s="314" t="s">
        <v>418</v>
      </c>
      <c r="D469" s="308" t="s">
        <v>1147</v>
      </c>
      <c r="F469" s="307">
        <v>50.0</v>
      </c>
    </row>
    <row r="470">
      <c r="A470" s="307">
        <v>306.0</v>
      </c>
      <c r="B470" s="167" t="s">
        <v>1148</v>
      </c>
      <c r="C470" s="314" t="s">
        <v>418</v>
      </c>
      <c r="D470" s="308" t="s">
        <v>1149</v>
      </c>
      <c r="F470" s="307">
        <v>100.0</v>
      </c>
    </row>
    <row r="471">
      <c r="A471" s="307">
        <v>307.0</v>
      </c>
      <c r="B471" s="167" t="s">
        <v>1150</v>
      </c>
      <c r="C471" s="314" t="s">
        <v>422</v>
      </c>
      <c r="D471" s="308" t="s">
        <v>1151</v>
      </c>
      <c r="F471" s="307">
        <v>105.9</v>
      </c>
    </row>
    <row r="472">
      <c r="A472" s="307">
        <v>308.0</v>
      </c>
      <c r="B472" s="167" t="s">
        <v>1152</v>
      </c>
      <c r="C472" s="314" t="s">
        <v>418</v>
      </c>
      <c r="D472" s="308" t="s">
        <v>1153</v>
      </c>
      <c r="F472" s="307">
        <v>53.0</v>
      </c>
    </row>
    <row r="473">
      <c r="A473" s="307">
        <v>309.0</v>
      </c>
      <c r="B473" s="167" t="s">
        <v>1154</v>
      </c>
      <c r="C473" s="314" t="s">
        <v>422</v>
      </c>
      <c r="D473" s="308" t="s">
        <v>1155</v>
      </c>
      <c r="F473" s="307">
        <v>51.5</v>
      </c>
    </row>
    <row r="474">
      <c r="A474" s="307">
        <v>310.0</v>
      </c>
      <c r="B474" s="167" t="s">
        <v>1156</v>
      </c>
      <c r="C474" s="314" t="s">
        <v>418</v>
      </c>
      <c r="D474" s="308" t="s">
        <v>1157</v>
      </c>
      <c r="F474" s="307">
        <v>2.8</v>
      </c>
    </row>
    <row r="475">
      <c r="A475" s="307">
        <v>311.0</v>
      </c>
      <c r="B475" s="167" t="s">
        <v>1158</v>
      </c>
      <c r="C475" s="314" t="s">
        <v>418</v>
      </c>
      <c r="D475" s="308" t="s">
        <v>1159</v>
      </c>
      <c r="F475" s="307">
        <v>51.0</v>
      </c>
    </row>
    <row r="476">
      <c r="A476" s="307">
        <v>312.0</v>
      </c>
      <c r="B476" s="167" t="s">
        <v>1160</v>
      </c>
      <c r="C476" s="314" t="s">
        <v>422</v>
      </c>
      <c r="D476" s="308" t="s">
        <v>1161</v>
      </c>
      <c r="F476" s="307">
        <v>1000.0</v>
      </c>
    </row>
    <row r="477">
      <c r="A477" s="307">
        <v>313.0</v>
      </c>
      <c r="B477" s="167" t="s">
        <v>1162</v>
      </c>
      <c r="C477" s="314" t="s">
        <v>422</v>
      </c>
      <c r="D477" s="308" t="s">
        <v>1163</v>
      </c>
      <c r="F477" s="307">
        <v>188.8</v>
      </c>
    </row>
    <row r="478">
      <c r="A478" s="307">
        <v>314.0</v>
      </c>
      <c r="B478" s="167" t="s">
        <v>1162</v>
      </c>
      <c r="C478" s="314" t="s">
        <v>422</v>
      </c>
      <c r="D478" s="308" t="s">
        <v>1164</v>
      </c>
      <c r="F478" s="307">
        <v>2100.0</v>
      </c>
    </row>
    <row r="479">
      <c r="A479" s="307">
        <v>315.0</v>
      </c>
      <c r="B479" s="167" t="s">
        <v>1165</v>
      </c>
      <c r="C479" s="314" t="s">
        <v>418</v>
      </c>
      <c r="D479" s="308" t="s">
        <v>1166</v>
      </c>
      <c r="F479" s="307">
        <v>11.0</v>
      </c>
    </row>
    <row r="480">
      <c r="A480" s="307">
        <v>316.0</v>
      </c>
      <c r="B480" s="167" t="s">
        <v>1167</v>
      </c>
      <c r="C480" s="314" t="s">
        <v>422</v>
      </c>
      <c r="D480" s="308" t="s">
        <v>1168</v>
      </c>
    </row>
    <row r="481">
      <c r="A481" s="307">
        <v>317.0</v>
      </c>
      <c r="B481" s="167" t="s">
        <v>1169</v>
      </c>
      <c r="C481" s="314" t="s">
        <v>418</v>
      </c>
      <c r="D481" s="308" t="s">
        <v>1170</v>
      </c>
      <c r="F481" s="307">
        <v>5.8</v>
      </c>
    </row>
    <row r="482">
      <c r="A482" s="307">
        <v>318.0</v>
      </c>
      <c r="B482" s="167" t="s">
        <v>1171</v>
      </c>
      <c r="C482" s="314" t="s">
        <v>418</v>
      </c>
      <c r="D482" s="308" t="s">
        <v>1172</v>
      </c>
      <c r="F482" s="307">
        <v>4.1</v>
      </c>
    </row>
    <row r="483">
      <c r="A483" s="307">
        <v>319.0</v>
      </c>
      <c r="B483" s="167" t="s">
        <v>1173</v>
      </c>
      <c r="C483" s="314" t="s">
        <v>422</v>
      </c>
      <c r="D483" s="308" t="s">
        <v>1174</v>
      </c>
      <c r="F483" s="307">
        <v>26.1</v>
      </c>
    </row>
    <row r="484">
      <c r="A484" s="307">
        <v>320.0</v>
      </c>
      <c r="B484" s="167" t="s">
        <v>1175</v>
      </c>
      <c r="C484" s="314" t="s">
        <v>418</v>
      </c>
      <c r="D484" s="308" t="s">
        <v>1176</v>
      </c>
      <c r="F484" s="307">
        <v>102.0</v>
      </c>
    </row>
    <row r="485">
      <c r="A485" s="307">
        <v>321.0</v>
      </c>
      <c r="B485" s="167" t="s">
        <v>1177</v>
      </c>
      <c r="C485" s="314" t="s">
        <v>422</v>
      </c>
      <c r="D485" s="308" t="s">
        <v>1178</v>
      </c>
      <c r="F485" s="307">
        <v>200.0</v>
      </c>
    </row>
    <row r="486">
      <c r="A486" s="307">
        <v>322.0</v>
      </c>
      <c r="B486" s="167" t="s">
        <v>1179</v>
      </c>
      <c r="C486" s="314" t="s">
        <v>422</v>
      </c>
      <c r="D486" s="308" t="s">
        <v>1180</v>
      </c>
      <c r="F486" s="307">
        <v>123.3</v>
      </c>
    </row>
    <row r="487">
      <c r="A487" s="307">
        <v>323.0</v>
      </c>
      <c r="B487" s="167" t="s">
        <v>1179</v>
      </c>
      <c r="C487" s="314" t="s">
        <v>422</v>
      </c>
      <c r="D487" s="308" t="s">
        <v>1181</v>
      </c>
      <c r="F487" s="307">
        <v>1500.0</v>
      </c>
    </row>
    <row r="488">
      <c r="A488" s="307">
        <v>324.0</v>
      </c>
      <c r="B488" s="167" t="s">
        <v>1179</v>
      </c>
      <c r="C488" s="314" t="s">
        <v>422</v>
      </c>
      <c r="D488" s="308" t="s">
        <v>1182</v>
      </c>
      <c r="F488" s="307">
        <v>21.9</v>
      </c>
    </row>
    <row r="489">
      <c r="A489" s="307">
        <v>325.0</v>
      </c>
      <c r="B489" s="167" t="s">
        <v>428</v>
      </c>
      <c r="C489" s="314" t="s">
        <v>422</v>
      </c>
      <c r="D489" s="308" t="s">
        <v>1183</v>
      </c>
      <c r="F489" s="307">
        <v>114.3</v>
      </c>
    </row>
    <row r="490">
      <c r="A490" s="307">
        <v>326.0</v>
      </c>
      <c r="B490" s="167" t="s">
        <v>1184</v>
      </c>
      <c r="C490" s="314" t="s">
        <v>418</v>
      </c>
      <c r="D490" s="308" t="s">
        <v>1185</v>
      </c>
      <c r="F490" s="307">
        <v>3.5</v>
      </c>
    </row>
    <row r="491">
      <c r="A491" s="307">
        <v>327.0</v>
      </c>
      <c r="B491" s="167" t="s">
        <v>464</v>
      </c>
      <c r="C491" s="314" t="s">
        <v>422</v>
      </c>
      <c r="D491" s="308" t="s">
        <v>1186</v>
      </c>
      <c r="F491" s="307">
        <v>25.7</v>
      </c>
    </row>
    <row r="492">
      <c r="A492" s="307">
        <v>328.0</v>
      </c>
      <c r="B492" s="167" t="s">
        <v>464</v>
      </c>
      <c r="C492" s="314" t="s">
        <v>422</v>
      </c>
      <c r="D492" s="308" t="s">
        <v>1187</v>
      </c>
      <c r="F492" s="307">
        <v>311.9</v>
      </c>
    </row>
    <row r="493">
      <c r="A493" s="307">
        <v>329.0</v>
      </c>
      <c r="B493" s="167" t="s">
        <v>467</v>
      </c>
      <c r="C493" s="314" t="s">
        <v>422</v>
      </c>
      <c r="D493" s="308" t="s">
        <v>1188</v>
      </c>
      <c r="F493" s="307">
        <v>110.1</v>
      </c>
    </row>
    <row r="494">
      <c r="A494" s="307">
        <v>330.0</v>
      </c>
      <c r="B494" s="167" t="s">
        <v>490</v>
      </c>
      <c r="C494" s="314" t="s">
        <v>422</v>
      </c>
      <c r="D494" s="308" t="s">
        <v>1189</v>
      </c>
      <c r="F494" s="307">
        <v>1700.0</v>
      </c>
    </row>
    <row r="495">
      <c r="A495" s="307">
        <v>331.0</v>
      </c>
      <c r="B495" s="167" t="s">
        <v>490</v>
      </c>
      <c r="C495" s="314" t="s">
        <v>422</v>
      </c>
      <c r="D495" s="308" t="s">
        <v>1190</v>
      </c>
      <c r="F495" s="307">
        <v>909.8</v>
      </c>
    </row>
    <row r="496">
      <c r="A496" s="307">
        <v>332.0</v>
      </c>
      <c r="B496" s="167" t="s">
        <v>490</v>
      </c>
      <c r="C496" s="314" t="s">
        <v>422</v>
      </c>
      <c r="D496" s="308" t="s">
        <v>1191</v>
      </c>
      <c r="F496" s="307">
        <v>1492.215</v>
      </c>
    </row>
    <row r="497">
      <c r="A497" s="307">
        <v>333.0</v>
      </c>
      <c r="B497" s="167" t="s">
        <v>490</v>
      </c>
      <c r="C497" s="314" t="s">
        <v>422</v>
      </c>
      <c r="D497" s="308" t="s">
        <v>1192</v>
      </c>
      <c r="F497" s="307">
        <v>568.08</v>
      </c>
    </row>
    <row r="498">
      <c r="A498" s="307">
        <v>334.0</v>
      </c>
      <c r="B498" s="167" t="s">
        <v>606</v>
      </c>
      <c r="C498" s="314" t="s">
        <v>418</v>
      </c>
      <c r="D498" s="308" t="s">
        <v>1193</v>
      </c>
      <c r="F498" s="307">
        <v>72.0</v>
      </c>
    </row>
    <row r="499">
      <c r="A499" s="307">
        <v>335.0</v>
      </c>
      <c r="B499" s="167" t="s">
        <v>571</v>
      </c>
      <c r="C499" s="314" t="s">
        <v>422</v>
      </c>
      <c r="D499" s="308" t="s">
        <v>1194</v>
      </c>
      <c r="F499" s="307">
        <v>480.6</v>
      </c>
    </row>
    <row r="500">
      <c r="A500" s="307">
        <v>336.0</v>
      </c>
      <c r="B500" s="167" t="s">
        <v>575</v>
      </c>
      <c r="C500" s="314" t="s">
        <v>422</v>
      </c>
      <c r="D500" s="308" t="s">
        <v>767</v>
      </c>
      <c r="E500" s="167" t="s">
        <v>21</v>
      </c>
      <c r="F500" s="307">
        <v>42.1</v>
      </c>
    </row>
    <row r="501">
      <c r="A501" s="307">
        <v>337.0</v>
      </c>
      <c r="B501" s="167" t="s">
        <v>577</v>
      </c>
      <c r="C501" s="314" t="s">
        <v>422</v>
      </c>
      <c r="D501" s="308" t="s">
        <v>769</v>
      </c>
      <c r="E501" s="167" t="s">
        <v>21</v>
      </c>
      <c r="F501" s="307">
        <v>1200.0</v>
      </c>
    </row>
    <row r="502">
      <c r="A502" s="307">
        <v>338.0</v>
      </c>
      <c r="B502" s="167" t="s">
        <v>577</v>
      </c>
      <c r="C502" s="314" t="s">
        <v>422</v>
      </c>
      <c r="D502" s="308" t="s">
        <v>770</v>
      </c>
      <c r="E502" s="167" t="s">
        <v>21</v>
      </c>
      <c r="F502" s="307">
        <v>227.9</v>
      </c>
    </row>
    <row r="503">
      <c r="A503" s="307">
        <v>339.0</v>
      </c>
      <c r="B503" s="167" t="s">
        <v>579</v>
      </c>
      <c r="C503" s="314" t="s">
        <v>422</v>
      </c>
      <c r="D503" s="308" t="s">
        <v>772</v>
      </c>
      <c r="E503" s="167" t="s">
        <v>21</v>
      </c>
      <c r="F503" s="307">
        <v>61.0</v>
      </c>
    </row>
    <row r="504">
      <c r="A504" s="307">
        <v>340.0</v>
      </c>
      <c r="B504" s="167" t="s">
        <v>579</v>
      </c>
      <c r="C504" s="314" t="s">
        <v>422</v>
      </c>
      <c r="D504" s="308" t="s">
        <v>773</v>
      </c>
      <c r="E504" s="167" t="s">
        <v>21</v>
      </c>
      <c r="F504" s="307">
        <v>426.4</v>
      </c>
    </row>
    <row r="505">
      <c r="A505" s="307">
        <v>341.0</v>
      </c>
      <c r="B505" s="167" t="s">
        <v>581</v>
      </c>
      <c r="C505" s="314" t="s">
        <v>422</v>
      </c>
      <c r="D505" s="308" t="s">
        <v>775</v>
      </c>
      <c r="E505" s="167" t="s">
        <v>21</v>
      </c>
      <c r="F505" s="307">
        <v>361.0</v>
      </c>
    </row>
    <row r="506">
      <c r="A506" s="307">
        <v>342.0</v>
      </c>
      <c r="B506" s="167" t="s">
        <v>583</v>
      </c>
      <c r="C506" s="314" t="s">
        <v>422</v>
      </c>
      <c r="D506" s="308" t="s">
        <v>777</v>
      </c>
      <c r="E506" s="167" t="s">
        <v>21</v>
      </c>
      <c r="F506" s="307">
        <v>2000.0</v>
      </c>
    </row>
    <row r="507">
      <c r="A507" s="307">
        <v>343.0</v>
      </c>
      <c r="B507" s="167" t="s">
        <v>583</v>
      </c>
      <c r="C507" s="314" t="s">
        <v>422</v>
      </c>
      <c r="D507" s="308" t="s">
        <v>778</v>
      </c>
      <c r="E507" s="167" t="s">
        <v>21</v>
      </c>
      <c r="F507" s="307">
        <v>1400.0</v>
      </c>
    </row>
    <row r="508">
      <c r="B508" s="122"/>
      <c r="C508" s="314"/>
      <c r="D508" s="313"/>
    </row>
    <row r="509">
      <c r="B509" s="122"/>
      <c r="C509" s="314"/>
      <c r="D509" s="313"/>
    </row>
    <row r="510">
      <c r="B510" s="122"/>
      <c r="C510" s="314"/>
      <c r="D510" s="313"/>
    </row>
    <row r="511">
      <c r="B511" s="122"/>
      <c r="C511" s="314"/>
      <c r="D511" s="313"/>
    </row>
    <row r="512">
      <c r="B512" s="122"/>
      <c r="C512" s="314"/>
      <c r="D512" s="313"/>
    </row>
    <row r="513">
      <c r="B513" s="122"/>
      <c r="C513" s="314"/>
      <c r="D513" s="313"/>
    </row>
    <row r="514">
      <c r="B514" s="122"/>
      <c r="C514" s="314"/>
      <c r="D514" s="313"/>
    </row>
    <row r="515">
      <c r="B515" s="122"/>
      <c r="C515" s="314"/>
      <c r="D515" s="313"/>
    </row>
    <row r="516">
      <c r="B516" s="122"/>
      <c r="C516" s="314"/>
      <c r="D516" s="313"/>
    </row>
    <row r="517">
      <c r="B517" s="122"/>
      <c r="C517" s="314"/>
      <c r="D517" s="313"/>
    </row>
    <row r="518">
      <c r="B518" s="122"/>
      <c r="C518" s="314"/>
      <c r="D518" s="313"/>
    </row>
    <row r="519">
      <c r="B519" s="122"/>
      <c r="C519" s="314"/>
      <c r="D519" s="313"/>
    </row>
    <row r="520">
      <c r="B520" s="122"/>
      <c r="C520" s="314"/>
      <c r="D520" s="313"/>
    </row>
    <row r="521">
      <c r="B521" s="122"/>
      <c r="C521" s="314"/>
      <c r="D521" s="313"/>
    </row>
    <row r="522">
      <c r="B522" s="122"/>
      <c r="C522" s="314"/>
      <c r="D522" s="313"/>
    </row>
    <row r="523">
      <c r="B523" s="122"/>
      <c r="C523" s="314"/>
      <c r="D523" s="313"/>
    </row>
    <row r="524">
      <c r="B524" s="122"/>
      <c r="C524" s="314"/>
      <c r="D524" s="313"/>
    </row>
    <row r="525">
      <c r="B525" s="122"/>
      <c r="C525" s="314"/>
      <c r="D525" s="313"/>
    </row>
    <row r="526">
      <c r="B526" s="122"/>
      <c r="C526" s="314"/>
      <c r="D526" s="313"/>
    </row>
    <row r="527">
      <c r="B527" s="122"/>
      <c r="C527" s="314"/>
      <c r="D527" s="313"/>
    </row>
    <row r="528">
      <c r="B528" s="122"/>
      <c r="C528" s="314"/>
      <c r="D528" s="313"/>
    </row>
    <row r="529">
      <c r="B529" s="122"/>
      <c r="C529" s="314"/>
      <c r="D529" s="313"/>
    </row>
    <row r="530">
      <c r="B530" s="122"/>
      <c r="C530" s="314"/>
      <c r="D530" s="313"/>
    </row>
    <row r="531">
      <c r="B531" s="122"/>
      <c r="C531" s="314"/>
      <c r="D531" s="313"/>
    </row>
    <row r="532">
      <c r="B532" s="122"/>
      <c r="C532" s="314"/>
      <c r="D532" s="313"/>
    </row>
    <row r="533">
      <c r="B533" s="122"/>
      <c r="C533" s="314"/>
      <c r="D533" s="313"/>
    </row>
    <row r="534">
      <c r="B534" s="122"/>
      <c r="C534" s="314"/>
      <c r="D534" s="313"/>
    </row>
    <row r="535">
      <c r="B535" s="122"/>
      <c r="C535" s="314"/>
      <c r="D535" s="313"/>
    </row>
    <row r="536">
      <c r="B536" s="122"/>
      <c r="C536" s="314"/>
      <c r="D536" s="313"/>
    </row>
    <row r="537">
      <c r="B537" s="122"/>
      <c r="C537" s="314"/>
      <c r="D537" s="313"/>
    </row>
    <row r="538">
      <c r="B538" s="122"/>
      <c r="C538" s="314"/>
      <c r="D538" s="313"/>
    </row>
    <row r="539">
      <c r="B539" s="122"/>
      <c r="C539" s="314"/>
      <c r="D539" s="313"/>
    </row>
    <row r="540">
      <c r="B540" s="122"/>
      <c r="C540" s="314"/>
      <c r="D540" s="313"/>
    </row>
    <row r="541">
      <c r="B541" s="122"/>
      <c r="C541" s="314"/>
      <c r="D541" s="313"/>
    </row>
    <row r="542">
      <c r="B542" s="122"/>
      <c r="C542" s="314"/>
      <c r="D542" s="313"/>
    </row>
    <row r="543">
      <c r="B543" s="122"/>
      <c r="C543" s="314"/>
      <c r="D543" s="313"/>
    </row>
    <row r="544">
      <c r="B544" s="122"/>
      <c r="C544" s="314"/>
      <c r="D544" s="313"/>
    </row>
    <row r="545">
      <c r="B545" s="122"/>
      <c r="C545" s="314"/>
      <c r="D545" s="313"/>
    </row>
    <row r="546">
      <c r="B546" s="122"/>
      <c r="C546" s="314"/>
      <c r="D546" s="313"/>
    </row>
    <row r="547">
      <c r="B547" s="122"/>
      <c r="C547" s="314"/>
      <c r="D547" s="313"/>
    </row>
    <row r="548">
      <c r="B548" s="122"/>
      <c r="C548" s="314"/>
      <c r="D548" s="313"/>
    </row>
    <row r="549">
      <c r="B549" s="122"/>
      <c r="C549" s="314"/>
      <c r="D549" s="313"/>
    </row>
    <row r="550">
      <c r="B550" s="122"/>
      <c r="C550" s="314"/>
      <c r="D550" s="313"/>
    </row>
    <row r="551">
      <c r="B551" s="122"/>
      <c r="C551" s="314"/>
      <c r="D551" s="313"/>
    </row>
    <row r="552">
      <c r="B552" s="122"/>
      <c r="C552" s="314"/>
      <c r="D552" s="313"/>
    </row>
    <row r="553">
      <c r="B553" s="122"/>
      <c r="C553" s="314"/>
      <c r="D553" s="313"/>
    </row>
    <row r="554">
      <c r="B554" s="122"/>
      <c r="C554" s="314"/>
      <c r="D554" s="313"/>
    </row>
    <row r="555">
      <c r="B555" s="122"/>
      <c r="C555" s="314"/>
      <c r="D555" s="313"/>
    </row>
    <row r="556">
      <c r="B556" s="122"/>
      <c r="C556" s="314"/>
      <c r="D556" s="313"/>
    </row>
    <row r="557">
      <c r="B557" s="122"/>
      <c r="C557" s="314"/>
      <c r="D557" s="313"/>
    </row>
    <row r="558">
      <c r="B558" s="122"/>
      <c r="C558" s="314"/>
      <c r="D558" s="313"/>
    </row>
    <row r="559">
      <c r="B559" s="122"/>
      <c r="C559" s="314"/>
      <c r="D559" s="313"/>
    </row>
    <row r="560">
      <c r="B560" s="122"/>
      <c r="C560" s="314"/>
      <c r="D560" s="313"/>
    </row>
    <row r="561">
      <c r="B561" s="122"/>
      <c r="C561" s="314"/>
      <c r="D561" s="313"/>
    </row>
    <row r="562">
      <c r="B562" s="122"/>
      <c r="C562" s="314"/>
      <c r="D562" s="313"/>
    </row>
    <row r="563">
      <c r="B563" s="122"/>
      <c r="C563" s="314"/>
      <c r="D563" s="313"/>
    </row>
    <row r="564">
      <c r="B564" s="122"/>
      <c r="C564" s="314"/>
      <c r="D564" s="313"/>
    </row>
    <row r="565">
      <c r="B565" s="122"/>
      <c r="C565" s="314"/>
      <c r="D565" s="313"/>
    </row>
    <row r="566">
      <c r="B566" s="122"/>
      <c r="C566" s="314"/>
      <c r="D566" s="313"/>
    </row>
    <row r="567">
      <c r="B567" s="122"/>
      <c r="C567" s="314"/>
      <c r="D567" s="313"/>
    </row>
    <row r="568">
      <c r="B568" s="122"/>
      <c r="C568" s="314"/>
      <c r="D568" s="313"/>
    </row>
    <row r="569">
      <c r="B569" s="122"/>
      <c r="C569" s="314"/>
      <c r="D569" s="313"/>
    </row>
    <row r="570">
      <c r="B570" s="122"/>
      <c r="C570" s="314"/>
      <c r="D570" s="313"/>
    </row>
    <row r="571">
      <c r="B571" s="122"/>
      <c r="C571" s="314"/>
      <c r="D571" s="313"/>
    </row>
    <row r="572">
      <c r="B572" s="122"/>
      <c r="C572" s="314"/>
      <c r="D572" s="313"/>
    </row>
    <row r="573">
      <c r="B573" s="122"/>
      <c r="C573" s="314"/>
      <c r="D573" s="313"/>
    </row>
    <row r="574">
      <c r="B574" s="122"/>
      <c r="C574" s="314"/>
      <c r="D574" s="313"/>
    </row>
    <row r="575">
      <c r="B575" s="122"/>
      <c r="C575" s="314"/>
      <c r="D575" s="313"/>
    </row>
    <row r="576">
      <c r="B576" s="122"/>
      <c r="C576" s="314"/>
      <c r="D576" s="313"/>
    </row>
    <row r="577">
      <c r="B577" s="122"/>
      <c r="C577" s="314"/>
      <c r="D577" s="313"/>
    </row>
    <row r="578">
      <c r="B578" s="122"/>
      <c r="C578" s="314"/>
      <c r="D578" s="313"/>
    </row>
    <row r="579">
      <c r="B579" s="122"/>
      <c r="C579" s="314"/>
      <c r="D579" s="313"/>
    </row>
    <row r="580">
      <c r="B580" s="122"/>
      <c r="C580" s="314"/>
      <c r="D580" s="313"/>
    </row>
    <row r="581">
      <c r="B581" s="122"/>
      <c r="C581" s="314"/>
      <c r="D581" s="313"/>
    </row>
    <row r="582">
      <c r="B582" s="122"/>
      <c r="C582" s="314"/>
      <c r="D582" s="313"/>
    </row>
    <row r="583">
      <c r="B583" s="122"/>
      <c r="C583" s="314"/>
      <c r="D583" s="313"/>
    </row>
    <row r="584">
      <c r="B584" s="122"/>
      <c r="C584" s="314"/>
      <c r="D584" s="313"/>
    </row>
    <row r="585">
      <c r="B585" s="122"/>
      <c r="C585" s="314"/>
      <c r="D585" s="313"/>
    </row>
    <row r="586">
      <c r="B586" s="122"/>
      <c r="C586" s="314"/>
      <c r="D586" s="313"/>
    </row>
    <row r="587">
      <c r="B587" s="122"/>
      <c r="C587" s="314"/>
      <c r="D587" s="313"/>
    </row>
    <row r="588">
      <c r="B588" s="122"/>
      <c r="C588" s="314"/>
      <c r="D588" s="313"/>
    </row>
    <row r="589">
      <c r="B589" s="122"/>
      <c r="C589" s="314"/>
      <c r="D589" s="313"/>
    </row>
    <row r="590">
      <c r="B590" s="122"/>
      <c r="C590" s="314"/>
      <c r="D590" s="313"/>
    </row>
    <row r="591">
      <c r="B591" s="122"/>
      <c r="C591" s="314"/>
      <c r="D591" s="313"/>
    </row>
    <row r="592">
      <c r="B592" s="122"/>
      <c r="C592" s="314"/>
      <c r="D592" s="313"/>
    </row>
    <row r="593">
      <c r="B593" s="122"/>
      <c r="C593" s="314"/>
      <c r="D593" s="313"/>
    </row>
    <row r="594">
      <c r="B594" s="122"/>
      <c r="C594" s="314"/>
      <c r="D594" s="313"/>
    </row>
    <row r="595">
      <c r="B595" s="122"/>
      <c r="C595" s="314"/>
      <c r="D595" s="313"/>
    </row>
    <row r="596">
      <c r="B596" s="122"/>
      <c r="C596" s="314"/>
      <c r="D596" s="313"/>
    </row>
    <row r="597">
      <c r="B597" s="122"/>
      <c r="C597" s="314"/>
      <c r="D597" s="313"/>
    </row>
    <row r="598">
      <c r="B598" s="122"/>
      <c r="C598" s="314"/>
      <c r="D598" s="313"/>
    </row>
    <row r="599">
      <c r="B599" s="122"/>
      <c r="C599" s="314"/>
      <c r="D599" s="313"/>
    </row>
    <row r="600">
      <c r="B600" s="122"/>
      <c r="C600" s="314"/>
      <c r="D600" s="313"/>
    </row>
    <row r="601">
      <c r="B601" s="122"/>
      <c r="C601" s="314"/>
      <c r="D601" s="313"/>
    </row>
    <row r="602">
      <c r="B602" s="122"/>
      <c r="C602" s="314"/>
      <c r="D602" s="313"/>
    </row>
    <row r="603">
      <c r="B603" s="122"/>
      <c r="C603" s="314"/>
      <c r="D603" s="313"/>
    </row>
    <row r="604">
      <c r="B604" s="122"/>
      <c r="C604" s="314"/>
      <c r="D604" s="313"/>
    </row>
    <row r="605">
      <c r="B605" s="122"/>
      <c r="C605" s="314"/>
      <c r="D605" s="313"/>
    </row>
    <row r="606">
      <c r="B606" s="122"/>
      <c r="C606" s="314"/>
      <c r="D606" s="313"/>
    </row>
    <row r="607">
      <c r="B607" s="122"/>
      <c r="C607" s="314"/>
      <c r="D607" s="313"/>
    </row>
    <row r="608">
      <c r="B608" s="122"/>
      <c r="C608" s="314"/>
      <c r="D608" s="313"/>
    </row>
    <row r="609">
      <c r="B609" s="122"/>
      <c r="C609" s="314"/>
      <c r="D609" s="313"/>
    </row>
    <row r="610">
      <c r="B610" s="122"/>
      <c r="C610" s="314"/>
      <c r="D610" s="313"/>
    </row>
    <row r="611">
      <c r="B611" s="122"/>
      <c r="C611" s="314"/>
      <c r="D611" s="313"/>
    </row>
    <row r="612">
      <c r="B612" s="122"/>
      <c r="C612" s="314"/>
      <c r="D612" s="313"/>
    </row>
    <row r="613">
      <c r="B613" s="122"/>
      <c r="C613" s="314"/>
      <c r="D613" s="313"/>
    </row>
    <row r="614">
      <c r="B614" s="122"/>
      <c r="C614" s="314"/>
      <c r="D614" s="313"/>
    </row>
    <row r="615">
      <c r="B615" s="122"/>
      <c r="C615" s="314"/>
      <c r="D615" s="313"/>
    </row>
    <row r="616">
      <c r="B616" s="122"/>
      <c r="C616" s="314"/>
      <c r="D616" s="313"/>
    </row>
    <row r="617">
      <c r="B617" s="122"/>
      <c r="C617" s="314"/>
      <c r="D617" s="313"/>
    </row>
    <row r="618">
      <c r="B618" s="122"/>
      <c r="C618" s="314"/>
      <c r="D618" s="313"/>
    </row>
    <row r="619">
      <c r="B619" s="122"/>
      <c r="C619" s="314"/>
      <c r="D619" s="313"/>
    </row>
    <row r="620">
      <c r="B620" s="122"/>
      <c r="C620" s="314"/>
      <c r="D620" s="313"/>
    </row>
    <row r="621">
      <c r="B621" s="122"/>
      <c r="C621" s="314"/>
      <c r="D621" s="313"/>
    </row>
    <row r="622">
      <c r="B622" s="122"/>
      <c r="C622" s="314"/>
      <c r="D622" s="313"/>
    </row>
    <row r="623">
      <c r="B623" s="122"/>
      <c r="C623" s="314"/>
      <c r="D623" s="313"/>
    </row>
    <row r="624">
      <c r="B624" s="122"/>
      <c r="C624" s="314"/>
      <c r="D624" s="313"/>
    </row>
    <row r="625">
      <c r="B625" s="122"/>
      <c r="C625" s="314"/>
      <c r="D625" s="313"/>
    </row>
    <row r="626">
      <c r="B626" s="122"/>
      <c r="C626" s="314"/>
      <c r="D626" s="313"/>
    </row>
    <row r="627">
      <c r="B627" s="122"/>
      <c r="C627" s="314"/>
      <c r="D627" s="313"/>
    </row>
    <row r="628">
      <c r="B628" s="122"/>
      <c r="C628" s="314"/>
      <c r="D628" s="313"/>
    </row>
    <row r="629">
      <c r="B629" s="122"/>
      <c r="C629" s="314"/>
      <c r="D629" s="313"/>
    </row>
    <row r="630">
      <c r="B630" s="122"/>
      <c r="C630" s="314"/>
      <c r="D630" s="313"/>
    </row>
    <row r="631">
      <c r="B631" s="122"/>
      <c r="C631" s="314"/>
      <c r="D631" s="313"/>
    </row>
    <row r="632">
      <c r="B632" s="122"/>
      <c r="C632" s="314"/>
      <c r="D632" s="313"/>
    </row>
    <row r="633">
      <c r="B633" s="122"/>
      <c r="C633" s="314"/>
      <c r="D633" s="313"/>
    </row>
    <row r="634">
      <c r="B634" s="122"/>
      <c r="C634" s="314"/>
      <c r="D634" s="313"/>
    </row>
    <row r="635">
      <c r="B635" s="122"/>
      <c r="C635" s="314"/>
      <c r="D635" s="313"/>
    </row>
    <row r="636">
      <c r="B636" s="122"/>
      <c r="C636" s="314"/>
      <c r="D636" s="313"/>
    </row>
    <row r="637">
      <c r="B637" s="122"/>
      <c r="C637" s="314"/>
      <c r="D637" s="313"/>
    </row>
    <row r="638">
      <c r="B638" s="122"/>
      <c r="C638" s="314"/>
      <c r="D638" s="313"/>
    </row>
    <row r="639">
      <c r="B639" s="122"/>
      <c r="C639" s="314"/>
      <c r="D639" s="313"/>
    </row>
    <row r="640">
      <c r="B640" s="122"/>
      <c r="C640" s="314"/>
      <c r="D640" s="313"/>
    </row>
    <row r="641">
      <c r="B641" s="122"/>
      <c r="C641" s="314"/>
      <c r="D641" s="313"/>
    </row>
    <row r="642">
      <c r="B642" s="122"/>
      <c r="C642" s="314"/>
      <c r="D642" s="313"/>
    </row>
    <row r="643">
      <c r="B643" s="122"/>
      <c r="C643" s="314"/>
      <c r="D643" s="313"/>
    </row>
    <row r="644">
      <c r="B644" s="122"/>
      <c r="C644" s="314"/>
      <c r="D644" s="313"/>
    </row>
    <row r="645">
      <c r="B645" s="122"/>
      <c r="C645" s="314"/>
      <c r="D645" s="313"/>
    </row>
    <row r="646">
      <c r="B646" s="122"/>
      <c r="C646" s="314"/>
      <c r="D646" s="313"/>
    </row>
    <row r="647">
      <c r="B647" s="122"/>
      <c r="C647" s="314"/>
      <c r="D647" s="313"/>
    </row>
    <row r="648">
      <c r="B648" s="122"/>
      <c r="C648" s="314"/>
      <c r="D648" s="313"/>
    </row>
    <row r="649">
      <c r="B649" s="122"/>
      <c r="C649" s="314"/>
      <c r="D649" s="313"/>
    </row>
    <row r="650">
      <c r="B650" s="122"/>
      <c r="C650" s="314"/>
      <c r="D650" s="313"/>
    </row>
    <row r="651">
      <c r="B651" s="122"/>
      <c r="C651" s="314"/>
      <c r="D651" s="313"/>
    </row>
    <row r="652">
      <c r="B652" s="122"/>
      <c r="C652" s="314"/>
      <c r="D652" s="313"/>
    </row>
    <row r="653">
      <c r="B653" s="122"/>
      <c r="C653" s="314"/>
      <c r="D653" s="313"/>
    </row>
    <row r="654">
      <c r="B654" s="122"/>
      <c r="C654" s="314"/>
      <c r="D654" s="313"/>
    </row>
    <row r="655">
      <c r="B655" s="122"/>
      <c r="C655" s="314"/>
      <c r="D655" s="313"/>
    </row>
    <row r="656">
      <c r="B656" s="122"/>
      <c r="C656" s="314"/>
      <c r="D656" s="313"/>
    </row>
    <row r="657">
      <c r="B657" s="122"/>
      <c r="C657" s="314"/>
      <c r="D657" s="313"/>
    </row>
    <row r="658">
      <c r="B658" s="122"/>
      <c r="C658" s="314"/>
      <c r="D658" s="313"/>
    </row>
    <row r="659">
      <c r="B659" s="122"/>
      <c r="C659" s="314"/>
      <c r="D659" s="313"/>
    </row>
    <row r="660">
      <c r="B660" s="122"/>
      <c r="C660" s="314"/>
      <c r="D660" s="313"/>
    </row>
    <row r="661">
      <c r="B661" s="122"/>
      <c r="C661" s="314"/>
      <c r="D661" s="313"/>
    </row>
    <row r="662">
      <c r="B662" s="122"/>
      <c r="C662" s="314"/>
      <c r="D662" s="313"/>
    </row>
    <row r="663">
      <c r="B663" s="122"/>
      <c r="C663" s="314"/>
      <c r="D663" s="313"/>
    </row>
    <row r="664">
      <c r="B664" s="122"/>
      <c r="C664" s="314"/>
      <c r="D664" s="313"/>
    </row>
    <row r="665">
      <c r="B665" s="122"/>
      <c r="C665" s="314"/>
      <c r="D665" s="313"/>
    </row>
    <row r="666">
      <c r="B666" s="122"/>
      <c r="C666" s="314"/>
      <c r="D666" s="313"/>
    </row>
    <row r="667">
      <c r="B667" s="122"/>
      <c r="C667" s="314"/>
      <c r="D667" s="313"/>
    </row>
    <row r="668">
      <c r="B668" s="122"/>
      <c r="C668" s="314"/>
      <c r="D668" s="313"/>
    </row>
    <row r="669">
      <c r="B669" s="122"/>
      <c r="C669" s="314"/>
      <c r="D669" s="313"/>
    </row>
    <row r="670">
      <c r="B670" s="122"/>
      <c r="C670" s="314"/>
      <c r="D670" s="313"/>
    </row>
    <row r="671">
      <c r="B671" s="122"/>
      <c r="C671" s="314"/>
      <c r="D671" s="313"/>
    </row>
    <row r="672">
      <c r="B672" s="122"/>
      <c r="C672" s="314"/>
      <c r="D672" s="313"/>
    </row>
    <row r="673">
      <c r="B673" s="122"/>
      <c r="C673" s="314"/>
      <c r="D673" s="313"/>
    </row>
    <row r="674">
      <c r="B674" s="122"/>
      <c r="C674" s="314"/>
      <c r="D674" s="313"/>
    </row>
    <row r="675">
      <c r="B675" s="122"/>
      <c r="C675" s="314"/>
      <c r="D675" s="313"/>
    </row>
    <row r="676">
      <c r="B676" s="122"/>
      <c r="C676" s="314"/>
      <c r="D676" s="313"/>
    </row>
    <row r="677">
      <c r="B677" s="122"/>
      <c r="C677" s="314"/>
      <c r="D677" s="313"/>
    </row>
    <row r="678">
      <c r="B678" s="122"/>
      <c r="C678" s="314"/>
      <c r="D678" s="313"/>
    </row>
    <row r="679">
      <c r="B679" s="122"/>
      <c r="C679" s="314"/>
      <c r="D679" s="313"/>
    </row>
    <row r="680">
      <c r="B680" s="122"/>
      <c r="C680" s="314"/>
      <c r="D680" s="313"/>
    </row>
    <row r="681">
      <c r="B681" s="122"/>
      <c r="C681" s="314"/>
      <c r="D681" s="313"/>
    </row>
    <row r="682">
      <c r="B682" s="122"/>
      <c r="C682" s="314"/>
      <c r="D682" s="313"/>
    </row>
    <row r="683">
      <c r="B683" s="122"/>
      <c r="C683" s="314"/>
      <c r="D683" s="313"/>
    </row>
    <row r="684">
      <c r="B684" s="122"/>
      <c r="C684" s="314"/>
      <c r="D684" s="313"/>
    </row>
    <row r="685">
      <c r="B685" s="122"/>
      <c r="C685" s="314"/>
      <c r="D685" s="313"/>
    </row>
    <row r="686">
      <c r="B686" s="122"/>
      <c r="C686" s="314"/>
      <c r="D686" s="313"/>
    </row>
    <row r="687">
      <c r="B687" s="122"/>
      <c r="C687" s="314"/>
      <c r="D687" s="313"/>
    </row>
    <row r="688">
      <c r="B688" s="122"/>
      <c r="C688" s="314"/>
      <c r="D688" s="313"/>
    </row>
    <row r="689">
      <c r="B689" s="122"/>
      <c r="C689" s="314"/>
      <c r="D689" s="313"/>
    </row>
    <row r="690">
      <c r="B690" s="122"/>
      <c r="C690" s="314"/>
      <c r="D690" s="313"/>
    </row>
    <row r="691">
      <c r="B691" s="122"/>
      <c r="C691" s="314"/>
      <c r="D691" s="313"/>
    </row>
    <row r="692">
      <c r="B692" s="122"/>
      <c r="C692" s="314"/>
      <c r="D692" s="313"/>
    </row>
    <row r="693">
      <c r="B693" s="122"/>
      <c r="C693" s="314"/>
      <c r="D693" s="313"/>
    </row>
    <row r="694">
      <c r="B694" s="122"/>
      <c r="C694" s="314"/>
      <c r="D694" s="313"/>
    </row>
    <row r="695">
      <c r="B695" s="122"/>
      <c r="C695" s="314"/>
      <c r="D695" s="316"/>
    </row>
    <row r="696">
      <c r="B696" s="122"/>
      <c r="C696" s="314"/>
      <c r="D696" s="316"/>
    </row>
    <row r="697">
      <c r="B697" s="122"/>
      <c r="C697" s="314"/>
      <c r="D697" s="313"/>
    </row>
    <row r="698">
      <c r="B698" s="122"/>
      <c r="C698" s="314"/>
      <c r="D698" s="313"/>
    </row>
    <row r="699">
      <c r="B699" s="122"/>
      <c r="C699" s="314"/>
      <c r="D699" s="313"/>
    </row>
    <row r="700">
      <c r="B700" s="122"/>
      <c r="C700" s="314"/>
      <c r="D700" s="313"/>
    </row>
    <row r="701">
      <c r="B701" s="122"/>
      <c r="C701" s="314"/>
      <c r="D701" s="313"/>
    </row>
    <row r="702">
      <c r="B702" s="122"/>
      <c r="C702" s="314"/>
      <c r="D702" s="313"/>
    </row>
    <row r="703">
      <c r="B703" s="122"/>
      <c r="C703" s="314"/>
      <c r="D703" s="313"/>
    </row>
    <row r="704">
      <c r="B704" s="122"/>
      <c r="C704" s="314"/>
      <c r="D704" s="313"/>
    </row>
    <row r="705">
      <c r="B705" s="122"/>
      <c r="C705" s="314"/>
      <c r="D705" s="313"/>
    </row>
    <row r="706">
      <c r="B706" s="122"/>
      <c r="C706" s="314"/>
      <c r="D706" s="313"/>
    </row>
    <row r="707">
      <c r="B707" s="122"/>
      <c r="C707" s="314"/>
      <c r="D707" s="313"/>
    </row>
    <row r="708">
      <c r="B708" s="122"/>
      <c r="C708" s="314"/>
      <c r="D708" s="313"/>
    </row>
    <row r="709">
      <c r="B709" s="122"/>
      <c r="C709" s="314"/>
      <c r="D709" s="313"/>
    </row>
    <row r="710">
      <c r="B710" s="122"/>
      <c r="C710" s="314"/>
      <c r="D710" s="313"/>
    </row>
    <row r="711">
      <c r="B711" s="122"/>
      <c r="C711" s="314"/>
      <c r="D711" s="313"/>
    </row>
    <row r="712">
      <c r="B712" s="122"/>
      <c r="C712" s="314"/>
      <c r="D712" s="313"/>
    </row>
    <row r="713">
      <c r="B713" s="122"/>
      <c r="C713" s="314"/>
      <c r="D713" s="313"/>
    </row>
    <row r="714">
      <c r="B714" s="122"/>
      <c r="C714" s="314"/>
      <c r="D714" s="313"/>
    </row>
    <row r="715">
      <c r="B715" s="122"/>
      <c r="C715" s="314"/>
      <c r="D715" s="313"/>
    </row>
    <row r="716">
      <c r="B716" s="122"/>
      <c r="C716" s="314"/>
      <c r="D716" s="313"/>
    </row>
    <row r="717">
      <c r="B717" s="122"/>
      <c r="C717" s="314"/>
      <c r="D717" s="313"/>
    </row>
    <row r="718">
      <c r="B718" s="122"/>
      <c r="C718" s="314"/>
      <c r="D718" s="313"/>
    </row>
    <row r="719">
      <c r="B719" s="122"/>
      <c r="C719" s="314"/>
      <c r="D719" s="313"/>
    </row>
    <row r="720">
      <c r="B720" s="122"/>
      <c r="C720" s="314"/>
      <c r="D720" s="313"/>
    </row>
    <row r="721">
      <c r="B721" s="122"/>
      <c r="C721" s="314"/>
      <c r="D721" s="313"/>
    </row>
    <row r="722">
      <c r="B722" s="122"/>
      <c r="C722" s="314"/>
      <c r="D722" s="313"/>
    </row>
    <row r="723">
      <c r="B723" s="122"/>
      <c r="C723" s="314"/>
      <c r="D723" s="313"/>
    </row>
    <row r="724">
      <c r="B724" s="122"/>
      <c r="C724" s="314"/>
      <c r="D724" s="313"/>
    </row>
    <row r="725">
      <c r="B725" s="122"/>
      <c r="C725" s="314"/>
      <c r="D725" s="313"/>
    </row>
    <row r="726">
      <c r="B726" s="122"/>
      <c r="C726" s="314"/>
      <c r="D726" s="313"/>
    </row>
    <row r="727">
      <c r="B727" s="122"/>
      <c r="C727" s="314"/>
      <c r="D727" s="313"/>
    </row>
    <row r="728">
      <c r="B728" s="122"/>
      <c r="C728" s="314"/>
      <c r="D728" s="313"/>
    </row>
    <row r="729">
      <c r="B729" s="122"/>
      <c r="C729" s="314"/>
      <c r="D729" s="313"/>
    </row>
    <row r="730">
      <c r="B730" s="122"/>
      <c r="C730" s="314"/>
      <c r="D730" s="313"/>
    </row>
    <row r="731">
      <c r="B731" s="122"/>
      <c r="C731" s="314"/>
      <c r="D731" s="313"/>
    </row>
    <row r="732">
      <c r="B732" s="122"/>
      <c r="C732" s="314"/>
      <c r="D732" s="313"/>
    </row>
    <row r="733">
      <c r="B733" s="122"/>
      <c r="C733" s="314"/>
      <c r="D733" s="313"/>
    </row>
    <row r="734">
      <c r="B734" s="122"/>
      <c r="C734" s="314"/>
      <c r="D734" s="313"/>
    </row>
    <row r="735">
      <c r="B735" s="122"/>
      <c r="C735" s="314"/>
      <c r="D735" s="313"/>
    </row>
    <row r="736">
      <c r="B736" s="122"/>
      <c r="C736" s="314"/>
      <c r="D736" s="313"/>
    </row>
    <row r="737">
      <c r="B737" s="122"/>
      <c r="C737" s="314"/>
      <c r="D737" s="313"/>
    </row>
    <row r="738">
      <c r="B738" s="122"/>
      <c r="C738" s="314"/>
      <c r="D738" s="313"/>
    </row>
    <row r="739">
      <c r="B739" s="122"/>
      <c r="C739" s="314"/>
      <c r="D739" s="313"/>
    </row>
    <row r="740">
      <c r="B740" s="122"/>
      <c r="C740" s="314"/>
      <c r="D740" s="313"/>
    </row>
    <row r="741">
      <c r="B741" s="122"/>
      <c r="C741" s="314"/>
      <c r="D741" s="313"/>
    </row>
    <row r="742">
      <c r="B742" s="122"/>
      <c r="C742" s="314"/>
      <c r="D742" s="313"/>
    </row>
    <row r="743">
      <c r="B743" s="122"/>
      <c r="C743" s="314"/>
      <c r="D743" s="313"/>
    </row>
    <row r="744">
      <c r="B744" s="122"/>
      <c r="C744" s="314"/>
      <c r="D744" s="313"/>
    </row>
    <row r="745">
      <c r="B745" s="122"/>
      <c r="C745" s="314"/>
      <c r="D745" s="313"/>
    </row>
    <row r="746">
      <c r="B746" s="122"/>
      <c r="C746" s="314"/>
      <c r="D746" s="313"/>
    </row>
    <row r="747">
      <c r="B747" s="122"/>
      <c r="C747" s="314"/>
      <c r="D747" s="313"/>
    </row>
    <row r="748">
      <c r="B748" s="122"/>
      <c r="C748" s="314"/>
      <c r="D748" s="313"/>
    </row>
    <row r="749">
      <c r="B749" s="122"/>
      <c r="C749" s="314"/>
      <c r="D749" s="313"/>
    </row>
    <row r="750">
      <c r="B750" s="122"/>
      <c r="C750" s="314"/>
      <c r="D750" s="313"/>
    </row>
    <row r="751">
      <c r="B751" s="122"/>
      <c r="C751" s="314"/>
      <c r="D751" s="313"/>
    </row>
    <row r="752">
      <c r="B752" s="122"/>
      <c r="C752" s="314"/>
      <c r="D752" s="313"/>
    </row>
    <row r="753">
      <c r="B753" s="122"/>
      <c r="C753" s="314"/>
      <c r="D753" s="313"/>
    </row>
    <row r="754">
      <c r="B754" s="122"/>
      <c r="C754" s="314"/>
      <c r="D754" s="313"/>
    </row>
    <row r="755">
      <c r="B755" s="122"/>
      <c r="C755" s="314"/>
      <c r="D755" s="313"/>
    </row>
    <row r="756">
      <c r="B756" s="122"/>
      <c r="C756" s="314"/>
      <c r="D756" s="313"/>
    </row>
    <row r="757">
      <c r="B757" s="122"/>
      <c r="C757" s="314"/>
      <c r="D757" s="313"/>
    </row>
    <row r="758">
      <c r="B758" s="122"/>
      <c r="C758" s="314"/>
      <c r="D758" s="313"/>
    </row>
    <row r="759">
      <c r="B759" s="122"/>
      <c r="C759" s="314"/>
      <c r="D759" s="313"/>
    </row>
    <row r="760">
      <c r="B760" s="122"/>
      <c r="C760" s="314"/>
      <c r="D760" s="313"/>
    </row>
    <row r="761">
      <c r="B761" s="122"/>
      <c r="C761" s="314"/>
      <c r="D761" s="313"/>
    </row>
    <row r="762">
      <c r="B762" s="122"/>
      <c r="C762" s="314"/>
      <c r="D762" s="313"/>
    </row>
    <row r="763">
      <c r="B763" s="122"/>
      <c r="C763" s="314"/>
      <c r="D763" s="313"/>
    </row>
    <row r="764">
      <c r="B764" s="122"/>
      <c r="C764" s="314"/>
      <c r="D764" s="313"/>
    </row>
    <row r="765">
      <c r="B765" s="122"/>
      <c r="C765" s="314"/>
      <c r="D765" s="313"/>
    </row>
    <row r="766">
      <c r="B766" s="122"/>
      <c r="C766" s="314"/>
      <c r="D766" s="313"/>
    </row>
    <row r="767">
      <c r="B767" s="122"/>
      <c r="C767" s="314"/>
      <c r="D767" s="313"/>
    </row>
    <row r="768">
      <c r="B768" s="122"/>
      <c r="C768" s="317"/>
      <c r="D768" s="318"/>
    </row>
    <row r="769">
      <c r="B769" s="122"/>
      <c r="C769" s="317"/>
      <c r="D769" s="318"/>
    </row>
    <row r="770">
      <c r="B770" s="122"/>
      <c r="C770" s="317"/>
      <c r="D770" s="318"/>
    </row>
    <row r="771">
      <c r="B771" s="122"/>
      <c r="C771" s="317"/>
      <c r="D771" s="318"/>
    </row>
    <row r="772">
      <c r="B772" s="122"/>
      <c r="C772" s="317"/>
      <c r="D772" s="318"/>
    </row>
    <row r="773">
      <c r="B773" s="122"/>
      <c r="C773" s="317"/>
      <c r="D773" s="318"/>
    </row>
    <row r="774">
      <c r="B774" s="122"/>
      <c r="C774" s="317"/>
      <c r="D774" s="318"/>
    </row>
    <row r="775">
      <c r="B775" s="122"/>
      <c r="C775" s="317"/>
      <c r="D775" s="318"/>
    </row>
    <row r="776">
      <c r="B776" s="122"/>
      <c r="C776" s="317"/>
      <c r="D776" s="318"/>
    </row>
    <row r="777">
      <c r="B777" s="122"/>
      <c r="C777" s="317"/>
      <c r="D777" s="318"/>
    </row>
    <row r="778">
      <c r="B778" s="122"/>
      <c r="C778" s="317"/>
      <c r="D778" s="318"/>
    </row>
    <row r="779">
      <c r="B779" s="122"/>
      <c r="C779" s="317"/>
      <c r="D779" s="318"/>
    </row>
    <row r="780">
      <c r="B780" s="122"/>
      <c r="C780" s="317"/>
      <c r="D780" s="318"/>
    </row>
    <row r="781">
      <c r="B781" s="122"/>
      <c r="C781" s="317"/>
      <c r="D781" s="318"/>
    </row>
    <row r="782">
      <c r="B782" s="122"/>
      <c r="C782" s="317"/>
      <c r="D782" s="318"/>
    </row>
    <row r="783">
      <c r="B783" s="122"/>
      <c r="C783" s="317"/>
      <c r="D783" s="318"/>
    </row>
    <row r="784">
      <c r="B784" s="122"/>
      <c r="C784" s="317"/>
      <c r="D784" s="318"/>
    </row>
    <row r="785">
      <c r="B785" s="122"/>
      <c r="C785" s="317"/>
      <c r="D785" s="318"/>
    </row>
    <row r="786">
      <c r="B786" s="122"/>
      <c r="C786" s="317"/>
      <c r="D786" s="318"/>
    </row>
    <row r="787">
      <c r="B787" s="122"/>
      <c r="C787" s="317"/>
      <c r="D787" s="318"/>
    </row>
    <row r="788">
      <c r="B788" s="122"/>
      <c r="C788" s="317"/>
      <c r="D788" s="318"/>
    </row>
    <row r="789">
      <c r="B789" s="122"/>
      <c r="C789" s="317"/>
      <c r="D789" s="318"/>
    </row>
    <row r="790">
      <c r="B790" s="122"/>
      <c r="C790" s="317"/>
      <c r="D790" s="318"/>
    </row>
    <row r="791">
      <c r="B791" s="122"/>
      <c r="C791" s="317"/>
      <c r="D791" s="318"/>
    </row>
    <row r="792">
      <c r="B792" s="122"/>
      <c r="C792" s="317"/>
      <c r="D792" s="318"/>
    </row>
    <row r="793">
      <c r="B793" s="122"/>
      <c r="C793" s="317"/>
      <c r="D793" s="318"/>
    </row>
    <row r="794">
      <c r="B794" s="122"/>
      <c r="C794" s="317"/>
      <c r="D794" s="318"/>
    </row>
    <row r="795">
      <c r="B795" s="122"/>
      <c r="C795" s="317"/>
      <c r="D795" s="318"/>
    </row>
    <row r="796">
      <c r="B796" s="122"/>
      <c r="C796" s="317"/>
      <c r="D796" s="318"/>
    </row>
    <row r="797">
      <c r="B797" s="122"/>
      <c r="C797" s="317"/>
      <c r="D797" s="318"/>
    </row>
    <row r="798">
      <c r="B798" s="122"/>
      <c r="C798" s="317"/>
      <c r="D798" s="318"/>
    </row>
    <row r="799">
      <c r="B799" s="122"/>
      <c r="C799" s="317"/>
      <c r="D799" s="318"/>
    </row>
    <row r="800">
      <c r="B800" s="122"/>
      <c r="C800" s="317"/>
      <c r="D800" s="318"/>
    </row>
    <row r="801">
      <c r="B801" s="122"/>
      <c r="C801" s="317"/>
      <c r="D801" s="318"/>
    </row>
    <row r="802">
      <c r="B802" s="122"/>
      <c r="C802" s="317"/>
      <c r="D802" s="318"/>
    </row>
    <row r="803">
      <c r="B803" s="122"/>
      <c r="C803" s="317"/>
      <c r="D803" s="318"/>
    </row>
    <row r="804">
      <c r="B804" s="122"/>
      <c r="C804" s="317"/>
      <c r="D804" s="318"/>
    </row>
    <row r="805">
      <c r="B805" s="122"/>
      <c r="C805" s="317"/>
      <c r="D805" s="318"/>
    </row>
    <row r="806">
      <c r="B806" s="122"/>
      <c r="C806" s="317"/>
      <c r="D806" s="318"/>
    </row>
    <row r="807">
      <c r="B807" s="122"/>
      <c r="C807" s="317"/>
      <c r="D807" s="318"/>
    </row>
    <row r="808">
      <c r="B808" s="122"/>
      <c r="C808" s="317"/>
      <c r="D808" s="318"/>
    </row>
    <row r="809">
      <c r="B809" s="122"/>
      <c r="C809" s="317"/>
      <c r="D809" s="318"/>
    </row>
    <row r="810">
      <c r="B810" s="122"/>
      <c r="C810" s="317"/>
      <c r="D810" s="318"/>
    </row>
    <row r="811">
      <c r="B811" s="122"/>
      <c r="C811" s="317"/>
      <c r="D811" s="318"/>
    </row>
    <row r="812">
      <c r="B812" s="122"/>
      <c r="C812" s="317"/>
      <c r="D812" s="318"/>
    </row>
    <row r="813">
      <c r="B813" s="122"/>
      <c r="C813" s="317"/>
      <c r="D813" s="318"/>
    </row>
    <row r="814">
      <c r="B814" s="122"/>
      <c r="C814" s="317"/>
      <c r="D814" s="318"/>
    </row>
    <row r="815">
      <c r="B815" s="122"/>
      <c r="C815" s="317"/>
      <c r="D815" s="318"/>
    </row>
    <row r="816">
      <c r="B816" s="122"/>
      <c r="C816" s="317"/>
      <c r="D816" s="318"/>
    </row>
    <row r="817">
      <c r="B817" s="122"/>
      <c r="C817" s="317"/>
      <c r="D817" s="318"/>
    </row>
    <row r="818">
      <c r="B818" s="122"/>
      <c r="C818" s="317"/>
      <c r="D818" s="318"/>
    </row>
    <row r="819">
      <c r="B819" s="122"/>
      <c r="C819" s="317"/>
      <c r="D819" s="318"/>
    </row>
    <row r="820">
      <c r="B820" s="122"/>
      <c r="C820" s="317"/>
      <c r="D820" s="318"/>
    </row>
    <row r="821">
      <c r="B821" s="122"/>
      <c r="C821" s="317"/>
      <c r="D821" s="318"/>
    </row>
    <row r="822">
      <c r="B822" s="122"/>
      <c r="C822" s="317"/>
      <c r="D822" s="318"/>
    </row>
    <row r="823">
      <c r="B823" s="122"/>
      <c r="C823" s="317"/>
      <c r="D823" s="318"/>
    </row>
    <row r="824">
      <c r="B824" s="122"/>
      <c r="C824" s="317"/>
      <c r="D824" s="318"/>
    </row>
    <row r="825">
      <c r="B825" s="122"/>
      <c r="C825" s="317"/>
      <c r="D825" s="318"/>
    </row>
    <row r="826">
      <c r="B826" s="122"/>
      <c r="C826" s="317"/>
      <c r="D826" s="318"/>
    </row>
    <row r="827">
      <c r="B827" s="122"/>
      <c r="C827" s="317"/>
      <c r="D827" s="318"/>
    </row>
    <row r="828">
      <c r="B828" s="122"/>
      <c r="C828" s="317"/>
      <c r="D828" s="318"/>
    </row>
    <row r="829">
      <c r="B829" s="122"/>
      <c r="C829" s="317"/>
      <c r="D829" s="318"/>
    </row>
    <row r="830">
      <c r="B830" s="122"/>
      <c r="C830" s="317"/>
      <c r="D830" s="318"/>
    </row>
    <row r="831">
      <c r="B831" s="122"/>
      <c r="C831" s="317"/>
      <c r="D831" s="318"/>
    </row>
    <row r="832">
      <c r="B832" s="122"/>
      <c r="C832" s="317"/>
      <c r="D832" s="318"/>
    </row>
    <row r="833">
      <c r="B833" s="122"/>
      <c r="C833" s="317"/>
      <c r="D833" s="318"/>
    </row>
    <row r="834">
      <c r="B834" s="122"/>
      <c r="C834" s="317"/>
      <c r="D834" s="318"/>
    </row>
    <row r="835">
      <c r="B835" s="122"/>
      <c r="C835" s="317"/>
      <c r="D835" s="318"/>
    </row>
    <row r="836">
      <c r="B836" s="122"/>
      <c r="C836" s="317"/>
      <c r="D836" s="318"/>
    </row>
    <row r="837">
      <c r="B837" s="122"/>
      <c r="C837" s="317"/>
      <c r="D837" s="318"/>
    </row>
    <row r="838">
      <c r="B838" s="122"/>
      <c r="C838" s="317"/>
      <c r="D838" s="318"/>
    </row>
    <row r="839">
      <c r="B839" s="122"/>
      <c r="C839" s="317"/>
      <c r="D839" s="318"/>
    </row>
    <row r="840">
      <c r="B840" s="122"/>
      <c r="C840" s="317"/>
      <c r="D840" s="318"/>
    </row>
    <row r="841">
      <c r="B841" s="122"/>
      <c r="C841" s="317"/>
      <c r="D841" s="318"/>
    </row>
    <row r="842">
      <c r="B842" s="122"/>
      <c r="C842" s="317"/>
      <c r="D842" s="318"/>
    </row>
    <row r="843">
      <c r="B843" s="122"/>
      <c r="C843" s="317"/>
      <c r="D843" s="318"/>
    </row>
    <row r="844">
      <c r="B844" s="122"/>
      <c r="C844" s="317"/>
      <c r="D844" s="318"/>
    </row>
    <row r="845">
      <c r="B845" s="122"/>
      <c r="C845" s="317"/>
      <c r="D845" s="318"/>
    </row>
    <row r="846">
      <c r="B846" s="122"/>
      <c r="C846" s="317"/>
      <c r="D846" s="318"/>
    </row>
    <row r="847">
      <c r="B847" s="122"/>
      <c r="C847" s="317"/>
      <c r="D847" s="318"/>
    </row>
    <row r="848">
      <c r="B848" s="122"/>
      <c r="C848" s="317"/>
      <c r="D848" s="318"/>
    </row>
    <row r="849">
      <c r="B849" s="122"/>
      <c r="C849" s="317"/>
      <c r="D849" s="318"/>
    </row>
    <row r="850">
      <c r="B850" s="122"/>
      <c r="C850" s="317"/>
      <c r="D850" s="318"/>
    </row>
    <row r="851">
      <c r="B851" s="122"/>
      <c r="C851" s="317"/>
      <c r="D851" s="318"/>
    </row>
    <row r="852">
      <c r="B852" s="122"/>
      <c r="C852" s="317"/>
      <c r="D852" s="318"/>
    </row>
    <row r="853">
      <c r="B853" s="122"/>
      <c r="C853" s="317"/>
      <c r="D853" s="318"/>
    </row>
    <row r="854">
      <c r="B854" s="122"/>
      <c r="C854" s="317"/>
      <c r="D854" s="318"/>
    </row>
    <row r="855">
      <c r="B855" s="122"/>
      <c r="C855" s="317"/>
      <c r="D855" s="318"/>
    </row>
    <row r="856">
      <c r="B856" s="122"/>
      <c r="C856" s="317"/>
      <c r="D856" s="318"/>
    </row>
    <row r="857">
      <c r="B857" s="122"/>
      <c r="C857" s="317"/>
      <c r="D857" s="318"/>
    </row>
    <row r="858">
      <c r="B858" s="122"/>
      <c r="C858" s="317"/>
      <c r="D858" s="318"/>
    </row>
    <row r="859">
      <c r="B859" s="122"/>
      <c r="C859" s="317"/>
      <c r="D859" s="318"/>
    </row>
    <row r="860">
      <c r="B860" s="122"/>
      <c r="C860" s="317"/>
      <c r="D860" s="318"/>
    </row>
    <row r="861">
      <c r="B861" s="122"/>
      <c r="C861" s="317"/>
      <c r="D861" s="318"/>
    </row>
    <row r="862">
      <c r="B862" s="122"/>
      <c r="C862" s="317"/>
      <c r="D862" s="318"/>
    </row>
    <row r="863">
      <c r="B863" s="122"/>
      <c r="C863" s="317"/>
      <c r="D863" s="318"/>
    </row>
    <row r="864">
      <c r="B864" s="122"/>
      <c r="C864" s="317"/>
      <c r="D864" s="318"/>
    </row>
    <row r="865">
      <c r="B865" s="122"/>
      <c r="C865" s="317"/>
      <c r="D865" s="318"/>
    </row>
    <row r="866">
      <c r="B866" s="122"/>
      <c r="C866" s="317"/>
      <c r="D866" s="318"/>
    </row>
    <row r="867">
      <c r="B867" s="122"/>
      <c r="C867" s="317"/>
      <c r="D867" s="318"/>
    </row>
    <row r="868">
      <c r="B868" s="122"/>
      <c r="C868" s="317"/>
      <c r="D868" s="318"/>
    </row>
    <row r="869">
      <c r="B869" s="122"/>
      <c r="C869" s="317"/>
      <c r="D869" s="318"/>
    </row>
    <row r="870">
      <c r="B870" s="122"/>
      <c r="C870" s="317"/>
      <c r="D870" s="318"/>
    </row>
    <row r="871">
      <c r="B871" s="122"/>
      <c r="C871" s="317"/>
      <c r="D871" s="318"/>
    </row>
    <row r="872">
      <c r="B872" s="122"/>
      <c r="C872" s="317"/>
      <c r="D872" s="318"/>
    </row>
    <row r="873">
      <c r="B873" s="122"/>
      <c r="C873" s="317"/>
      <c r="D873" s="318"/>
    </row>
    <row r="874">
      <c r="B874" s="122"/>
      <c r="C874" s="317"/>
      <c r="D874" s="318"/>
    </row>
    <row r="875">
      <c r="B875" s="122"/>
      <c r="C875" s="317"/>
      <c r="D875" s="318"/>
    </row>
    <row r="876">
      <c r="B876" s="122"/>
      <c r="C876" s="317"/>
      <c r="D876" s="318"/>
    </row>
    <row r="877">
      <c r="B877" s="122"/>
      <c r="C877" s="317"/>
      <c r="D877" s="318"/>
    </row>
    <row r="878">
      <c r="B878" s="122"/>
      <c r="C878" s="317"/>
      <c r="D878" s="318"/>
    </row>
    <row r="879">
      <c r="B879" s="122"/>
      <c r="C879" s="317"/>
      <c r="D879" s="318"/>
    </row>
    <row r="880">
      <c r="B880" s="122"/>
      <c r="C880" s="317"/>
      <c r="D880" s="318"/>
    </row>
    <row r="881">
      <c r="B881" s="122"/>
      <c r="C881" s="317"/>
      <c r="D881" s="318"/>
    </row>
    <row r="882">
      <c r="B882" s="122"/>
      <c r="C882" s="317"/>
      <c r="D882" s="318"/>
    </row>
    <row r="883">
      <c r="B883" s="122"/>
      <c r="C883" s="317"/>
      <c r="D883" s="318"/>
    </row>
    <row r="884">
      <c r="B884" s="122"/>
      <c r="C884" s="317"/>
      <c r="D884" s="318"/>
    </row>
    <row r="885">
      <c r="B885" s="122"/>
      <c r="C885" s="317"/>
      <c r="D885" s="318"/>
    </row>
    <row r="886">
      <c r="B886" s="122"/>
      <c r="C886" s="317"/>
      <c r="D886" s="318"/>
    </row>
    <row r="887">
      <c r="B887" s="122"/>
      <c r="C887" s="317"/>
      <c r="D887" s="318"/>
    </row>
    <row r="888">
      <c r="B888" s="122"/>
      <c r="C888" s="317"/>
      <c r="D888" s="318"/>
    </row>
    <row r="889">
      <c r="B889" s="122"/>
      <c r="C889" s="317"/>
      <c r="D889" s="318"/>
    </row>
    <row r="890">
      <c r="B890" s="122"/>
      <c r="C890" s="317"/>
      <c r="D890" s="318"/>
    </row>
    <row r="891">
      <c r="B891" s="122"/>
      <c r="C891" s="317"/>
      <c r="D891" s="318"/>
    </row>
    <row r="892">
      <c r="B892" s="122"/>
      <c r="C892" s="317"/>
      <c r="D892" s="318"/>
    </row>
    <row r="893">
      <c r="B893" s="122"/>
      <c r="C893" s="317"/>
      <c r="D893" s="318"/>
    </row>
    <row r="894">
      <c r="B894" s="122"/>
      <c r="C894" s="317"/>
      <c r="D894" s="318"/>
    </row>
    <row r="895">
      <c r="B895" s="122"/>
      <c r="C895" s="317"/>
      <c r="D895" s="318"/>
    </row>
    <row r="896">
      <c r="B896" s="122"/>
      <c r="C896" s="317"/>
      <c r="D896" s="318"/>
    </row>
    <row r="897">
      <c r="B897" s="122"/>
      <c r="C897" s="317"/>
      <c r="D897" s="318"/>
    </row>
    <row r="898">
      <c r="B898" s="122"/>
      <c r="C898" s="317"/>
      <c r="D898" s="318"/>
    </row>
    <row r="899">
      <c r="B899" s="122"/>
      <c r="C899" s="317"/>
      <c r="D899" s="318"/>
    </row>
    <row r="900">
      <c r="B900" s="122"/>
      <c r="C900" s="317"/>
      <c r="D900" s="318"/>
    </row>
    <row r="901">
      <c r="B901" s="122"/>
      <c r="C901" s="317"/>
      <c r="D901" s="318"/>
    </row>
    <row r="902">
      <c r="B902" s="122"/>
      <c r="C902" s="317"/>
      <c r="D902" s="318"/>
    </row>
    <row r="903">
      <c r="B903" s="122"/>
      <c r="C903" s="317"/>
      <c r="D903" s="318"/>
    </row>
    <row r="904">
      <c r="B904" s="122"/>
      <c r="C904" s="317"/>
      <c r="D904" s="318"/>
    </row>
    <row r="905">
      <c r="B905" s="122"/>
      <c r="C905" s="317"/>
      <c r="D905" s="318"/>
    </row>
    <row r="906">
      <c r="B906" s="122"/>
      <c r="C906" s="317"/>
      <c r="D906" s="318"/>
    </row>
    <row r="907">
      <c r="B907" s="122"/>
      <c r="C907" s="317"/>
      <c r="D907" s="318"/>
    </row>
    <row r="908">
      <c r="B908" s="122"/>
      <c r="C908" s="317"/>
      <c r="D908" s="318"/>
    </row>
    <row r="909">
      <c r="B909" s="122"/>
      <c r="C909" s="317"/>
      <c r="D909" s="318"/>
    </row>
    <row r="910">
      <c r="B910" s="122"/>
      <c r="C910" s="317"/>
      <c r="D910" s="318"/>
    </row>
    <row r="911">
      <c r="B911" s="122"/>
      <c r="C911" s="317"/>
      <c r="D911" s="318"/>
    </row>
    <row r="912">
      <c r="B912" s="122"/>
      <c r="C912" s="317"/>
      <c r="D912" s="318"/>
    </row>
    <row r="913">
      <c r="B913" s="122"/>
      <c r="C913" s="317"/>
      <c r="D913" s="318"/>
    </row>
    <row r="914">
      <c r="B914" s="122"/>
      <c r="C914" s="317"/>
      <c r="D914" s="318"/>
    </row>
    <row r="915">
      <c r="B915" s="122"/>
      <c r="C915" s="317"/>
      <c r="D915" s="318"/>
    </row>
    <row r="916">
      <c r="B916" s="122"/>
      <c r="C916" s="317"/>
      <c r="D916" s="318"/>
    </row>
    <row r="917">
      <c r="B917" s="122"/>
      <c r="C917" s="317"/>
      <c r="D917" s="318"/>
    </row>
    <row r="918">
      <c r="B918" s="122"/>
      <c r="C918" s="317"/>
      <c r="D918" s="318"/>
    </row>
    <row r="919">
      <c r="B919" s="122"/>
      <c r="C919" s="317"/>
      <c r="D919" s="318"/>
    </row>
    <row r="920">
      <c r="B920" s="122"/>
      <c r="C920" s="317"/>
      <c r="D920" s="318"/>
    </row>
    <row r="921">
      <c r="B921" s="122"/>
      <c r="C921" s="317"/>
      <c r="D921" s="318"/>
    </row>
    <row r="922">
      <c r="B922" s="122"/>
      <c r="C922" s="317"/>
      <c r="D922" s="318"/>
    </row>
    <row r="923">
      <c r="B923" s="122"/>
      <c r="C923" s="317"/>
      <c r="D923" s="318"/>
    </row>
    <row r="924">
      <c r="B924" s="122"/>
      <c r="C924" s="317"/>
      <c r="D924" s="318"/>
    </row>
    <row r="925">
      <c r="B925" s="122"/>
      <c r="C925" s="317"/>
      <c r="D925" s="318"/>
    </row>
    <row r="926">
      <c r="B926" s="122"/>
      <c r="C926" s="317"/>
      <c r="D926" s="318"/>
    </row>
    <row r="927">
      <c r="B927" s="122"/>
      <c r="C927" s="317"/>
      <c r="D927" s="318"/>
    </row>
    <row r="928">
      <c r="B928" s="122"/>
      <c r="C928" s="317"/>
      <c r="D928" s="318"/>
    </row>
    <row r="929">
      <c r="B929" s="122"/>
      <c r="C929" s="317"/>
      <c r="D929" s="318"/>
    </row>
    <row r="930">
      <c r="B930" s="122"/>
      <c r="C930" s="317"/>
      <c r="D930" s="318"/>
    </row>
    <row r="931">
      <c r="B931" s="122"/>
      <c r="C931" s="317"/>
      <c r="D931" s="318"/>
    </row>
    <row r="932">
      <c r="B932" s="122"/>
      <c r="C932" s="317"/>
      <c r="D932" s="318"/>
    </row>
    <row r="933">
      <c r="B933" s="122"/>
      <c r="C933" s="317"/>
      <c r="D933" s="318"/>
    </row>
    <row r="934">
      <c r="B934" s="122"/>
      <c r="C934" s="317"/>
      <c r="D934" s="318"/>
    </row>
    <row r="935">
      <c r="B935" s="122"/>
      <c r="C935" s="317"/>
      <c r="D935" s="318"/>
    </row>
    <row r="936">
      <c r="B936" s="122"/>
      <c r="C936" s="317"/>
      <c r="D936" s="318"/>
    </row>
    <row r="937">
      <c r="B937" s="122"/>
      <c r="C937" s="317"/>
      <c r="D937" s="318"/>
    </row>
    <row r="938">
      <c r="B938" s="122"/>
      <c r="C938" s="317"/>
      <c r="D938" s="318"/>
    </row>
    <row r="939">
      <c r="B939" s="122"/>
      <c r="C939" s="317"/>
      <c r="D939" s="318"/>
    </row>
    <row r="940">
      <c r="B940" s="122"/>
      <c r="C940" s="317"/>
      <c r="D940" s="318"/>
    </row>
    <row r="941">
      <c r="B941" s="122"/>
      <c r="C941" s="317"/>
      <c r="D941" s="318"/>
    </row>
    <row r="942">
      <c r="B942" s="122"/>
      <c r="C942" s="317"/>
      <c r="D942" s="318"/>
    </row>
    <row r="943">
      <c r="B943" s="122"/>
      <c r="C943" s="317"/>
      <c r="D943" s="318"/>
    </row>
    <row r="944">
      <c r="B944" s="122"/>
      <c r="C944" s="317"/>
      <c r="D944" s="318"/>
    </row>
    <row r="945">
      <c r="B945" s="122"/>
      <c r="C945" s="317"/>
      <c r="D945" s="318"/>
    </row>
    <row r="946">
      <c r="B946" s="122"/>
      <c r="C946" s="317"/>
      <c r="D946" s="318"/>
    </row>
    <row r="947">
      <c r="B947" s="122"/>
      <c r="C947" s="317"/>
      <c r="D947" s="318"/>
    </row>
    <row r="948">
      <c r="B948" s="122"/>
      <c r="C948" s="317"/>
      <c r="D948" s="318"/>
    </row>
    <row r="949">
      <c r="B949" s="122"/>
      <c r="C949" s="317"/>
      <c r="D949" s="318"/>
    </row>
    <row r="950">
      <c r="B950" s="122"/>
      <c r="C950" s="317"/>
      <c r="D950" s="318"/>
    </row>
    <row r="951">
      <c r="B951" s="122"/>
      <c r="C951" s="317"/>
      <c r="D951" s="318"/>
    </row>
    <row r="952">
      <c r="B952" s="122"/>
      <c r="C952" s="317"/>
      <c r="D952" s="318"/>
    </row>
    <row r="953">
      <c r="B953" s="122"/>
      <c r="C953" s="317"/>
      <c r="D953" s="318"/>
    </row>
    <row r="954">
      <c r="B954" s="122"/>
      <c r="C954" s="317"/>
      <c r="D954" s="318"/>
    </row>
    <row r="955">
      <c r="B955" s="122"/>
      <c r="C955" s="317"/>
      <c r="D955" s="318"/>
    </row>
    <row r="956">
      <c r="B956" s="122"/>
      <c r="C956" s="317"/>
      <c r="D956" s="318"/>
    </row>
    <row r="957">
      <c r="B957" s="122"/>
      <c r="C957" s="317"/>
      <c r="D957" s="318"/>
    </row>
    <row r="958">
      <c r="B958" s="122"/>
      <c r="C958" s="317"/>
      <c r="D958" s="318"/>
    </row>
    <row r="959">
      <c r="B959" s="122"/>
      <c r="C959" s="317"/>
      <c r="D959" s="318"/>
    </row>
    <row r="960">
      <c r="B960" s="122"/>
      <c r="C960" s="317"/>
      <c r="D960" s="318"/>
    </row>
    <row r="961">
      <c r="B961" s="122"/>
      <c r="C961" s="317"/>
      <c r="D961" s="318"/>
    </row>
    <row r="962">
      <c r="B962" s="122"/>
      <c r="C962" s="317"/>
      <c r="D962" s="318"/>
    </row>
    <row r="963">
      <c r="B963" s="122"/>
      <c r="C963" s="317"/>
      <c r="D963" s="318"/>
    </row>
    <row r="964">
      <c r="B964" s="122"/>
      <c r="C964" s="317"/>
      <c r="D964" s="318"/>
    </row>
    <row r="965">
      <c r="B965" s="122"/>
      <c r="C965" s="317"/>
      <c r="D965" s="318"/>
    </row>
    <row r="966">
      <c r="B966" s="122"/>
      <c r="C966" s="317"/>
      <c r="D966" s="318"/>
    </row>
    <row r="967">
      <c r="B967" s="122"/>
      <c r="C967" s="317"/>
      <c r="D967" s="318"/>
    </row>
    <row r="968">
      <c r="B968" s="122"/>
      <c r="C968" s="317"/>
      <c r="D968" s="318"/>
    </row>
    <row r="969">
      <c r="B969" s="122"/>
      <c r="C969" s="317"/>
      <c r="D969" s="318"/>
    </row>
    <row r="970">
      <c r="B970" s="122"/>
      <c r="C970" s="317"/>
      <c r="D970" s="318"/>
    </row>
    <row r="971">
      <c r="B971" s="122"/>
      <c r="C971" s="317"/>
      <c r="D971" s="318"/>
    </row>
    <row r="972">
      <c r="B972" s="122"/>
      <c r="C972" s="317"/>
      <c r="D972" s="318"/>
    </row>
    <row r="973">
      <c r="B973" s="122"/>
      <c r="C973" s="317"/>
      <c r="D973" s="318"/>
    </row>
    <row r="974">
      <c r="B974" s="122"/>
      <c r="C974" s="317"/>
      <c r="D974" s="318"/>
    </row>
    <row r="975">
      <c r="B975" s="122"/>
      <c r="C975" s="317"/>
      <c r="D975" s="318"/>
    </row>
    <row r="976">
      <c r="B976" s="122"/>
      <c r="C976" s="317"/>
      <c r="D976" s="318"/>
    </row>
    <row r="977">
      <c r="B977" s="122"/>
      <c r="C977" s="317"/>
      <c r="D977" s="318"/>
    </row>
    <row r="978">
      <c r="B978" s="122"/>
      <c r="C978" s="317"/>
      <c r="D978" s="318"/>
    </row>
    <row r="979">
      <c r="B979" s="122"/>
      <c r="C979" s="317"/>
      <c r="D979" s="318"/>
    </row>
    <row r="980">
      <c r="B980" s="122"/>
      <c r="C980" s="317"/>
      <c r="D980" s="318"/>
    </row>
    <row r="981">
      <c r="B981" s="122"/>
      <c r="C981" s="317"/>
      <c r="D981" s="318"/>
    </row>
    <row r="982">
      <c r="B982" s="122"/>
      <c r="C982" s="317"/>
      <c r="D982" s="318"/>
    </row>
    <row r="983">
      <c r="B983" s="122"/>
      <c r="C983" s="317"/>
      <c r="D983" s="318"/>
    </row>
    <row r="984">
      <c r="B984" s="122"/>
      <c r="C984" s="317"/>
      <c r="D984" s="318"/>
    </row>
    <row r="985">
      <c r="B985" s="122"/>
      <c r="C985" s="317"/>
      <c r="D985" s="318"/>
    </row>
    <row r="986">
      <c r="B986" s="122"/>
      <c r="C986" s="317"/>
      <c r="D986" s="318"/>
    </row>
    <row r="987">
      <c r="B987" s="122"/>
      <c r="C987" s="317"/>
      <c r="D987" s="318"/>
    </row>
    <row r="988">
      <c r="B988" s="122"/>
      <c r="C988" s="317"/>
      <c r="D988" s="318"/>
    </row>
    <row r="989">
      <c r="B989" s="122"/>
      <c r="C989" s="317"/>
      <c r="D989" s="318"/>
    </row>
    <row r="990">
      <c r="B990" s="122"/>
      <c r="C990" s="317"/>
      <c r="D990" s="318"/>
    </row>
    <row r="991">
      <c r="B991" s="122"/>
      <c r="C991" s="317"/>
      <c r="D991" s="318"/>
    </row>
    <row r="992">
      <c r="B992" s="122"/>
      <c r="C992" s="317"/>
      <c r="D992" s="318"/>
    </row>
    <row r="993">
      <c r="B993" s="122"/>
      <c r="C993" s="317"/>
      <c r="D993" s="318"/>
    </row>
    <row r="994">
      <c r="B994" s="122"/>
      <c r="C994" s="317"/>
      <c r="D994" s="318"/>
    </row>
    <row r="995">
      <c r="B995" s="122"/>
      <c r="C995" s="317"/>
      <c r="D995" s="318"/>
    </row>
    <row r="996">
      <c r="B996" s="122"/>
      <c r="C996" s="317"/>
      <c r="D996" s="318"/>
    </row>
    <row r="997">
      <c r="B997" s="122"/>
      <c r="C997" s="317"/>
      <c r="D997" s="318"/>
    </row>
    <row r="998">
      <c r="B998" s="122"/>
      <c r="C998" s="317"/>
      <c r="D998" s="318"/>
    </row>
    <row r="999">
      <c r="B999" s="122"/>
      <c r="C999" s="317"/>
      <c r="D999" s="318"/>
    </row>
    <row r="1000">
      <c r="B1000" s="122"/>
      <c r="C1000" s="317"/>
      <c r="D1000" s="318"/>
    </row>
    <row r="1001">
      <c r="B1001" s="122"/>
      <c r="C1001" s="317"/>
      <c r="D1001" s="318"/>
    </row>
    <row r="1002">
      <c r="B1002" s="122"/>
      <c r="C1002" s="317"/>
      <c r="D1002" s="318"/>
    </row>
    <row r="1003">
      <c r="B1003" s="122"/>
      <c r="C1003" s="317"/>
      <c r="D1003" s="318"/>
    </row>
    <row r="1004">
      <c r="B1004" s="122"/>
      <c r="C1004" s="317"/>
      <c r="D1004" s="318"/>
    </row>
    <row r="1005">
      <c r="B1005" s="122"/>
      <c r="C1005" s="317"/>
      <c r="D1005" s="318"/>
    </row>
    <row r="1006">
      <c r="B1006" s="122"/>
      <c r="C1006" s="317"/>
      <c r="D1006" s="318"/>
    </row>
    <row r="1007">
      <c r="B1007" s="122"/>
      <c r="C1007" s="317"/>
      <c r="D1007" s="318"/>
    </row>
    <row r="1008">
      <c r="B1008" s="122"/>
      <c r="C1008" s="317"/>
      <c r="D1008" s="318"/>
    </row>
    <row r="1009">
      <c r="B1009" s="122"/>
      <c r="C1009" s="317"/>
      <c r="D1009" s="318"/>
    </row>
    <row r="1010">
      <c r="B1010" s="122"/>
      <c r="C1010" s="317"/>
      <c r="D1010" s="318"/>
    </row>
    <row r="1011">
      <c r="B1011" s="122"/>
      <c r="C1011" s="317"/>
      <c r="D1011" s="318"/>
    </row>
    <row r="1012">
      <c r="B1012" s="122"/>
      <c r="C1012" s="317"/>
      <c r="D1012" s="318"/>
    </row>
    <row r="1013">
      <c r="B1013" s="122"/>
      <c r="C1013" s="317"/>
      <c r="D1013" s="318"/>
    </row>
    <row r="1014">
      <c r="B1014" s="122"/>
      <c r="C1014" s="317"/>
      <c r="D1014" s="318"/>
    </row>
    <row r="1015">
      <c r="B1015" s="122"/>
      <c r="C1015" s="317"/>
      <c r="D1015" s="318"/>
    </row>
    <row r="1016">
      <c r="B1016" s="122"/>
      <c r="C1016" s="317"/>
      <c r="D1016" s="318"/>
    </row>
    <row r="1017">
      <c r="B1017" s="122"/>
      <c r="C1017" s="317"/>
      <c r="D1017" s="318"/>
    </row>
    <row r="1018">
      <c r="B1018" s="122"/>
      <c r="C1018" s="317"/>
      <c r="D1018" s="318"/>
    </row>
    <row r="1019">
      <c r="B1019" s="122"/>
      <c r="C1019" s="317"/>
      <c r="D1019" s="318"/>
    </row>
    <row r="1020">
      <c r="B1020" s="122"/>
      <c r="C1020" s="317"/>
      <c r="D1020" s="318"/>
    </row>
    <row r="1021">
      <c r="B1021" s="122"/>
      <c r="C1021" s="317"/>
      <c r="D1021" s="318"/>
    </row>
    <row r="1022">
      <c r="B1022" s="122"/>
      <c r="C1022" s="317"/>
      <c r="D1022" s="318"/>
    </row>
    <row r="1023">
      <c r="B1023" s="122"/>
      <c r="C1023" s="317"/>
      <c r="D1023" s="318"/>
    </row>
    <row r="1024">
      <c r="B1024" s="122"/>
      <c r="C1024" s="317"/>
      <c r="D1024" s="318"/>
    </row>
    <row r="1025">
      <c r="B1025" s="122"/>
      <c r="C1025" s="317"/>
      <c r="D1025" s="318"/>
    </row>
    <row r="1026">
      <c r="B1026" s="122"/>
      <c r="C1026" s="317"/>
      <c r="D1026" s="318"/>
    </row>
    <row r="1027">
      <c r="B1027" s="122"/>
      <c r="C1027" s="317"/>
      <c r="D1027" s="318"/>
    </row>
    <row r="1028">
      <c r="B1028" s="122"/>
      <c r="C1028" s="317"/>
      <c r="D1028" s="318"/>
    </row>
    <row r="1029">
      <c r="B1029" s="122"/>
      <c r="C1029" s="317"/>
      <c r="D1029" s="318"/>
    </row>
    <row r="1030">
      <c r="B1030" s="122"/>
      <c r="C1030" s="317"/>
      <c r="D1030" s="318"/>
    </row>
    <row r="1031">
      <c r="B1031" s="122"/>
      <c r="C1031" s="317"/>
      <c r="D1031" s="318"/>
    </row>
    <row r="1032">
      <c r="B1032" s="122"/>
      <c r="C1032" s="317"/>
      <c r="D1032" s="318"/>
    </row>
    <row r="1033">
      <c r="B1033" s="122"/>
      <c r="C1033" s="317"/>
      <c r="D1033" s="318"/>
    </row>
    <row r="1034">
      <c r="B1034" s="122"/>
      <c r="C1034" s="317"/>
      <c r="D1034" s="318"/>
    </row>
    <row r="1035">
      <c r="B1035" s="122"/>
      <c r="C1035" s="317"/>
      <c r="D1035" s="318"/>
    </row>
    <row r="1036">
      <c r="B1036" s="122"/>
      <c r="C1036" s="317"/>
      <c r="D1036" s="318"/>
    </row>
    <row r="1037">
      <c r="B1037" s="122"/>
      <c r="C1037" s="317"/>
      <c r="D1037" s="318"/>
    </row>
    <row r="1038">
      <c r="B1038" s="122"/>
      <c r="C1038" s="317"/>
      <c r="D1038" s="318"/>
    </row>
    <row r="1039">
      <c r="B1039" s="122"/>
      <c r="C1039" s="317"/>
      <c r="D1039" s="318"/>
    </row>
    <row r="1040">
      <c r="B1040" s="122"/>
      <c r="C1040" s="317"/>
      <c r="D1040" s="318"/>
    </row>
    <row r="1041">
      <c r="B1041" s="122"/>
      <c r="C1041" s="317"/>
      <c r="D1041" s="318"/>
    </row>
    <row r="1042">
      <c r="B1042" s="122"/>
      <c r="C1042" s="317"/>
      <c r="D1042" s="318"/>
    </row>
    <row r="1043">
      <c r="B1043" s="122"/>
      <c r="C1043" s="317"/>
      <c r="D1043" s="318"/>
    </row>
    <row r="1044">
      <c r="B1044" s="122"/>
      <c r="C1044" s="317"/>
      <c r="D1044" s="318"/>
    </row>
    <row r="1045">
      <c r="B1045" s="122"/>
      <c r="C1045" s="317"/>
      <c r="D1045" s="318"/>
    </row>
    <row r="1046">
      <c r="B1046" s="122"/>
      <c r="C1046" s="317"/>
      <c r="D1046" s="318"/>
    </row>
    <row r="1047">
      <c r="B1047" s="122"/>
      <c r="C1047" s="317"/>
      <c r="D1047" s="318"/>
    </row>
    <row r="1048">
      <c r="B1048" s="122"/>
      <c r="C1048" s="317"/>
      <c r="D1048" s="318"/>
    </row>
    <row r="1049">
      <c r="B1049" s="122"/>
      <c r="C1049" s="317"/>
      <c r="D1049" s="318"/>
    </row>
    <row r="1050">
      <c r="B1050" s="122"/>
      <c r="C1050" s="317"/>
      <c r="D1050" s="318"/>
    </row>
    <row r="1051">
      <c r="B1051" s="122"/>
      <c r="C1051" s="317"/>
      <c r="D1051" s="318"/>
    </row>
    <row r="1052">
      <c r="B1052" s="122"/>
      <c r="C1052" s="317"/>
      <c r="D1052" s="318"/>
    </row>
    <row r="1053">
      <c r="B1053" s="122"/>
      <c r="C1053" s="317"/>
      <c r="D1053" s="318"/>
    </row>
    <row r="1054">
      <c r="B1054" s="122"/>
      <c r="C1054" s="317"/>
      <c r="D1054" s="318"/>
    </row>
    <row r="1055">
      <c r="B1055" s="122"/>
      <c r="C1055" s="317"/>
      <c r="D1055" s="318"/>
    </row>
    <row r="1056">
      <c r="B1056" s="122"/>
      <c r="C1056" s="317"/>
      <c r="D1056" s="318"/>
    </row>
    <row r="1057">
      <c r="B1057" s="122"/>
      <c r="C1057" s="317"/>
      <c r="D1057" s="318"/>
    </row>
    <row r="1058">
      <c r="B1058" s="122"/>
      <c r="C1058" s="317"/>
      <c r="D1058" s="318"/>
    </row>
    <row r="1059">
      <c r="B1059" s="122"/>
      <c r="C1059" s="317"/>
      <c r="D1059" s="318"/>
    </row>
    <row r="1060">
      <c r="B1060" s="122"/>
      <c r="C1060" s="317"/>
      <c r="D1060" s="318"/>
    </row>
    <row r="1061">
      <c r="B1061" s="122"/>
      <c r="C1061" s="317"/>
      <c r="D1061" s="318"/>
    </row>
    <row r="1062">
      <c r="B1062" s="122"/>
      <c r="C1062" s="317"/>
      <c r="D1062" s="318"/>
    </row>
    <row r="1063">
      <c r="B1063" s="122"/>
      <c r="C1063" s="317"/>
      <c r="D1063" s="318"/>
    </row>
    <row r="1064">
      <c r="B1064" s="122"/>
      <c r="C1064" s="317"/>
      <c r="D1064" s="318"/>
    </row>
    <row r="1065">
      <c r="B1065" s="122"/>
      <c r="C1065" s="317"/>
      <c r="D1065" s="318"/>
    </row>
    <row r="1066">
      <c r="B1066" s="122"/>
      <c r="C1066" s="317"/>
      <c r="D1066" s="318"/>
    </row>
    <row r="1067">
      <c r="B1067" s="122"/>
      <c r="C1067" s="317"/>
      <c r="D1067" s="318"/>
    </row>
    <row r="1068">
      <c r="B1068" s="122"/>
      <c r="C1068" s="317"/>
      <c r="D1068" s="318"/>
    </row>
    <row r="1069">
      <c r="B1069" s="122"/>
      <c r="C1069" s="317"/>
      <c r="D1069" s="318"/>
    </row>
    <row r="1070">
      <c r="B1070" s="122"/>
      <c r="C1070" s="317"/>
      <c r="D1070" s="318"/>
    </row>
    <row r="1071">
      <c r="B1071" s="122"/>
      <c r="C1071" s="317"/>
      <c r="D1071" s="318"/>
    </row>
    <row r="1072">
      <c r="B1072" s="122"/>
      <c r="C1072" s="317"/>
      <c r="D1072" s="318"/>
    </row>
    <row r="1073">
      <c r="B1073" s="122"/>
      <c r="C1073" s="317"/>
      <c r="D1073" s="318"/>
    </row>
  </sheetData>
  <conditionalFormatting sqref="D1:D1073">
    <cfRule type="expression" dxfId="0" priority="1">
      <formula>COUNTIF(D:D,D1)&gt;1</formula>
    </cfRule>
  </conditionalFormatting>
  <conditionalFormatting sqref="G156">
    <cfRule type="notContainsBlanks" dxfId="0" priority="2">
      <formula>LEN(TRIM(G156))&gt;0</formula>
    </cfRule>
  </conditionalFormatting>
  <dataValidations>
    <dataValidation type="list" allowBlank="1" sqref="C1:C1073">
      <formula1>"Facebook,TikTok,YouTube,Instagram"</formula1>
    </dataValidation>
    <dataValidation type="list" allowBlank="1" sqref="B1:B1073">
      <formula1>data!$A:$A</formula1>
    </dataValidation>
  </dataValidation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5"/>
    <hyperlink r:id="rId164" ref="D166"/>
    <hyperlink r:id="rId165" ref="D167"/>
    <hyperlink r:id="rId166" ref="D168"/>
    <hyperlink r:id="rId167" ref="D169"/>
    <hyperlink r:id="rId168" ref="D170"/>
    <hyperlink r:id="rId169" ref="D171"/>
    <hyperlink r:id="rId170" ref="D172"/>
    <hyperlink r:id="rId171" ref="D173"/>
    <hyperlink r:id="rId172" ref="D174"/>
    <hyperlink r:id="rId173" ref="D175"/>
    <hyperlink r:id="rId174" ref="D176"/>
    <hyperlink r:id="rId175" ref="D177"/>
    <hyperlink r:id="rId176" ref="D178"/>
    <hyperlink r:id="rId177" ref="D179"/>
    <hyperlink r:id="rId178" ref="D180"/>
    <hyperlink r:id="rId179" ref="D181"/>
    <hyperlink r:id="rId180" ref="D182"/>
    <hyperlink r:id="rId181" ref="D183"/>
    <hyperlink r:id="rId182" ref="D184"/>
    <hyperlink r:id="rId183" ref="D185"/>
    <hyperlink r:id="rId184" ref="D186"/>
    <hyperlink r:id="rId185" ref="D187"/>
    <hyperlink r:id="rId186" ref="D188"/>
    <hyperlink r:id="rId187" ref="D189"/>
    <hyperlink r:id="rId188" ref="D190"/>
    <hyperlink r:id="rId189" ref="D191"/>
    <hyperlink r:id="rId190" ref="D192"/>
    <hyperlink r:id="rId191" ref="D193"/>
    <hyperlink r:id="rId192" ref="D194"/>
    <hyperlink r:id="rId193" ref="D195"/>
    <hyperlink r:id="rId194" ref="D196"/>
    <hyperlink r:id="rId195" ref="D197"/>
    <hyperlink r:id="rId196" ref="D198"/>
    <hyperlink r:id="rId197" ref="D199"/>
    <hyperlink r:id="rId198" ref="D200"/>
    <hyperlink r:id="rId199" ref="D201"/>
    <hyperlink r:id="rId200" ref="D202"/>
    <hyperlink r:id="rId201" ref="D203"/>
    <hyperlink r:id="rId202" ref="D204"/>
    <hyperlink r:id="rId203" ref="D205"/>
    <hyperlink r:id="rId204" ref="D206"/>
    <hyperlink r:id="rId205" ref="D207"/>
    <hyperlink r:id="rId206" ref="D208"/>
    <hyperlink r:id="rId207" ref="D209"/>
    <hyperlink r:id="rId208" ref="D210"/>
    <hyperlink r:id="rId209" ref="D211"/>
    <hyperlink r:id="rId210" ref="D212"/>
    <hyperlink r:id="rId211" ref="D213"/>
    <hyperlink r:id="rId212" ref="D214"/>
    <hyperlink r:id="rId213" ref="D215"/>
    <hyperlink r:id="rId214" ref="D216"/>
    <hyperlink r:id="rId215" ref="D217"/>
    <hyperlink r:id="rId216" ref="D218"/>
    <hyperlink r:id="rId217" ref="D219"/>
    <hyperlink r:id="rId218" ref="D220"/>
    <hyperlink r:id="rId219" ref="D221"/>
    <hyperlink r:id="rId220" ref="D222"/>
    <hyperlink r:id="rId221" ref="D223"/>
    <hyperlink r:id="rId222" ref="D224"/>
    <hyperlink r:id="rId223" ref="D225"/>
    <hyperlink r:id="rId224" ref="D226"/>
    <hyperlink r:id="rId225" ref="D227"/>
    <hyperlink r:id="rId226" ref="D228"/>
    <hyperlink r:id="rId227" ref="D229"/>
    <hyperlink r:id="rId228" ref="D230"/>
    <hyperlink r:id="rId229" ref="D231"/>
    <hyperlink r:id="rId230" ref="D232"/>
    <hyperlink r:id="rId231" ref="D233"/>
    <hyperlink r:id="rId232" ref="D234"/>
    <hyperlink r:id="rId233" ref="D235"/>
    <hyperlink r:id="rId234" ref="D236"/>
    <hyperlink r:id="rId235" ref="D237"/>
    <hyperlink r:id="rId236" ref="D238"/>
    <hyperlink r:id="rId237" ref="D239"/>
    <hyperlink r:id="rId238" ref="D240"/>
    <hyperlink r:id="rId239" ref="D241"/>
    <hyperlink r:id="rId240" ref="D242"/>
    <hyperlink r:id="rId241" ref="D243"/>
    <hyperlink r:id="rId242" ref="D244"/>
    <hyperlink r:id="rId243" ref="D245"/>
    <hyperlink r:id="rId244" ref="D246"/>
    <hyperlink r:id="rId245" ref="D247"/>
    <hyperlink r:id="rId246" ref="D248"/>
    <hyperlink r:id="rId247" ref="D249"/>
    <hyperlink r:id="rId248" ref="D250"/>
    <hyperlink r:id="rId249" ref="D251"/>
    <hyperlink r:id="rId250" ref="D252"/>
    <hyperlink r:id="rId251" ref="D253"/>
    <hyperlink r:id="rId252" ref="D254"/>
    <hyperlink r:id="rId253" ref="D255"/>
    <hyperlink r:id="rId254" ref="D256"/>
    <hyperlink r:id="rId255" ref="D257"/>
    <hyperlink r:id="rId256" ref="D258"/>
    <hyperlink r:id="rId257" ref="D259"/>
    <hyperlink r:id="rId258" ref="D260"/>
    <hyperlink r:id="rId259" ref="D261"/>
    <hyperlink r:id="rId260" ref="D262"/>
    <hyperlink r:id="rId261" ref="D263"/>
    <hyperlink r:id="rId262" ref="D264"/>
    <hyperlink r:id="rId263" ref="D265"/>
    <hyperlink r:id="rId264" ref="D266"/>
    <hyperlink r:id="rId265" ref="D267"/>
    <hyperlink r:id="rId266" ref="D268"/>
    <hyperlink r:id="rId267" ref="D269"/>
    <hyperlink r:id="rId268" ref="D270"/>
    <hyperlink r:id="rId269" ref="D271"/>
    <hyperlink r:id="rId270" ref="D272"/>
    <hyperlink r:id="rId271" ref="D273"/>
    <hyperlink r:id="rId272" ref="D274"/>
    <hyperlink r:id="rId273" ref="D275"/>
    <hyperlink r:id="rId274" ref="D276"/>
    <hyperlink r:id="rId275" ref="D277"/>
    <hyperlink r:id="rId276" ref="D278"/>
    <hyperlink r:id="rId277" ref="D279"/>
    <hyperlink r:id="rId278" ref="D280"/>
    <hyperlink r:id="rId279" ref="D281"/>
    <hyperlink r:id="rId280" ref="D282"/>
    <hyperlink r:id="rId281" ref="D283"/>
    <hyperlink r:id="rId282" ref="D284"/>
    <hyperlink r:id="rId283" ref="D285"/>
    <hyperlink r:id="rId284" ref="D286"/>
    <hyperlink r:id="rId285" ref="D287"/>
    <hyperlink r:id="rId286" ref="D288"/>
    <hyperlink r:id="rId287" ref="D289"/>
    <hyperlink r:id="rId288" ref="D290"/>
    <hyperlink r:id="rId289" ref="D291"/>
    <hyperlink r:id="rId290" ref="D292"/>
    <hyperlink r:id="rId291" ref="D293"/>
    <hyperlink r:id="rId292" ref="D294"/>
    <hyperlink r:id="rId293" ref="D295"/>
    <hyperlink r:id="rId294" ref="D296"/>
    <hyperlink r:id="rId295" ref="D297"/>
    <hyperlink r:id="rId296" ref="D298"/>
    <hyperlink r:id="rId297" ref="D299"/>
    <hyperlink r:id="rId298" ref="D300"/>
    <hyperlink r:id="rId299" ref="D301"/>
    <hyperlink r:id="rId300" ref="D302"/>
    <hyperlink r:id="rId301" ref="D303"/>
    <hyperlink r:id="rId302" ref="D304"/>
    <hyperlink r:id="rId303" ref="D305"/>
    <hyperlink r:id="rId304" ref="D306"/>
    <hyperlink r:id="rId305" ref="D307"/>
    <hyperlink r:id="rId306" ref="D308"/>
    <hyperlink r:id="rId307" ref="D309"/>
    <hyperlink r:id="rId308" ref="D310"/>
    <hyperlink r:id="rId309" ref="D311"/>
    <hyperlink r:id="rId310" ref="D312"/>
    <hyperlink r:id="rId311" ref="D313"/>
    <hyperlink r:id="rId312" ref="D314"/>
    <hyperlink r:id="rId313" ref="D315"/>
    <hyperlink r:id="rId314" ref="D316"/>
    <hyperlink r:id="rId315" ref="D317"/>
    <hyperlink r:id="rId316" ref="D318"/>
    <hyperlink r:id="rId317" ref="D319"/>
    <hyperlink r:id="rId318" ref="D320"/>
    <hyperlink r:id="rId319" ref="D321"/>
    <hyperlink r:id="rId320" ref="D322"/>
    <hyperlink r:id="rId321" ref="D323"/>
    <hyperlink r:id="rId322" ref="D324"/>
    <hyperlink r:id="rId323" ref="D325"/>
    <hyperlink r:id="rId324" ref="D326"/>
    <hyperlink r:id="rId325" ref="D327"/>
    <hyperlink r:id="rId326" ref="D328"/>
    <hyperlink r:id="rId327" ref="D329"/>
    <hyperlink r:id="rId328" ref="D330"/>
    <hyperlink r:id="rId329" ref="D331"/>
    <hyperlink r:id="rId330" ref="D332"/>
    <hyperlink r:id="rId331" ref="D333"/>
    <hyperlink r:id="rId332" ref="D334"/>
    <hyperlink r:id="rId333" ref="D335"/>
    <hyperlink r:id="rId334" ref="D336"/>
    <hyperlink r:id="rId335" ref="D337"/>
    <hyperlink r:id="rId336" ref="D338"/>
    <hyperlink r:id="rId337" ref="D339"/>
    <hyperlink r:id="rId338" ref="D340"/>
    <hyperlink r:id="rId339" ref="D341"/>
    <hyperlink r:id="rId340" ref="D342"/>
    <hyperlink r:id="rId341" ref="D343"/>
    <hyperlink r:id="rId342" ref="D344"/>
    <hyperlink r:id="rId343" ref="D345"/>
    <hyperlink r:id="rId344" ref="D346"/>
    <hyperlink r:id="rId345" ref="D347"/>
    <hyperlink r:id="rId346" ref="D348"/>
    <hyperlink r:id="rId347" ref="D349"/>
    <hyperlink r:id="rId348" ref="D350"/>
    <hyperlink r:id="rId349" ref="D351"/>
    <hyperlink r:id="rId350" ref="D352"/>
    <hyperlink r:id="rId351" ref="D353"/>
    <hyperlink r:id="rId352" ref="D354"/>
    <hyperlink r:id="rId353" ref="D355"/>
    <hyperlink r:id="rId354" ref="D356"/>
    <hyperlink r:id="rId355" ref="D357"/>
    <hyperlink r:id="rId356" ref="D358"/>
    <hyperlink r:id="rId357" ref="D359"/>
    <hyperlink r:id="rId358" ref="D360"/>
    <hyperlink r:id="rId359" ref="D361"/>
    <hyperlink r:id="rId360" ref="D362"/>
    <hyperlink r:id="rId361" ref="D363"/>
    <hyperlink r:id="rId362" ref="D364"/>
    <hyperlink r:id="rId363" ref="D365"/>
    <hyperlink r:id="rId364" ref="D366"/>
    <hyperlink r:id="rId365" ref="D367"/>
    <hyperlink r:id="rId366" ref="D368"/>
    <hyperlink r:id="rId367" ref="D369"/>
    <hyperlink r:id="rId368" ref="D370"/>
    <hyperlink r:id="rId369" ref="D371"/>
    <hyperlink r:id="rId370" ref="D372"/>
    <hyperlink r:id="rId371" ref="D373"/>
    <hyperlink r:id="rId372" ref="D374"/>
    <hyperlink r:id="rId373" ref="D375"/>
    <hyperlink r:id="rId374" ref="D376"/>
    <hyperlink r:id="rId375" ref="D377"/>
    <hyperlink r:id="rId376" ref="D378"/>
    <hyperlink r:id="rId377" ref="D379"/>
    <hyperlink r:id="rId378" ref="D380"/>
    <hyperlink r:id="rId379" ref="D381"/>
    <hyperlink r:id="rId380" ref="D382"/>
    <hyperlink r:id="rId381" ref="D383"/>
    <hyperlink r:id="rId382" ref="D384"/>
    <hyperlink r:id="rId383" ref="D385"/>
    <hyperlink r:id="rId384" ref="D386"/>
    <hyperlink r:id="rId385" ref="D387"/>
    <hyperlink r:id="rId386" ref="D388"/>
    <hyperlink r:id="rId387" ref="D389"/>
    <hyperlink r:id="rId388" ref="D390"/>
    <hyperlink r:id="rId389" ref="D391"/>
    <hyperlink r:id="rId390" ref="D392"/>
    <hyperlink r:id="rId391" ref="D393"/>
    <hyperlink r:id="rId392" ref="D394"/>
    <hyperlink r:id="rId393" ref="D395"/>
    <hyperlink r:id="rId394" ref="D396"/>
    <hyperlink r:id="rId395" ref="D397"/>
    <hyperlink r:id="rId396" ref="D398"/>
    <hyperlink r:id="rId397" ref="D399"/>
    <hyperlink r:id="rId398" ref="D400"/>
    <hyperlink r:id="rId399" ref="D401"/>
    <hyperlink r:id="rId400" ref="D402"/>
    <hyperlink r:id="rId401" ref="D403"/>
    <hyperlink r:id="rId402" ref="D404"/>
    <hyperlink r:id="rId403" ref="D405"/>
    <hyperlink r:id="rId404" ref="D406"/>
    <hyperlink r:id="rId405" ref="D407"/>
    <hyperlink r:id="rId406" ref="D408"/>
    <hyperlink r:id="rId407" ref="D409"/>
    <hyperlink r:id="rId408" ref="D410"/>
    <hyperlink r:id="rId409" ref="D411"/>
    <hyperlink r:id="rId410" ref="D412"/>
    <hyperlink r:id="rId411" ref="D413"/>
    <hyperlink r:id="rId412" ref="D414"/>
    <hyperlink r:id="rId413" ref="D415"/>
    <hyperlink r:id="rId414" ref="D416"/>
    <hyperlink r:id="rId415" ref="D417"/>
    <hyperlink r:id="rId416" ref="D418"/>
    <hyperlink r:id="rId417" ref="D419"/>
    <hyperlink r:id="rId418" ref="D420"/>
    <hyperlink r:id="rId419" ref="D421"/>
    <hyperlink r:id="rId420" ref="D422"/>
    <hyperlink r:id="rId421" ref="D423"/>
    <hyperlink r:id="rId422" ref="D424"/>
    <hyperlink r:id="rId423" ref="D425"/>
    <hyperlink r:id="rId424" ref="D426"/>
    <hyperlink r:id="rId425" ref="D427"/>
    <hyperlink r:id="rId426" ref="D428"/>
    <hyperlink r:id="rId427" ref="D429"/>
    <hyperlink r:id="rId428" ref="D430"/>
    <hyperlink r:id="rId429" ref="D431"/>
    <hyperlink r:id="rId430" ref="D432"/>
    <hyperlink r:id="rId431" ref="D433"/>
    <hyperlink r:id="rId432" ref="D434"/>
    <hyperlink r:id="rId433" ref="D435"/>
    <hyperlink r:id="rId434" ref="D436"/>
    <hyperlink r:id="rId435" ref="D437"/>
    <hyperlink r:id="rId436" ref="D438"/>
    <hyperlink r:id="rId437" ref="D439"/>
    <hyperlink r:id="rId438" ref="D440"/>
    <hyperlink r:id="rId439" ref="D441"/>
    <hyperlink r:id="rId440" ref="D442"/>
    <hyperlink r:id="rId441" ref="D443"/>
    <hyperlink r:id="rId442" ref="D444"/>
    <hyperlink r:id="rId443" ref="D445"/>
    <hyperlink r:id="rId444" ref="D446"/>
    <hyperlink r:id="rId445" ref="D447"/>
    <hyperlink r:id="rId446" ref="D448"/>
    <hyperlink r:id="rId447" ref="D449"/>
    <hyperlink r:id="rId448" ref="D450"/>
    <hyperlink r:id="rId449" ref="D451"/>
    <hyperlink r:id="rId450" ref="D452"/>
    <hyperlink r:id="rId451" ref="D453"/>
    <hyperlink r:id="rId452" ref="D454"/>
    <hyperlink r:id="rId453" ref="D455"/>
    <hyperlink r:id="rId454" ref="D456"/>
    <hyperlink r:id="rId455" ref="D457"/>
    <hyperlink r:id="rId456" ref="D458"/>
    <hyperlink r:id="rId457" ref="D459"/>
    <hyperlink r:id="rId458" ref="D460"/>
    <hyperlink r:id="rId459" ref="D461"/>
    <hyperlink r:id="rId460" ref="D462"/>
    <hyperlink r:id="rId461" ref="D463"/>
    <hyperlink r:id="rId462" ref="D464"/>
    <hyperlink r:id="rId463" ref="D465"/>
    <hyperlink r:id="rId464" ref="D466"/>
    <hyperlink r:id="rId465" ref="D467"/>
    <hyperlink r:id="rId466" ref="D468"/>
    <hyperlink r:id="rId467" ref="D469"/>
    <hyperlink r:id="rId468" ref="D470"/>
    <hyperlink r:id="rId469" ref="D471"/>
    <hyperlink r:id="rId470" ref="D472"/>
    <hyperlink r:id="rId471" ref="D473"/>
    <hyperlink r:id="rId472" ref="D474"/>
    <hyperlink r:id="rId473" ref="D475"/>
    <hyperlink r:id="rId474" ref="D476"/>
    <hyperlink r:id="rId475" ref="D477"/>
    <hyperlink r:id="rId476" ref="D478"/>
    <hyperlink r:id="rId477" ref="D479"/>
    <hyperlink r:id="rId478" ref="D480"/>
    <hyperlink r:id="rId479" ref="D481"/>
    <hyperlink r:id="rId480" ref="D482"/>
    <hyperlink r:id="rId481" ref="D483"/>
    <hyperlink r:id="rId482" ref="D484"/>
    <hyperlink r:id="rId483" ref="D485"/>
    <hyperlink r:id="rId484" ref="D486"/>
    <hyperlink r:id="rId485" ref="D487"/>
    <hyperlink r:id="rId486" ref="D488"/>
    <hyperlink r:id="rId487" ref="D489"/>
    <hyperlink r:id="rId488" ref="D490"/>
    <hyperlink r:id="rId489" ref="D491"/>
    <hyperlink r:id="rId490" ref="D492"/>
    <hyperlink r:id="rId491" ref="D493"/>
    <hyperlink r:id="rId492" ref="D494"/>
    <hyperlink r:id="rId493" ref="D495"/>
    <hyperlink r:id="rId494" ref="D496"/>
    <hyperlink r:id="rId495" ref="D497"/>
    <hyperlink r:id="rId496" ref="D498"/>
    <hyperlink r:id="rId497" ref="D499"/>
    <hyperlink r:id="rId498" ref="D500"/>
    <hyperlink r:id="rId499" ref="D501"/>
    <hyperlink r:id="rId500" ref="D502"/>
    <hyperlink r:id="rId501" ref="D503"/>
    <hyperlink r:id="rId502" ref="D504"/>
    <hyperlink r:id="rId503" ref="D505"/>
    <hyperlink r:id="rId504" ref="D506"/>
    <hyperlink r:id="rId505" ref="D507"/>
  </hyperlinks>
  <drawing r:id="rId50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3"/>
    </row>
    <row r="2">
      <c r="A2" s="133"/>
    </row>
    <row r="3">
      <c r="A3" s="309">
        <v>6.2E7</v>
      </c>
    </row>
    <row r="4">
      <c r="A4" s="309">
        <v>173.0</v>
      </c>
    </row>
    <row r="5">
      <c r="A5" s="133">
        <f>A3/A4</f>
        <v>358381.5029</v>
      </c>
    </row>
    <row r="6">
      <c r="A6" s="133"/>
      <c r="B6" s="167">
        <v>150000.0</v>
      </c>
      <c r="C6" s="167">
        <v>300.0</v>
      </c>
    </row>
    <row r="7">
      <c r="A7" s="133"/>
      <c r="C7" s="133">
        <f>C6*B6</f>
        <v>45000000</v>
      </c>
    </row>
    <row r="8">
      <c r="A8" s="133"/>
      <c r="C8" s="167">
        <v>6200.0</v>
      </c>
      <c r="E8" s="167">
        <v>300.0</v>
      </c>
    </row>
    <row r="9">
      <c r="A9" s="133"/>
      <c r="E9" s="133">
        <f>E8*B6</f>
        <v>45000000</v>
      </c>
    </row>
    <row r="10">
      <c r="A10" s="133"/>
    </row>
    <row r="11">
      <c r="A11" s="133"/>
    </row>
    <row r="12">
      <c r="A12" s="133"/>
    </row>
    <row r="13">
      <c r="A13" s="133"/>
    </row>
    <row r="14">
      <c r="A14" s="133"/>
    </row>
    <row r="15">
      <c r="A15" s="133"/>
    </row>
    <row r="16">
      <c r="A16" s="133"/>
    </row>
    <row r="17">
      <c r="A17" s="133"/>
    </row>
    <row r="18">
      <c r="A18" s="133"/>
    </row>
    <row r="19">
      <c r="A19" s="133"/>
    </row>
    <row r="20">
      <c r="A20" s="133"/>
    </row>
    <row r="21">
      <c r="A21" s="133"/>
    </row>
    <row r="22">
      <c r="A22" s="133"/>
    </row>
    <row r="23">
      <c r="A23" s="133"/>
    </row>
    <row r="24">
      <c r="A24" s="133"/>
    </row>
    <row r="25">
      <c r="A25" s="133"/>
    </row>
    <row r="26">
      <c r="A26" s="133"/>
    </row>
    <row r="27">
      <c r="A27" s="133"/>
    </row>
    <row r="28">
      <c r="A28" s="133"/>
    </row>
    <row r="29">
      <c r="A29" s="133"/>
    </row>
    <row r="30">
      <c r="A30" s="133"/>
    </row>
    <row r="31">
      <c r="A31" s="133"/>
    </row>
    <row r="32">
      <c r="A32" s="133"/>
    </row>
    <row r="33">
      <c r="A33" s="133"/>
    </row>
    <row r="34">
      <c r="A34" s="133"/>
    </row>
    <row r="35">
      <c r="A35" s="133"/>
    </row>
    <row r="36">
      <c r="A36" s="133"/>
    </row>
    <row r="37">
      <c r="A37" s="133"/>
    </row>
    <row r="38">
      <c r="A38" s="133"/>
    </row>
    <row r="39">
      <c r="A39" s="133"/>
    </row>
    <row r="40">
      <c r="A40" s="133"/>
    </row>
    <row r="41">
      <c r="A41" s="133"/>
    </row>
    <row r="42">
      <c r="A42" s="133"/>
    </row>
    <row r="43">
      <c r="A43" s="133"/>
    </row>
    <row r="44">
      <c r="A44" s="133"/>
    </row>
    <row r="45">
      <c r="A45" s="133"/>
    </row>
    <row r="46">
      <c r="A46" s="133"/>
    </row>
    <row r="47">
      <c r="A47" s="133"/>
    </row>
    <row r="48">
      <c r="A48" s="133"/>
    </row>
    <row r="49">
      <c r="A49" s="133"/>
    </row>
    <row r="50">
      <c r="A50" s="133"/>
    </row>
    <row r="51">
      <c r="A51" s="133"/>
    </row>
    <row r="52">
      <c r="A52" s="133"/>
    </row>
    <row r="53">
      <c r="A53" s="133"/>
    </row>
    <row r="54">
      <c r="A54" s="133"/>
    </row>
    <row r="55">
      <c r="A55" s="133"/>
    </row>
    <row r="56">
      <c r="A56" s="133"/>
    </row>
    <row r="57">
      <c r="A57" s="133"/>
    </row>
    <row r="58">
      <c r="A58" s="133"/>
    </row>
    <row r="59">
      <c r="A59" s="133"/>
    </row>
    <row r="60">
      <c r="A60" s="133"/>
    </row>
    <row r="61">
      <c r="A61" s="133"/>
    </row>
    <row r="62">
      <c r="A62" s="133"/>
    </row>
    <row r="63">
      <c r="A63" s="133"/>
    </row>
    <row r="64">
      <c r="A64" s="133"/>
    </row>
    <row r="65">
      <c r="A65" s="133"/>
    </row>
    <row r="66">
      <c r="A66" s="133"/>
    </row>
    <row r="67">
      <c r="A67" s="133"/>
    </row>
    <row r="68">
      <c r="A68" s="133"/>
    </row>
    <row r="69">
      <c r="A69" s="133"/>
    </row>
    <row r="70">
      <c r="A70" s="133"/>
    </row>
    <row r="71">
      <c r="A71" s="133"/>
    </row>
    <row r="72">
      <c r="A72" s="133"/>
    </row>
    <row r="73">
      <c r="A73" s="133"/>
    </row>
    <row r="74">
      <c r="A74" s="133"/>
    </row>
    <row r="75">
      <c r="A75" s="133"/>
    </row>
    <row r="76">
      <c r="A76" s="133"/>
    </row>
    <row r="77">
      <c r="A77" s="133"/>
    </row>
    <row r="78">
      <c r="A78" s="133"/>
    </row>
    <row r="79">
      <c r="A79" s="133"/>
    </row>
    <row r="80">
      <c r="A80" s="133"/>
    </row>
    <row r="81">
      <c r="A81" s="133"/>
    </row>
    <row r="82">
      <c r="A82" s="133"/>
    </row>
    <row r="83">
      <c r="A83" s="133"/>
    </row>
    <row r="84">
      <c r="A84" s="133"/>
    </row>
    <row r="85">
      <c r="A85" s="133"/>
    </row>
    <row r="86">
      <c r="A86" s="133"/>
    </row>
    <row r="87">
      <c r="A87" s="133"/>
    </row>
    <row r="88">
      <c r="A88" s="133"/>
    </row>
    <row r="89">
      <c r="A89" s="133"/>
    </row>
    <row r="90">
      <c r="A90" s="133"/>
    </row>
    <row r="91">
      <c r="A91" s="133"/>
    </row>
    <row r="92">
      <c r="A92" s="133"/>
    </row>
    <row r="93">
      <c r="A93" s="133"/>
    </row>
    <row r="94">
      <c r="A94" s="133"/>
    </row>
    <row r="95">
      <c r="A95" s="133"/>
    </row>
    <row r="96">
      <c r="A96" s="133"/>
    </row>
    <row r="97">
      <c r="A97" s="133"/>
    </row>
    <row r="98">
      <c r="A98" s="133"/>
    </row>
    <row r="99">
      <c r="A99" s="133"/>
    </row>
    <row r="100">
      <c r="A100" s="133"/>
    </row>
    <row r="101">
      <c r="A101" s="133"/>
    </row>
    <row r="102">
      <c r="A102" s="133"/>
    </row>
    <row r="103">
      <c r="A103" s="133"/>
    </row>
    <row r="104">
      <c r="A104" s="133"/>
    </row>
    <row r="105">
      <c r="A105" s="133"/>
    </row>
    <row r="106">
      <c r="A106" s="133"/>
    </row>
    <row r="107">
      <c r="A107" s="133"/>
    </row>
    <row r="108">
      <c r="A108" s="133"/>
    </row>
    <row r="109">
      <c r="A109" s="133"/>
    </row>
    <row r="110">
      <c r="A110" s="133"/>
    </row>
    <row r="111">
      <c r="A111" s="133"/>
    </row>
    <row r="112">
      <c r="A112" s="133"/>
    </row>
    <row r="113">
      <c r="A113" s="133"/>
    </row>
    <row r="114">
      <c r="A114" s="133"/>
    </row>
    <row r="115">
      <c r="A115" s="133"/>
    </row>
    <row r="116">
      <c r="A116" s="133"/>
    </row>
    <row r="117">
      <c r="A117" s="133"/>
    </row>
    <row r="118">
      <c r="A118" s="133"/>
    </row>
    <row r="119">
      <c r="A119" s="133"/>
    </row>
    <row r="120">
      <c r="A120" s="133"/>
    </row>
    <row r="121">
      <c r="A121" s="133"/>
    </row>
    <row r="122">
      <c r="A122" s="133"/>
    </row>
    <row r="123">
      <c r="A123" s="133"/>
    </row>
    <row r="124">
      <c r="A124" s="133"/>
    </row>
    <row r="125">
      <c r="A125" s="133"/>
    </row>
    <row r="126">
      <c r="A126" s="133"/>
    </row>
    <row r="127">
      <c r="A127" s="133"/>
    </row>
    <row r="128">
      <c r="A128" s="133"/>
    </row>
    <row r="129">
      <c r="A129" s="133"/>
    </row>
    <row r="130">
      <c r="A130" s="133"/>
    </row>
    <row r="131">
      <c r="A131" s="133"/>
    </row>
    <row r="132">
      <c r="A132" s="133"/>
    </row>
    <row r="133">
      <c r="A133" s="133"/>
    </row>
    <row r="134">
      <c r="A134" s="133"/>
    </row>
    <row r="135">
      <c r="A135" s="133"/>
    </row>
    <row r="136">
      <c r="A136" s="133"/>
    </row>
    <row r="137">
      <c r="A137" s="133"/>
    </row>
    <row r="138">
      <c r="A138" s="133"/>
    </row>
    <row r="139">
      <c r="A139" s="133"/>
    </row>
    <row r="140">
      <c r="A140" s="133"/>
    </row>
    <row r="141">
      <c r="A141" s="133"/>
    </row>
    <row r="142">
      <c r="A142" s="133"/>
    </row>
    <row r="143">
      <c r="A143" s="133"/>
    </row>
    <row r="144">
      <c r="A144" s="133"/>
    </row>
    <row r="145">
      <c r="A145" s="133"/>
    </row>
    <row r="146">
      <c r="A146" s="133"/>
    </row>
    <row r="147">
      <c r="A147" s="133"/>
    </row>
    <row r="148">
      <c r="A148" s="133"/>
    </row>
    <row r="149">
      <c r="A149" s="133"/>
    </row>
    <row r="150">
      <c r="A150" s="133"/>
    </row>
    <row r="151">
      <c r="A151" s="133"/>
    </row>
    <row r="152">
      <c r="A152" s="133"/>
    </row>
    <row r="153">
      <c r="A153" s="133"/>
    </row>
    <row r="154">
      <c r="A154" s="133"/>
    </row>
    <row r="155">
      <c r="A155" s="133"/>
    </row>
    <row r="156">
      <c r="A156" s="133"/>
    </row>
    <row r="157">
      <c r="A157" s="133"/>
    </row>
    <row r="158">
      <c r="A158" s="133"/>
    </row>
    <row r="159">
      <c r="A159" s="133"/>
    </row>
    <row r="160">
      <c r="A160" s="133"/>
    </row>
    <row r="161">
      <c r="A161" s="133"/>
    </row>
    <row r="162">
      <c r="A162" s="133"/>
    </row>
    <row r="163">
      <c r="A163" s="133"/>
    </row>
    <row r="164">
      <c r="A164" s="133"/>
    </row>
    <row r="165">
      <c r="A165" s="133"/>
    </row>
    <row r="166">
      <c r="A166" s="133"/>
    </row>
    <row r="167">
      <c r="A167" s="133"/>
    </row>
    <row r="168">
      <c r="A168" s="133"/>
    </row>
    <row r="169">
      <c r="A169" s="133"/>
    </row>
    <row r="170">
      <c r="A170" s="133"/>
    </row>
    <row r="171">
      <c r="A171" s="133"/>
    </row>
    <row r="172">
      <c r="A172" s="133"/>
    </row>
    <row r="173">
      <c r="A173" s="133"/>
    </row>
    <row r="174">
      <c r="A174" s="133"/>
    </row>
    <row r="175">
      <c r="A175" s="133"/>
    </row>
    <row r="176">
      <c r="A176" s="133"/>
    </row>
    <row r="177">
      <c r="A177" s="133"/>
    </row>
    <row r="178">
      <c r="A178" s="133"/>
    </row>
    <row r="179">
      <c r="A179" s="133"/>
    </row>
    <row r="180">
      <c r="A180" s="133"/>
    </row>
    <row r="181">
      <c r="A181" s="133"/>
    </row>
    <row r="182">
      <c r="A182" s="133"/>
    </row>
    <row r="183">
      <c r="A183" s="133"/>
    </row>
    <row r="184">
      <c r="A184" s="133"/>
    </row>
    <row r="185">
      <c r="A185" s="133"/>
    </row>
    <row r="186">
      <c r="A186" s="133"/>
    </row>
    <row r="187">
      <c r="A187" s="133"/>
    </row>
    <row r="188">
      <c r="A188" s="133"/>
    </row>
    <row r="189">
      <c r="A189" s="133"/>
    </row>
    <row r="190">
      <c r="A190" s="133"/>
    </row>
    <row r="191">
      <c r="A191" s="133"/>
    </row>
    <row r="192">
      <c r="A192" s="133"/>
    </row>
    <row r="193">
      <c r="A193" s="133"/>
    </row>
    <row r="194">
      <c r="A194" s="133"/>
    </row>
    <row r="195">
      <c r="A195" s="133"/>
    </row>
    <row r="196">
      <c r="A196" s="133"/>
    </row>
    <row r="197">
      <c r="A197" s="133"/>
    </row>
    <row r="198">
      <c r="A198" s="133"/>
    </row>
    <row r="199">
      <c r="A199" s="133"/>
    </row>
    <row r="200">
      <c r="A200" s="133"/>
    </row>
    <row r="201">
      <c r="A201" s="133"/>
    </row>
    <row r="202">
      <c r="A202" s="133"/>
    </row>
    <row r="203">
      <c r="A203" s="133"/>
    </row>
    <row r="204">
      <c r="A204" s="133"/>
    </row>
    <row r="205">
      <c r="A205" s="133"/>
    </row>
    <row r="206">
      <c r="A206" s="133"/>
    </row>
    <row r="207">
      <c r="A207" s="133"/>
    </row>
    <row r="208">
      <c r="A208" s="133"/>
    </row>
    <row r="209">
      <c r="A209" s="133"/>
    </row>
    <row r="210">
      <c r="A210" s="133"/>
    </row>
    <row r="211">
      <c r="A211" s="133"/>
    </row>
    <row r="212">
      <c r="A212" s="133"/>
    </row>
    <row r="213">
      <c r="A213" s="133"/>
    </row>
    <row r="214">
      <c r="A214" s="133"/>
    </row>
    <row r="215">
      <c r="A215" s="133"/>
    </row>
    <row r="216">
      <c r="A216" s="133"/>
    </row>
    <row r="217">
      <c r="A217" s="133"/>
    </row>
    <row r="218">
      <c r="A218" s="133"/>
    </row>
    <row r="219">
      <c r="A219" s="133"/>
    </row>
    <row r="220">
      <c r="A220" s="133"/>
    </row>
    <row r="221">
      <c r="A221" s="133"/>
    </row>
    <row r="222">
      <c r="A222" s="133"/>
    </row>
    <row r="223">
      <c r="A223" s="133"/>
    </row>
    <row r="224">
      <c r="A224" s="133"/>
    </row>
    <row r="225">
      <c r="A225" s="133"/>
    </row>
    <row r="226">
      <c r="A226" s="133"/>
    </row>
    <row r="227">
      <c r="A227" s="133"/>
    </row>
    <row r="228">
      <c r="A228" s="133"/>
    </row>
    <row r="229">
      <c r="A229" s="133"/>
    </row>
    <row r="230">
      <c r="A230" s="133"/>
    </row>
    <row r="231">
      <c r="A231" s="133"/>
    </row>
    <row r="232">
      <c r="A232" s="133"/>
    </row>
    <row r="233">
      <c r="A233" s="133"/>
    </row>
    <row r="234">
      <c r="A234" s="133"/>
    </row>
    <row r="235">
      <c r="A235" s="133"/>
    </row>
    <row r="236">
      <c r="A236" s="133"/>
    </row>
    <row r="237">
      <c r="A237" s="133"/>
    </row>
    <row r="238">
      <c r="A238" s="133"/>
    </row>
    <row r="239">
      <c r="A239" s="133"/>
    </row>
    <row r="240">
      <c r="A240" s="133"/>
    </row>
    <row r="241">
      <c r="A241" s="133"/>
    </row>
    <row r="242">
      <c r="A242" s="133"/>
    </row>
    <row r="243">
      <c r="A243" s="133"/>
    </row>
    <row r="244">
      <c r="A244" s="133"/>
    </row>
    <row r="245">
      <c r="A245" s="133"/>
    </row>
    <row r="246">
      <c r="A246" s="133"/>
    </row>
    <row r="247">
      <c r="A247" s="133"/>
    </row>
    <row r="248">
      <c r="A248" s="133"/>
    </row>
    <row r="249">
      <c r="A249" s="133"/>
    </row>
    <row r="250">
      <c r="A250" s="133"/>
    </row>
    <row r="251">
      <c r="A251" s="133"/>
    </row>
    <row r="252">
      <c r="A252" s="133"/>
    </row>
    <row r="253">
      <c r="A253" s="133"/>
    </row>
    <row r="254">
      <c r="A254" s="133"/>
    </row>
    <row r="255">
      <c r="A255" s="133"/>
    </row>
    <row r="256">
      <c r="A256" s="133"/>
    </row>
    <row r="257">
      <c r="A257" s="133"/>
    </row>
    <row r="258">
      <c r="A258" s="133"/>
    </row>
    <row r="259">
      <c r="A259" s="133"/>
    </row>
    <row r="260">
      <c r="A260" s="133"/>
    </row>
    <row r="261">
      <c r="A261" s="133"/>
    </row>
    <row r="262">
      <c r="A262" s="133"/>
    </row>
    <row r="263">
      <c r="A263" s="133"/>
    </row>
    <row r="264">
      <c r="A264" s="133"/>
    </row>
    <row r="265">
      <c r="A265" s="133"/>
    </row>
    <row r="266">
      <c r="A266" s="133"/>
    </row>
    <row r="267">
      <c r="A267" s="133"/>
    </row>
    <row r="268">
      <c r="A268" s="133"/>
    </row>
    <row r="269">
      <c r="A269" s="133"/>
    </row>
    <row r="270">
      <c r="A270" s="133"/>
    </row>
    <row r="271">
      <c r="A271" s="133"/>
    </row>
    <row r="272">
      <c r="A272" s="133"/>
    </row>
    <row r="273">
      <c r="A273" s="133"/>
    </row>
    <row r="274">
      <c r="A274" s="133"/>
    </row>
    <row r="275">
      <c r="A275" s="133"/>
    </row>
    <row r="276">
      <c r="A276" s="133"/>
    </row>
    <row r="277">
      <c r="A277" s="133"/>
    </row>
    <row r="278">
      <c r="A278" s="133"/>
    </row>
    <row r="279">
      <c r="A279" s="133"/>
    </row>
    <row r="280">
      <c r="A280" s="133"/>
    </row>
    <row r="281">
      <c r="A281" s="133"/>
    </row>
    <row r="282">
      <c r="A282" s="133"/>
    </row>
    <row r="283">
      <c r="A283" s="133"/>
    </row>
    <row r="284">
      <c r="A284" s="133"/>
    </row>
    <row r="285">
      <c r="A285" s="133"/>
    </row>
    <row r="286">
      <c r="A286" s="133"/>
    </row>
    <row r="287">
      <c r="A287" s="133"/>
    </row>
    <row r="288">
      <c r="A288" s="133"/>
    </row>
    <row r="289">
      <c r="A289" s="133"/>
    </row>
    <row r="290">
      <c r="A290" s="133"/>
    </row>
    <row r="291">
      <c r="A291" s="133"/>
    </row>
    <row r="292">
      <c r="A292" s="133"/>
    </row>
    <row r="293">
      <c r="A293" s="133"/>
    </row>
    <row r="294">
      <c r="A294" s="133"/>
    </row>
    <row r="295">
      <c r="A295" s="133"/>
    </row>
    <row r="296">
      <c r="A296" s="133"/>
    </row>
    <row r="297">
      <c r="A297" s="133"/>
    </row>
    <row r="298">
      <c r="A298" s="133"/>
    </row>
    <row r="299">
      <c r="A299" s="133"/>
    </row>
    <row r="300">
      <c r="A300" s="133"/>
    </row>
    <row r="301">
      <c r="A301" s="133"/>
    </row>
    <row r="302">
      <c r="A302" s="133"/>
    </row>
    <row r="303">
      <c r="A303" s="133"/>
    </row>
    <row r="304">
      <c r="A304" s="133"/>
    </row>
    <row r="305">
      <c r="A305" s="133"/>
    </row>
    <row r="306">
      <c r="A306" s="133"/>
    </row>
    <row r="307">
      <c r="A307" s="133"/>
    </row>
    <row r="308">
      <c r="A308" s="133"/>
    </row>
    <row r="309">
      <c r="A309" s="133"/>
    </row>
    <row r="310">
      <c r="A310" s="133"/>
    </row>
    <row r="311">
      <c r="A311" s="133"/>
    </row>
    <row r="312">
      <c r="A312" s="133"/>
    </row>
    <row r="313">
      <c r="A313" s="133"/>
    </row>
    <row r="314">
      <c r="A314" s="133"/>
    </row>
    <row r="315">
      <c r="A315" s="133"/>
    </row>
    <row r="316">
      <c r="A316" s="133"/>
    </row>
    <row r="317">
      <c r="A317" s="133"/>
    </row>
    <row r="318">
      <c r="A318" s="133"/>
    </row>
    <row r="319">
      <c r="A319" s="133"/>
    </row>
    <row r="320">
      <c r="A320" s="133"/>
    </row>
    <row r="321">
      <c r="A321" s="133"/>
    </row>
    <row r="322">
      <c r="A322" s="133"/>
    </row>
    <row r="323">
      <c r="A323" s="133"/>
    </row>
    <row r="324">
      <c r="A324" s="133"/>
    </row>
    <row r="325">
      <c r="A325" s="133"/>
    </row>
    <row r="326">
      <c r="A326" s="133"/>
    </row>
    <row r="327">
      <c r="A327" s="133"/>
    </row>
    <row r="328">
      <c r="A328" s="133"/>
    </row>
    <row r="329">
      <c r="A329" s="133"/>
    </row>
    <row r="330">
      <c r="A330" s="133"/>
    </row>
    <row r="331">
      <c r="A331" s="133"/>
    </row>
    <row r="332">
      <c r="A332" s="133"/>
    </row>
    <row r="333">
      <c r="A333" s="133"/>
    </row>
    <row r="334">
      <c r="A334" s="133"/>
    </row>
    <row r="335">
      <c r="A335" s="133"/>
    </row>
    <row r="336">
      <c r="A336" s="133"/>
    </row>
    <row r="337">
      <c r="A337" s="133"/>
    </row>
    <row r="338">
      <c r="A338" s="133"/>
    </row>
    <row r="339">
      <c r="A339" s="133"/>
    </row>
    <row r="340">
      <c r="A340" s="133"/>
    </row>
    <row r="341">
      <c r="A341" s="133"/>
    </row>
    <row r="342">
      <c r="A342" s="133"/>
    </row>
    <row r="343">
      <c r="A343" s="133"/>
    </row>
    <row r="344">
      <c r="A344" s="133"/>
    </row>
    <row r="345">
      <c r="A345" s="133"/>
    </row>
    <row r="346">
      <c r="A346" s="133"/>
    </row>
    <row r="347">
      <c r="A347" s="133"/>
    </row>
    <row r="348">
      <c r="A348" s="133"/>
    </row>
    <row r="349">
      <c r="A349" s="133"/>
    </row>
    <row r="350">
      <c r="A350" s="133"/>
    </row>
    <row r="351">
      <c r="A351" s="133"/>
    </row>
    <row r="352">
      <c r="A352" s="133"/>
    </row>
    <row r="353">
      <c r="A353" s="133"/>
    </row>
    <row r="354">
      <c r="A354" s="133"/>
    </row>
    <row r="355">
      <c r="A355" s="133"/>
    </row>
    <row r="356">
      <c r="A356" s="133"/>
    </row>
    <row r="357">
      <c r="A357" s="133"/>
    </row>
    <row r="358">
      <c r="A358" s="133"/>
    </row>
    <row r="359">
      <c r="A359" s="133"/>
    </row>
    <row r="360">
      <c r="A360" s="133"/>
    </row>
    <row r="361">
      <c r="A361" s="133"/>
    </row>
    <row r="362">
      <c r="A362" s="133"/>
    </row>
    <row r="363">
      <c r="A363" s="133"/>
    </row>
    <row r="364">
      <c r="A364" s="133"/>
    </row>
    <row r="365">
      <c r="A365" s="133"/>
    </row>
    <row r="366">
      <c r="A366" s="133"/>
    </row>
    <row r="367">
      <c r="A367" s="133"/>
    </row>
    <row r="368">
      <c r="A368" s="133"/>
    </row>
    <row r="369">
      <c r="A369" s="133"/>
    </row>
    <row r="370">
      <c r="A370" s="133"/>
    </row>
    <row r="371">
      <c r="A371" s="133"/>
    </row>
    <row r="372">
      <c r="A372" s="133"/>
    </row>
    <row r="373">
      <c r="A373" s="133"/>
    </row>
    <row r="374">
      <c r="A374" s="133"/>
    </row>
    <row r="375">
      <c r="A375" s="133"/>
    </row>
    <row r="376">
      <c r="A376" s="133"/>
    </row>
    <row r="377">
      <c r="A377" s="133"/>
    </row>
    <row r="378">
      <c r="A378" s="133"/>
    </row>
    <row r="379">
      <c r="A379" s="133"/>
    </row>
    <row r="380">
      <c r="A380" s="133"/>
    </row>
    <row r="381">
      <c r="A381" s="133"/>
    </row>
    <row r="382">
      <c r="A382" s="133"/>
    </row>
    <row r="383">
      <c r="A383" s="133"/>
    </row>
    <row r="384">
      <c r="A384" s="133"/>
    </row>
    <row r="385">
      <c r="A385" s="133"/>
    </row>
    <row r="386">
      <c r="A386" s="133"/>
    </row>
    <row r="387">
      <c r="A387" s="133"/>
    </row>
    <row r="388">
      <c r="A388" s="133"/>
    </row>
    <row r="389">
      <c r="A389" s="133"/>
    </row>
    <row r="390">
      <c r="A390" s="133"/>
    </row>
    <row r="391">
      <c r="A391" s="133"/>
    </row>
    <row r="392">
      <c r="A392" s="133"/>
    </row>
    <row r="393">
      <c r="A393" s="133"/>
    </row>
    <row r="394">
      <c r="A394" s="133"/>
    </row>
    <row r="395">
      <c r="A395" s="133"/>
    </row>
    <row r="396">
      <c r="A396" s="133"/>
    </row>
    <row r="397">
      <c r="A397" s="133"/>
    </row>
    <row r="398">
      <c r="A398" s="133"/>
    </row>
    <row r="399">
      <c r="A399" s="133"/>
    </row>
    <row r="400">
      <c r="A400" s="133"/>
    </row>
    <row r="401">
      <c r="A401" s="133"/>
    </row>
    <row r="402">
      <c r="A402" s="133"/>
    </row>
    <row r="403">
      <c r="A403" s="133"/>
    </row>
    <row r="404">
      <c r="A404" s="133"/>
    </row>
    <row r="405">
      <c r="A405" s="133"/>
    </row>
    <row r="406">
      <c r="A406" s="133"/>
    </row>
    <row r="407">
      <c r="A407" s="133"/>
    </row>
    <row r="408">
      <c r="A408" s="133"/>
    </row>
    <row r="409">
      <c r="A409" s="133"/>
    </row>
    <row r="410">
      <c r="A410" s="133"/>
    </row>
    <row r="411">
      <c r="A411" s="133"/>
    </row>
    <row r="412">
      <c r="A412" s="133"/>
    </row>
    <row r="413">
      <c r="A413" s="133"/>
    </row>
    <row r="414">
      <c r="A414" s="133"/>
    </row>
    <row r="415">
      <c r="A415" s="133"/>
    </row>
    <row r="416">
      <c r="A416" s="133"/>
    </row>
    <row r="417">
      <c r="A417" s="133"/>
    </row>
    <row r="418">
      <c r="A418" s="133"/>
    </row>
    <row r="419">
      <c r="A419" s="133"/>
    </row>
    <row r="420">
      <c r="A420" s="133"/>
    </row>
    <row r="421">
      <c r="A421" s="133"/>
    </row>
    <row r="422">
      <c r="A422" s="133"/>
    </row>
    <row r="423">
      <c r="A423" s="133"/>
    </row>
    <row r="424">
      <c r="A424" s="133"/>
    </row>
    <row r="425">
      <c r="A425" s="133"/>
    </row>
    <row r="426">
      <c r="A426" s="133"/>
    </row>
    <row r="427">
      <c r="A427" s="133"/>
    </row>
    <row r="428">
      <c r="A428" s="133"/>
    </row>
    <row r="429">
      <c r="A429" s="133"/>
    </row>
    <row r="430">
      <c r="A430" s="133"/>
    </row>
    <row r="431">
      <c r="A431" s="133"/>
    </row>
    <row r="432">
      <c r="A432" s="133"/>
    </row>
    <row r="433">
      <c r="A433" s="133"/>
    </row>
    <row r="434">
      <c r="A434" s="133"/>
    </row>
    <row r="435">
      <c r="A435" s="133"/>
    </row>
    <row r="436">
      <c r="A436" s="133"/>
    </row>
    <row r="437">
      <c r="A437" s="133"/>
    </row>
    <row r="438">
      <c r="A438" s="133"/>
    </row>
    <row r="439">
      <c r="A439" s="133"/>
    </row>
    <row r="440">
      <c r="A440" s="133"/>
    </row>
    <row r="441">
      <c r="A441" s="133"/>
    </row>
    <row r="442">
      <c r="A442" s="133"/>
    </row>
    <row r="443">
      <c r="A443" s="133"/>
    </row>
    <row r="444">
      <c r="A444" s="133"/>
    </row>
    <row r="445">
      <c r="A445" s="133"/>
    </row>
    <row r="446">
      <c r="A446" s="133"/>
    </row>
    <row r="447">
      <c r="A447" s="133"/>
    </row>
    <row r="448">
      <c r="A448" s="133"/>
    </row>
    <row r="449">
      <c r="A449" s="133"/>
    </row>
    <row r="450">
      <c r="A450" s="133"/>
    </row>
    <row r="451">
      <c r="A451" s="133"/>
    </row>
    <row r="452">
      <c r="A452" s="133"/>
    </row>
    <row r="453">
      <c r="A453" s="133"/>
    </row>
    <row r="454">
      <c r="A454" s="133"/>
    </row>
    <row r="455">
      <c r="A455" s="133"/>
    </row>
    <row r="456">
      <c r="A456" s="133"/>
    </row>
    <row r="457">
      <c r="A457" s="133"/>
    </row>
    <row r="458">
      <c r="A458" s="133"/>
    </row>
    <row r="459">
      <c r="A459" s="133"/>
    </row>
    <row r="460">
      <c r="A460" s="133"/>
    </row>
    <row r="461">
      <c r="A461" s="133"/>
    </row>
    <row r="462">
      <c r="A462" s="133"/>
    </row>
    <row r="463">
      <c r="A463" s="133"/>
    </row>
    <row r="464">
      <c r="A464" s="133"/>
    </row>
    <row r="465">
      <c r="A465" s="133"/>
    </row>
    <row r="466">
      <c r="A466" s="133"/>
    </row>
    <row r="467">
      <c r="A467" s="133"/>
    </row>
    <row r="468">
      <c r="A468" s="133"/>
    </row>
    <row r="469">
      <c r="A469" s="133"/>
    </row>
    <row r="470">
      <c r="A470" s="133"/>
    </row>
    <row r="471">
      <c r="A471" s="133"/>
    </row>
    <row r="472">
      <c r="A472" s="133"/>
    </row>
    <row r="473">
      <c r="A473" s="133"/>
    </row>
    <row r="474">
      <c r="A474" s="133"/>
    </row>
    <row r="475">
      <c r="A475" s="133"/>
    </row>
    <row r="476">
      <c r="A476" s="133"/>
    </row>
    <row r="477">
      <c r="A477" s="133"/>
    </row>
    <row r="478">
      <c r="A478" s="133"/>
    </row>
    <row r="479">
      <c r="A479" s="133"/>
    </row>
    <row r="480">
      <c r="A480" s="133"/>
    </row>
    <row r="481">
      <c r="A481" s="133"/>
    </row>
    <row r="482">
      <c r="A482" s="133"/>
    </row>
    <row r="483">
      <c r="A483" s="133"/>
    </row>
    <row r="484">
      <c r="A484" s="133"/>
    </row>
    <row r="485">
      <c r="A485" s="133"/>
    </row>
    <row r="486">
      <c r="A486" s="133"/>
    </row>
    <row r="487">
      <c r="A487" s="133"/>
    </row>
    <row r="488">
      <c r="A488" s="133"/>
    </row>
    <row r="489">
      <c r="A489" s="133"/>
    </row>
    <row r="490">
      <c r="A490" s="133"/>
    </row>
    <row r="491">
      <c r="A491" s="133"/>
    </row>
    <row r="492">
      <c r="A492" s="133"/>
    </row>
    <row r="493">
      <c r="A493" s="133"/>
    </row>
    <row r="494">
      <c r="A494" s="133"/>
    </row>
    <row r="495">
      <c r="A495" s="133"/>
    </row>
    <row r="496">
      <c r="A496" s="133"/>
    </row>
    <row r="497">
      <c r="A497" s="133"/>
    </row>
    <row r="498">
      <c r="A498" s="133"/>
    </row>
    <row r="499">
      <c r="A499" s="133"/>
    </row>
    <row r="500">
      <c r="A500" s="133"/>
    </row>
    <row r="501">
      <c r="A501" s="133"/>
    </row>
    <row r="502">
      <c r="A502" s="133"/>
    </row>
    <row r="503">
      <c r="A503" s="133"/>
    </row>
    <row r="504">
      <c r="A504" s="133"/>
    </row>
    <row r="505">
      <c r="A505" s="133"/>
    </row>
    <row r="506">
      <c r="A506" s="133"/>
    </row>
    <row r="507">
      <c r="A507" s="133"/>
    </row>
    <row r="508">
      <c r="A508" s="133"/>
    </row>
    <row r="509">
      <c r="A509" s="133"/>
    </row>
    <row r="510">
      <c r="A510" s="133"/>
    </row>
    <row r="511">
      <c r="A511" s="133"/>
    </row>
    <row r="512">
      <c r="A512" s="133"/>
    </row>
    <row r="513">
      <c r="A513" s="133"/>
    </row>
    <row r="514">
      <c r="A514" s="133"/>
    </row>
    <row r="515">
      <c r="A515" s="133"/>
    </row>
    <row r="516">
      <c r="A516" s="133"/>
    </row>
    <row r="517">
      <c r="A517" s="133"/>
    </row>
    <row r="518">
      <c r="A518" s="133"/>
    </row>
    <row r="519">
      <c r="A519" s="133"/>
    </row>
    <row r="520">
      <c r="A520" s="133"/>
    </row>
    <row r="521">
      <c r="A521" s="133"/>
    </row>
    <row r="522">
      <c r="A522" s="133"/>
    </row>
    <row r="523">
      <c r="A523" s="133"/>
    </row>
    <row r="524">
      <c r="A524" s="133"/>
    </row>
    <row r="525">
      <c r="A525" s="133"/>
    </row>
    <row r="526">
      <c r="A526" s="133"/>
    </row>
    <row r="527">
      <c r="A527" s="133"/>
    </row>
    <row r="528">
      <c r="A528" s="133"/>
    </row>
    <row r="529">
      <c r="A529" s="133"/>
    </row>
    <row r="530">
      <c r="A530" s="133"/>
    </row>
    <row r="531">
      <c r="A531" s="133"/>
    </row>
    <row r="532">
      <c r="A532" s="133"/>
    </row>
    <row r="533">
      <c r="A533" s="133"/>
    </row>
    <row r="534">
      <c r="A534" s="133"/>
    </row>
    <row r="535">
      <c r="A535" s="133"/>
    </row>
    <row r="536">
      <c r="A536" s="133"/>
    </row>
    <row r="537">
      <c r="A537" s="133"/>
    </row>
    <row r="538">
      <c r="A538" s="133"/>
    </row>
    <row r="539">
      <c r="A539" s="133"/>
    </row>
    <row r="540">
      <c r="A540" s="133"/>
    </row>
    <row r="541">
      <c r="A541" s="133"/>
    </row>
    <row r="542">
      <c r="A542" s="133"/>
    </row>
    <row r="543">
      <c r="A543" s="133"/>
    </row>
    <row r="544">
      <c r="A544" s="133"/>
    </row>
    <row r="545">
      <c r="A545" s="133"/>
    </row>
    <row r="546">
      <c r="A546" s="133"/>
    </row>
    <row r="547">
      <c r="A547" s="133"/>
    </row>
    <row r="548">
      <c r="A548" s="133"/>
    </row>
    <row r="549">
      <c r="A549" s="133"/>
    </row>
    <row r="550">
      <c r="A550" s="133"/>
    </row>
    <row r="551">
      <c r="A551" s="133"/>
    </row>
    <row r="552">
      <c r="A552" s="133"/>
    </row>
    <row r="553">
      <c r="A553" s="133"/>
    </row>
    <row r="554">
      <c r="A554" s="133"/>
    </row>
    <row r="555">
      <c r="A555" s="133"/>
    </row>
    <row r="556">
      <c r="A556" s="133"/>
    </row>
    <row r="557">
      <c r="A557" s="133"/>
    </row>
    <row r="558">
      <c r="A558" s="133"/>
    </row>
    <row r="559">
      <c r="A559" s="133"/>
    </row>
    <row r="560">
      <c r="A560" s="133"/>
    </row>
    <row r="561">
      <c r="A561" s="133"/>
    </row>
    <row r="562">
      <c r="A562" s="133"/>
    </row>
    <row r="563">
      <c r="A563" s="133"/>
    </row>
    <row r="564">
      <c r="A564" s="133"/>
    </row>
    <row r="565">
      <c r="A565" s="133"/>
    </row>
    <row r="566">
      <c r="A566" s="133"/>
    </row>
    <row r="567">
      <c r="A567" s="133"/>
    </row>
    <row r="568">
      <c r="A568" s="133"/>
    </row>
    <row r="569">
      <c r="A569" s="133"/>
    </row>
    <row r="570">
      <c r="A570" s="133"/>
    </row>
    <row r="571">
      <c r="A571" s="133"/>
    </row>
    <row r="572">
      <c r="A572" s="133"/>
    </row>
    <row r="573">
      <c r="A573" s="133"/>
    </row>
    <row r="574">
      <c r="A574" s="133"/>
    </row>
    <row r="575">
      <c r="A575" s="133"/>
    </row>
    <row r="576">
      <c r="A576" s="133"/>
    </row>
    <row r="577">
      <c r="A577" s="133"/>
    </row>
    <row r="578">
      <c r="A578" s="133"/>
    </row>
    <row r="579">
      <c r="A579" s="133"/>
    </row>
    <row r="580">
      <c r="A580" s="133"/>
    </row>
    <row r="581">
      <c r="A581" s="133"/>
    </row>
    <row r="582">
      <c r="A582" s="133"/>
    </row>
    <row r="583">
      <c r="A583" s="133"/>
    </row>
    <row r="584">
      <c r="A584" s="133"/>
    </row>
    <row r="585">
      <c r="A585" s="133"/>
    </row>
    <row r="586">
      <c r="A586" s="133"/>
    </row>
    <row r="587">
      <c r="A587" s="133"/>
    </row>
    <row r="588">
      <c r="A588" s="133"/>
    </row>
    <row r="589">
      <c r="A589" s="133"/>
    </row>
    <row r="590">
      <c r="A590" s="133"/>
    </row>
    <row r="591">
      <c r="A591" s="133"/>
    </row>
    <row r="592">
      <c r="A592" s="133"/>
    </row>
    <row r="593">
      <c r="A593" s="133"/>
    </row>
    <row r="594">
      <c r="A594" s="133"/>
    </row>
    <row r="595">
      <c r="A595" s="133"/>
    </row>
    <row r="596">
      <c r="A596" s="133"/>
    </row>
    <row r="597">
      <c r="A597" s="133"/>
    </row>
    <row r="598">
      <c r="A598" s="133"/>
    </row>
    <row r="599">
      <c r="A599" s="133"/>
    </row>
    <row r="600">
      <c r="A600" s="133"/>
    </row>
    <row r="601">
      <c r="A601" s="133"/>
    </row>
    <row r="602">
      <c r="A602" s="133"/>
    </row>
    <row r="603">
      <c r="A603" s="133"/>
    </row>
    <row r="604">
      <c r="A604" s="133"/>
    </row>
    <row r="605">
      <c r="A605" s="133"/>
    </row>
    <row r="606">
      <c r="A606" s="133"/>
    </row>
    <row r="607">
      <c r="A607" s="133"/>
    </row>
    <row r="608">
      <c r="A608" s="133"/>
    </row>
    <row r="609">
      <c r="A609" s="133"/>
    </row>
    <row r="610">
      <c r="A610" s="133"/>
    </row>
    <row r="611">
      <c r="A611" s="133"/>
    </row>
    <row r="612">
      <c r="A612" s="133"/>
    </row>
    <row r="613">
      <c r="A613" s="133"/>
    </row>
    <row r="614">
      <c r="A614" s="133"/>
    </row>
    <row r="615">
      <c r="A615" s="133"/>
    </row>
    <row r="616">
      <c r="A616" s="133"/>
    </row>
    <row r="617">
      <c r="A617" s="133"/>
    </row>
    <row r="618">
      <c r="A618" s="133"/>
    </row>
    <row r="619">
      <c r="A619" s="133"/>
    </row>
    <row r="620">
      <c r="A620" s="133"/>
    </row>
    <row r="621">
      <c r="A621" s="133"/>
    </row>
    <row r="622">
      <c r="A622" s="133"/>
    </row>
    <row r="623">
      <c r="A623" s="133"/>
    </row>
    <row r="624">
      <c r="A624" s="133"/>
    </row>
    <row r="625">
      <c r="A625" s="133"/>
    </row>
    <row r="626">
      <c r="A626" s="133"/>
    </row>
    <row r="627">
      <c r="A627" s="133"/>
    </row>
    <row r="628">
      <c r="A628" s="133"/>
    </row>
    <row r="629">
      <c r="A629" s="133"/>
    </row>
    <row r="630">
      <c r="A630" s="133"/>
    </row>
    <row r="631">
      <c r="A631" s="133"/>
    </row>
    <row r="632">
      <c r="A632" s="133"/>
    </row>
    <row r="633">
      <c r="A633" s="133"/>
    </row>
    <row r="634">
      <c r="A634" s="133"/>
    </row>
    <row r="635">
      <c r="A635" s="133"/>
    </row>
    <row r="636">
      <c r="A636" s="133"/>
    </row>
    <row r="637">
      <c r="A637" s="133"/>
    </row>
    <row r="638">
      <c r="A638" s="133"/>
    </row>
    <row r="639">
      <c r="A639" s="133"/>
    </row>
    <row r="640">
      <c r="A640" s="133"/>
    </row>
    <row r="641">
      <c r="A641" s="133"/>
    </row>
    <row r="642">
      <c r="A642" s="133"/>
    </row>
    <row r="643">
      <c r="A643" s="133"/>
    </row>
    <row r="644">
      <c r="A644" s="133"/>
    </row>
    <row r="645">
      <c r="A645" s="133"/>
    </row>
    <row r="646">
      <c r="A646" s="133"/>
    </row>
    <row r="647">
      <c r="A647" s="133"/>
    </row>
    <row r="648">
      <c r="A648" s="133"/>
    </row>
    <row r="649">
      <c r="A649" s="133"/>
    </row>
    <row r="650">
      <c r="A650" s="133"/>
    </row>
    <row r="651">
      <c r="A651" s="133"/>
    </row>
    <row r="652">
      <c r="A652" s="133"/>
    </row>
    <row r="653">
      <c r="A653" s="133"/>
    </row>
    <row r="654">
      <c r="A654" s="133"/>
    </row>
    <row r="655">
      <c r="A655" s="133"/>
    </row>
    <row r="656">
      <c r="A656" s="133"/>
    </row>
    <row r="657">
      <c r="A657" s="133"/>
    </row>
    <row r="658">
      <c r="A658" s="133"/>
    </row>
    <row r="659">
      <c r="A659" s="133"/>
    </row>
    <row r="660">
      <c r="A660" s="133"/>
    </row>
    <row r="661">
      <c r="A661" s="133"/>
    </row>
    <row r="662">
      <c r="A662" s="133"/>
    </row>
    <row r="663">
      <c r="A663" s="133"/>
    </row>
    <row r="664">
      <c r="A664" s="133"/>
    </row>
    <row r="665">
      <c r="A665" s="133"/>
    </row>
    <row r="666">
      <c r="A666" s="133"/>
    </row>
    <row r="667">
      <c r="A667" s="133"/>
    </row>
    <row r="668">
      <c r="A668" s="133"/>
    </row>
    <row r="669">
      <c r="A669" s="133"/>
    </row>
    <row r="670">
      <c r="A670" s="133"/>
    </row>
    <row r="671">
      <c r="A671" s="133"/>
    </row>
    <row r="672">
      <c r="A672" s="133"/>
    </row>
    <row r="673">
      <c r="A673" s="133"/>
    </row>
    <row r="674">
      <c r="A674" s="133"/>
    </row>
    <row r="675">
      <c r="A675" s="133"/>
    </row>
    <row r="676">
      <c r="A676" s="133"/>
    </row>
    <row r="677">
      <c r="A677" s="133"/>
    </row>
    <row r="678">
      <c r="A678" s="133"/>
    </row>
    <row r="679">
      <c r="A679" s="133"/>
    </row>
    <row r="680">
      <c r="A680" s="133"/>
    </row>
    <row r="681">
      <c r="A681" s="133"/>
    </row>
    <row r="682">
      <c r="A682" s="133"/>
    </row>
    <row r="683">
      <c r="A683" s="133"/>
    </row>
    <row r="684">
      <c r="A684" s="133"/>
    </row>
    <row r="685">
      <c r="A685" s="133"/>
    </row>
    <row r="686">
      <c r="A686" s="133"/>
    </row>
    <row r="687">
      <c r="A687" s="133"/>
    </row>
    <row r="688">
      <c r="A688" s="133"/>
    </row>
    <row r="689">
      <c r="A689" s="133"/>
    </row>
    <row r="690">
      <c r="A690" s="133"/>
    </row>
    <row r="691">
      <c r="A691" s="133"/>
    </row>
    <row r="692">
      <c r="A692" s="133"/>
    </row>
    <row r="693">
      <c r="A693" s="133"/>
    </row>
    <row r="694">
      <c r="A694" s="133"/>
    </row>
    <row r="695">
      <c r="A695" s="133"/>
    </row>
    <row r="696">
      <c r="A696" s="133"/>
    </row>
    <row r="697">
      <c r="A697" s="133"/>
    </row>
    <row r="698">
      <c r="A698" s="133"/>
    </row>
    <row r="699">
      <c r="A699" s="133"/>
    </row>
    <row r="700">
      <c r="A700" s="133"/>
    </row>
    <row r="701">
      <c r="A701" s="133"/>
    </row>
    <row r="702">
      <c r="A702" s="133"/>
    </row>
    <row r="703">
      <c r="A703" s="133"/>
    </row>
    <row r="704">
      <c r="A704" s="133"/>
    </row>
    <row r="705">
      <c r="A705" s="133"/>
    </row>
    <row r="706">
      <c r="A706" s="133"/>
    </row>
    <row r="707">
      <c r="A707" s="133"/>
    </row>
    <row r="708">
      <c r="A708" s="133"/>
    </row>
    <row r="709">
      <c r="A709" s="133"/>
    </row>
    <row r="710">
      <c r="A710" s="133"/>
    </row>
    <row r="711">
      <c r="A711" s="133"/>
    </row>
    <row r="712">
      <c r="A712" s="133"/>
    </row>
    <row r="713">
      <c r="A713" s="133"/>
    </row>
    <row r="714">
      <c r="A714" s="133"/>
    </row>
    <row r="715">
      <c r="A715" s="133"/>
    </row>
    <row r="716">
      <c r="A716" s="133"/>
    </row>
    <row r="717">
      <c r="A717" s="133"/>
    </row>
    <row r="718">
      <c r="A718" s="133"/>
    </row>
    <row r="719">
      <c r="A719" s="133"/>
    </row>
    <row r="720">
      <c r="A720" s="133"/>
    </row>
    <row r="721">
      <c r="A721" s="133"/>
    </row>
    <row r="722">
      <c r="A722" s="133"/>
    </row>
    <row r="723">
      <c r="A723" s="133"/>
    </row>
    <row r="724">
      <c r="A724" s="133"/>
    </row>
    <row r="725">
      <c r="A725" s="133"/>
    </row>
    <row r="726">
      <c r="A726" s="133"/>
    </row>
    <row r="727">
      <c r="A727" s="133"/>
    </row>
    <row r="728">
      <c r="A728" s="133"/>
    </row>
    <row r="729">
      <c r="A729" s="133"/>
    </row>
    <row r="730">
      <c r="A730" s="133"/>
    </row>
    <row r="731">
      <c r="A731" s="133"/>
    </row>
    <row r="732">
      <c r="A732" s="133"/>
    </row>
    <row r="733">
      <c r="A733" s="133"/>
    </row>
    <row r="734">
      <c r="A734" s="133"/>
    </row>
    <row r="735">
      <c r="A735" s="133"/>
    </row>
    <row r="736">
      <c r="A736" s="133"/>
    </row>
    <row r="737">
      <c r="A737" s="133"/>
    </row>
    <row r="738">
      <c r="A738" s="133"/>
    </row>
    <row r="739">
      <c r="A739" s="133"/>
    </row>
    <row r="740">
      <c r="A740" s="133"/>
    </row>
    <row r="741">
      <c r="A741" s="133"/>
    </row>
    <row r="742">
      <c r="A742" s="133"/>
    </row>
    <row r="743">
      <c r="A743" s="133"/>
    </row>
    <row r="744">
      <c r="A744" s="133"/>
    </row>
    <row r="745">
      <c r="A745" s="133"/>
    </row>
    <row r="746">
      <c r="A746" s="133"/>
    </row>
    <row r="747">
      <c r="A747" s="133"/>
    </row>
    <row r="748">
      <c r="A748" s="133"/>
    </row>
    <row r="749">
      <c r="A749" s="133"/>
    </row>
    <row r="750">
      <c r="A750" s="133"/>
    </row>
    <row r="751">
      <c r="A751" s="133"/>
    </row>
    <row r="752">
      <c r="A752" s="133"/>
    </row>
    <row r="753">
      <c r="A753" s="133"/>
    </row>
    <row r="754">
      <c r="A754" s="133"/>
    </row>
    <row r="755">
      <c r="A755" s="133"/>
    </row>
    <row r="756">
      <c r="A756" s="133"/>
    </row>
    <row r="757">
      <c r="A757" s="133"/>
    </row>
    <row r="758">
      <c r="A758" s="133"/>
    </row>
    <row r="759">
      <c r="A759" s="133"/>
    </row>
    <row r="760">
      <c r="A760" s="133"/>
    </row>
    <row r="761">
      <c r="A761" s="133"/>
    </row>
    <row r="762">
      <c r="A762" s="133"/>
    </row>
    <row r="763">
      <c r="A763" s="133"/>
    </row>
    <row r="764">
      <c r="A764" s="133"/>
    </row>
    <row r="765">
      <c r="A765" s="133"/>
    </row>
    <row r="766">
      <c r="A766" s="133"/>
    </row>
    <row r="767">
      <c r="A767" s="133"/>
    </row>
    <row r="768">
      <c r="A768" s="133"/>
    </row>
    <row r="769">
      <c r="A769" s="133"/>
    </row>
    <row r="770">
      <c r="A770" s="133"/>
    </row>
    <row r="771">
      <c r="A771" s="133"/>
    </row>
    <row r="772">
      <c r="A772" s="133"/>
    </row>
    <row r="773">
      <c r="A773" s="133"/>
    </row>
    <row r="774">
      <c r="A774" s="133"/>
    </row>
    <row r="775">
      <c r="A775" s="133"/>
    </row>
    <row r="776">
      <c r="A776" s="133"/>
    </row>
    <row r="777">
      <c r="A777" s="133"/>
    </row>
    <row r="778">
      <c r="A778" s="133"/>
    </row>
    <row r="779">
      <c r="A779" s="133"/>
    </row>
    <row r="780">
      <c r="A780" s="133"/>
    </row>
    <row r="781">
      <c r="A781" s="133"/>
    </row>
    <row r="782">
      <c r="A782" s="133"/>
    </row>
    <row r="783">
      <c r="A783" s="133"/>
    </row>
    <row r="784">
      <c r="A784" s="133"/>
    </row>
    <row r="785">
      <c r="A785" s="133"/>
    </row>
    <row r="786">
      <c r="A786" s="133"/>
    </row>
    <row r="787">
      <c r="A787" s="133"/>
    </row>
    <row r="788">
      <c r="A788" s="133"/>
    </row>
    <row r="789">
      <c r="A789" s="133"/>
    </row>
    <row r="790">
      <c r="A790" s="133"/>
    </row>
    <row r="791">
      <c r="A791" s="133"/>
    </row>
    <row r="792">
      <c r="A792" s="133"/>
    </row>
    <row r="793">
      <c r="A793" s="133"/>
    </row>
    <row r="794">
      <c r="A794" s="133"/>
    </row>
    <row r="795">
      <c r="A795" s="133"/>
    </row>
    <row r="796">
      <c r="A796" s="133"/>
    </row>
    <row r="797">
      <c r="A797" s="133"/>
    </row>
    <row r="798">
      <c r="A798" s="133"/>
    </row>
    <row r="799">
      <c r="A799" s="133"/>
    </row>
    <row r="800">
      <c r="A800" s="133"/>
    </row>
    <row r="801">
      <c r="A801" s="133"/>
    </row>
    <row r="802">
      <c r="A802" s="133"/>
    </row>
    <row r="803">
      <c r="A803" s="133"/>
    </row>
    <row r="804">
      <c r="A804" s="133"/>
    </row>
    <row r="805">
      <c r="A805" s="133"/>
    </row>
    <row r="806">
      <c r="A806" s="133"/>
    </row>
    <row r="807">
      <c r="A807" s="133"/>
    </row>
    <row r="808">
      <c r="A808" s="133"/>
    </row>
    <row r="809">
      <c r="A809" s="133"/>
    </row>
    <row r="810">
      <c r="A810" s="133"/>
    </row>
    <row r="811">
      <c r="A811" s="133"/>
    </row>
    <row r="812">
      <c r="A812" s="133"/>
    </row>
    <row r="813">
      <c r="A813" s="133"/>
    </row>
    <row r="814">
      <c r="A814" s="133"/>
    </row>
    <row r="815">
      <c r="A815" s="133"/>
    </row>
    <row r="816">
      <c r="A816" s="133"/>
    </row>
    <row r="817">
      <c r="A817" s="133"/>
    </row>
    <row r="818">
      <c r="A818" s="133"/>
    </row>
    <row r="819">
      <c r="A819" s="133"/>
    </row>
    <row r="820">
      <c r="A820" s="133"/>
    </row>
    <row r="821">
      <c r="A821" s="133"/>
    </row>
    <row r="822">
      <c r="A822" s="133"/>
    </row>
    <row r="823">
      <c r="A823" s="133"/>
    </row>
    <row r="824">
      <c r="A824" s="133"/>
    </row>
    <row r="825">
      <c r="A825" s="133"/>
    </row>
    <row r="826">
      <c r="A826" s="133"/>
    </row>
    <row r="827">
      <c r="A827" s="133"/>
    </row>
    <row r="828">
      <c r="A828" s="133"/>
    </row>
    <row r="829">
      <c r="A829" s="133"/>
    </row>
    <row r="830">
      <c r="A830" s="133"/>
    </row>
    <row r="831">
      <c r="A831" s="133"/>
    </row>
    <row r="832">
      <c r="A832" s="133"/>
    </row>
    <row r="833">
      <c r="A833" s="133"/>
    </row>
    <row r="834">
      <c r="A834" s="133"/>
    </row>
    <row r="835">
      <c r="A835" s="133"/>
    </row>
    <row r="836">
      <c r="A836" s="133"/>
    </row>
    <row r="837">
      <c r="A837" s="133"/>
    </row>
    <row r="838">
      <c r="A838" s="133"/>
    </row>
    <row r="839">
      <c r="A839" s="133"/>
    </row>
    <row r="840">
      <c r="A840" s="133"/>
    </row>
    <row r="841">
      <c r="A841" s="133"/>
    </row>
    <row r="842">
      <c r="A842" s="133"/>
    </row>
    <row r="843">
      <c r="A843" s="133"/>
    </row>
    <row r="844">
      <c r="A844" s="133"/>
    </row>
    <row r="845">
      <c r="A845" s="133"/>
    </row>
    <row r="846">
      <c r="A846" s="133"/>
    </row>
    <row r="847">
      <c r="A847" s="133"/>
    </row>
    <row r="848">
      <c r="A848" s="133"/>
    </row>
    <row r="849">
      <c r="A849" s="133"/>
    </row>
    <row r="850">
      <c r="A850" s="133"/>
    </row>
    <row r="851">
      <c r="A851" s="133"/>
    </row>
    <row r="852">
      <c r="A852" s="133"/>
    </row>
    <row r="853">
      <c r="A853" s="133"/>
    </row>
    <row r="854">
      <c r="A854" s="133"/>
    </row>
    <row r="855">
      <c r="A855" s="133"/>
    </row>
    <row r="856">
      <c r="A856" s="133"/>
    </row>
    <row r="857">
      <c r="A857" s="133"/>
    </row>
    <row r="858">
      <c r="A858" s="133"/>
    </row>
    <row r="859">
      <c r="A859" s="133"/>
    </row>
    <row r="860">
      <c r="A860" s="133"/>
    </row>
    <row r="861">
      <c r="A861" s="133"/>
    </row>
    <row r="862">
      <c r="A862" s="133"/>
    </row>
    <row r="863">
      <c r="A863" s="133"/>
    </row>
    <row r="864">
      <c r="A864" s="133"/>
    </row>
    <row r="865">
      <c r="A865" s="133"/>
    </row>
    <row r="866">
      <c r="A866" s="133"/>
    </row>
    <row r="867">
      <c r="A867" s="133"/>
    </row>
    <row r="868">
      <c r="A868" s="133"/>
    </row>
    <row r="869">
      <c r="A869" s="133"/>
    </row>
    <row r="870">
      <c r="A870" s="133"/>
    </row>
    <row r="871">
      <c r="A871" s="133"/>
    </row>
    <row r="872">
      <c r="A872" s="133"/>
    </row>
    <row r="873">
      <c r="A873" s="133"/>
    </row>
    <row r="874">
      <c r="A874" s="133"/>
    </row>
    <row r="875">
      <c r="A875" s="133"/>
    </row>
    <row r="876">
      <c r="A876" s="133"/>
    </row>
    <row r="877">
      <c r="A877" s="133"/>
    </row>
    <row r="878">
      <c r="A878" s="133"/>
    </row>
    <row r="879">
      <c r="A879" s="133"/>
    </row>
    <row r="880">
      <c r="A880" s="133"/>
    </row>
    <row r="881">
      <c r="A881" s="133"/>
    </row>
    <row r="882">
      <c r="A882" s="133"/>
    </row>
    <row r="883">
      <c r="A883" s="133"/>
    </row>
    <row r="884">
      <c r="A884" s="133"/>
    </row>
    <row r="885">
      <c r="A885" s="133"/>
    </row>
    <row r="886">
      <c r="A886" s="133"/>
    </row>
    <row r="887">
      <c r="A887" s="133"/>
    </row>
    <row r="888">
      <c r="A888" s="133"/>
    </row>
    <row r="889">
      <c r="A889" s="133"/>
    </row>
    <row r="890">
      <c r="A890" s="133"/>
    </row>
    <row r="891">
      <c r="A891" s="133"/>
    </row>
    <row r="892">
      <c r="A892" s="133"/>
    </row>
    <row r="893">
      <c r="A893" s="133"/>
    </row>
    <row r="894">
      <c r="A894" s="133"/>
    </row>
    <row r="895">
      <c r="A895" s="133"/>
    </row>
    <row r="896">
      <c r="A896" s="133"/>
    </row>
    <row r="897">
      <c r="A897" s="133"/>
    </row>
    <row r="898">
      <c r="A898" s="133"/>
    </row>
    <row r="899">
      <c r="A899" s="133"/>
    </row>
    <row r="900">
      <c r="A900" s="133"/>
    </row>
    <row r="901">
      <c r="A901" s="133"/>
    </row>
    <row r="902">
      <c r="A902" s="133"/>
    </row>
    <row r="903">
      <c r="A903" s="133"/>
    </row>
    <row r="904">
      <c r="A904" s="133"/>
    </row>
    <row r="905">
      <c r="A905" s="133"/>
    </row>
    <row r="906">
      <c r="A906" s="133"/>
    </row>
    <row r="907">
      <c r="A907" s="133"/>
    </row>
    <row r="908">
      <c r="A908" s="133"/>
    </row>
    <row r="909">
      <c r="A909" s="133"/>
    </row>
    <row r="910">
      <c r="A910" s="133"/>
    </row>
    <row r="911">
      <c r="A911" s="133"/>
    </row>
    <row r="912">
      <c r="A912" s="133"/>
    </row>
    <row r="913">
      <c r="A913" s="133"/>
    </row>
    <row r="914">
      <c r="A914" s="133"/>
    </row>
    <row r="915">
      <c r="A915" s="133"/>
    </row>
    <row r="916">
      <c r="A916" s="133"/>
    </row>
    <row r="917">
      <c r="A917" s="133"/>
    </row>
    <row r="918">
      <c r="A918" s="133"/>
    </row>
    <row r="919">
      <c r="A919" s="133"/>
    </row>
    <row r="920">
      <c r="A920" s="133"/>
    </row>
    <row r="921">
      <c r="A921" s="133"/>
    </row>
    <row r="922">
      <c r="A922" s="133"/>
    </row>
    <row r="923">
      <c r="A923" s="133"/>
    </row>
    <row r="924">
      <c r="A924" s="133"/>
    </row>
    <row r="925">
      <c r="A925" s="133"/>
    </row>
    <row r="926">
      <c r="A926" s="133"/>
    </row>
    <row r="927">
      <c r="A927" s="133"/>
    </row>
    <row r="928">
      <c r="A928" s="133"/>
    </row>
    <row r="929">
      <c r="A929" s="133"/>
    </row>
    <row r="930">
      <c r="A930" s="133"/>
    </row>
    <row r="931">
      <c r="A931" s="133"/>
    </row>
    <row r="932">
      <c r="A932" s="133"/>
    </row>
    <row r="933">
      <c r="A933" s="133"/>
    </row>
    <row r="934">
      <c r="A934" s="133"/>
    </row>
    <row r="935">
      <c r="A935" s="133"/>
    </row>
    <row r="936">
      <c r="A936" s="133"/>
    </row>
    <row r="937">
      <c r="A937" s="133"/>
    </row>
    <row r="938">
      <c r="A938" s="133"/>
    </row>
    <row r="939">
      <c r="A939" s="133"/>
    </row>
    <row r="940">
      <c r="A940" s="133"/>
    </row>
    <row r="941">
      <c r="A941" s="133"/>
    </row>
    <row r="942">
      <c r="A942" s="133"/>
    </row>
    <row r="943">
      <c r="A943" s="133"/>
    </row>
    <row r="944">
      <c r="A944" s="133"/>
    </row>
    <row r="945">
      <c r="A945" s="133"/>
    </row>
    <row r="946">
      <c r="A946" s="133"/>
    </row>
    <row r="947">
      <c r="A947" s="133"/>
    </row>
    <row r="948">
      <c r="A948" s="133"/>
    </row>
    <row r="949">
      <c r="A949" s="133"/>
    </row>
    <row r="950">
      <c r="A950" s="133"/>
    </row>
    <row r="951">
      <c r="A951" s="133"/>
    </row>
    <row r="952">
      <c r="A952" s="133"/>
    </row>
    <row r="953">
      <c r="A953" s="133"/>
    </row>
    <row r="954">
      <c r="A954" s="133"/>
    </row>
    <row r="955">
      <c r="A955" s="133"/>
    </row>
    <row r="956">
      <c r="A956" s="133"/>
    </row>
    <row r="957">
      <c r="A957" s="133"/>
    </row>
    <row r="958">
      <c r="A958" s="133"/>
    </row>
    <row r="959">
      <c r="A959" s="133"/>
    </row>
    <row r="960">
      <c r="A960" s="133"/>
    </row>
    <row r="961">
      <c r="A961" s="133"/>
    </row>
    <row r="962">
      <c r="A962" s="133"/>
    </row>
    <row r="963">
      <c r="A963" s="133"/>
    </row>
    <row r="964">
      <c r="A964" s="133"/>
    </row>
    <row r="965">
      <c r="A965" s="133"/>
    </row>
    <row r="966">
      <c r="A966" s="133"/>
    </row>
    <row r="967">
      <c r="A967" s="133"/>
    </row>
    <row r="968">
      <c r="A968" s="133"/>
    </row>
    <row r="969">
      <c r="A969" s="133"/>
    </row>
    <row r="970">
      <c r="A970" s="133"/>
    </row>
    <row r="971">
      <c r="A971" s="133"/>
    </row>
    <row r="972">
      <c r="A972" s="133"/>
    </row>
    <row r="973">
      <c r="A973" s="133"/>
    </row>
    <row r="974">
      <c r="A974" s="133"/>
    </row>
    <row r="975">
      <c r="A975" s="133"/>
    </row>
    <row r="976">
      <c r="A976" s="133"/>
    </row>
    <row r="977">
      <c r="A977" s="133"/>
    </row>
    <row r="978">
      <c r="A978" s="133"/>
    </row>
    <row r="979">
      <c r="A979" s="133"/>
    </row>
    <row r="980">
      <c r="A980" s="133"/>
    </row>
    <row r="981">
      <c r="A981" s="133"/>
    </row>
    <row r="982">
      <c r="A982" s="133"/>
    </row>
    <row r="983">
      <c r="A983" s="133"/>
    </row>
    <row r="984">
      <c r="A984" s="133"/>
    </row>
    <row r="985">
      <c r="A985" s="133"/>
    </row>
    <row r="986">
      <c r="A986" s="133"/>
    </row>
    <row r="987">
      <c r="A987" s="133"/>
    </row>
    <row r="988">
      <c r="A988" s="133"/>
    </row>
    <row r="989">
      <c r="A989" s="133"/>
    </row>
    <row r="990">
      <c r="A990" s="133"/>
    </row>
    <row r="991">
      <c r="A991" s="133"/>
    </row>
    <row r="992">
      <c r="A992" s="133"/>
    </row>
    <row r="993">
      <c r="A993" s="133"/>
    </row>
    <row r="994">
      <c r="A994" s="133"/>
    </row>
    <row r="995">
      <c r="A995" s="133"/>
    </row>
    <row r="996">
      <c r="A996" s="133"/>
    </row>
    <row r="997">
      <c r="A997" s="133"/>
    </row>
    <row r="998">
      <c r="A998" s="133"/>
    </row>
    <row r="999">
      <c r="A999" s="133"/>
    </row>
    <row r="1000">
      <c r="A1000" s="1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5.71"/>
    <col customWidth="1" min="3" max="3" width="24.29"/>
    <col customWidth="1" min="4" max="4" width="20.14"/>
    <col customWidth="1" min="5" max="5" width="28.71"/>
    <col customWidth="1" min="6" max="6" width="26.57"/>
    <col customWidth="1" hidden="1" min="11" max="11" width="16.14"/>
    <col customWidth="1" min="12" max="12" width="7.71"/>
  </cols>
  <sheetData>
    <row r="1" ht="16.5" customHeight="1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</row>
    <row r="2" ht="16.5" customHeight="1">
      <c r="A2" s="321"/>
      <c r="B2" s="321"/>
      <c r="C2" s="322"/>
      <c r="D2" s="321"/>
      <c r="E2" s="323"/>
      <c r="F2" s="321"/>
      <c r="G2" s="323">
        <v>7.0</v>
      </c>
      <c r="H2" s="323" t="s">
        <v>416</v>
      </c>
      <c r="I2" s="321">
        <v>2021.0</v>
      </c>
      <c r="J2" s="324">
        <f>SUM(J4:J1002,L18)</f>
        <v>396100000</v>
      </c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  <c r="Y2" s="320"/>
      <c r="Z2" s="320"/>
      <c r="AA2" s="320"/>
      <c r="AB2" s="320"/>
      <c r="AC2" s="320"/>
      <c r="AD2" s="320"/>
    </row>
    <row r="3" ht="16.5" customHeight="1">
      <c r="A3" s="325" t="s">
        <v>633</v>
      </c>
      <c r="B3" s="325" t="s">
        <v>409</v>
      </c>
      <c r="C3" s="325" t="s">
        <v>1202</v>
      </c>
      <c r="D3" s="325" t="s">
        <v>1203</v>
      </c>
      <c r="E3" s="325" t="s">
        <v>1204</v>
      </c>
      <c r="F3" s="325" t="s">
        <v>1205</v>
      </c>
      <c r="G3" s="325" t="s">
        <v>1206</v>
      </c>
      <c r="H3" s="325" t="s">
        <v>1207</v>
      </c>
      <c r="I3" s="325" t="s">
        <v>1208</v>
      </c>
      <c r="J3" s="326" t="s">
        <v>1209</v>
      </c>
      <c r="K3" s="327" t="s">
        <v>1210</v>
      </c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</row>
    <row r="4" ht="16.5" customHeight="1">
      <c r="A4" s="329"/>
      <c r="B4" s="329" t="str">
        <f>IFERROR(__xludf.DUMMYFUNCTION("FILTER(data!A5:A1002,data!R5:R1002&gt;"""")"),"INFHOA777")</f>
        <v>INFHOA777</v>
      </c>
      <c r="C4" s="329" t="str">
        <f t="array" ref="C4:C1002">iferror(VLOOKUP(B4:B1002,data!A:M,6,0),"")</f>
        <v>Hoàng Thị Hoa</v>
      </c>
      <c r="D4" s="330">
        <f t="array" ref="D4:D1002">iferror(VLOOKUP(B4:B1002,data!A:M,11,0),"")</f>
        <v>65510000280081</v>
      </c>
      <c r="E4" s="331" t="str">
        <f t="array" ref="E4:E1002">iferror(VLOOKUP(B4:B1002,data!A:M,12,0),"")</f>
        <v>Hoàng Thị Hoa</v>
      </c>
      <c r="F4" s="331" t="str">
        <f t="array" ref="F4:F1002">iferror(VLOOKUP(B4:B1002,data!A:M,13,0),"")</f>
        <v>Bidv đồng xoài</v>
      </c>
      <c r="G4" s="331">
        <f>iferror(sumifs('Hợp tác'!G:G,'Hợp tác'!A:A,B4,'Hợp tác'!H:H,$G$2,'Hợp tác'!I:I,$I$2),"")</f>
        <v>0</v>
      </c>
      <c r="H4" s="332">
        <f>SUMIFS(View!J:J,View!B:B,B4)</f>
        <v>0</v>
      </c>
      <c r="I4" s="332">
        <f>sumifs('Hoa Hồng'!L:L,'Hoa Hồng'!A:A,B4)</f>
        <v>0</v>
      </c>
      <c r="J4" s="332">
        <f t="array" ref="J4:J1002">I4:I1002+H4:H1002+G4:G1002</f>
        <v>0</v>
      </c>
      <c r="K4" s="333" t="s">
        <v>1211</v>
      </c>
      <c r="L4" s="334"/>
      <c r="M4" s="334"/>
      <c r="N4" s="334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4"/>
      <c r="AA4" s="334"/>
      <c r="AB4" s="334"/>
      <c r="AC4" s="334"/>
      <c r="AD4" s="334"/>
    </row>
    <row r="5" ht="16.5" customHeight="1">
      <c r="A5" s="335">
        <v>1.0</v>
      </c>
      <c r="B5" s="336" t="str">
        <f>IFERROR(__xludf.DUMMYFUNCTION("""COMPUTED_VALUE"""),"INFHUYEN641")</f>
        <v>INFHUYEN641</v>
      </c>
      <c r="C5" s="336" t="s">
        <v>87</v>
      </c>
      <c r="D5" s="337">
        <v>2.1210000627175E13</v>
      </c>
      <c r="E5" s="338" t="s">
        <v>91</v>
      </c>
      <c r="F5" s="338" t="s">
        <v>1212</v>
      </c>
      <c r="G5" s="338">
        <f>iferror(sumifs('Hợp tác'!G:G,'Hợp tác'!A:A,B5,'Hợp tác'!H:H,$G$2,'Hợp tác'!I:I,$I$2),"")</f>
        <v>2000000</v>
      </c>
      <c r="H5" s="339">
        <f>SUMIFS(View!J:J,View!B:B,B5)</f>
        <v>0</v>
      </c>
      <c r="I5" s="339">
        <f>sumifs('Hoa Hồng'!L:L,'Hoa Hồng'!A:A,B5)</f>
        <v>0</v>
      </c>
      <c r="J5" s="340">
        <v>2000000.0</v>
      </c>
      <c r="K5" s="333" t="s">
        <v>1211</v>
      </c>
      <c r="L5" s="320"/>
      <c r="M5" s="320"/>
      <c r="N5" s="320"/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320"/>
    </row>
    <row r="6" ht="16.5" customHeight="1">
      <c r="A6" s="335">
        <v>2.0</v>
      </c>
      <c r="B6" s="336" t="str">
        <f>IFERROR(__xludf.DUMMYFUNCTION("""COMPUTED_VALUE"""),"INFNHI376")</f>
        <v>INFNHI376</v>
      </c>
      <c r="C6" s="336" t="s">
        <v>97</v>
      </c>
      <c r="D6" s="337">
        <v>1.05000820531E11</v>
      </c>
      <c r="E6" s="338" t="s">
        <v>97</v>
      </c>
      <c r="F6" s="338" t="s">
        <v>96</v>
      </c>
      <c r="G6" s="338">
        <f>iferror(sumifs('Hợp tác'!G:G,'Hợp tác'!A:A,B6,'Hợp tác'!H:H,$G$2,'Hợp tác'!I:I,$I$2),"")</f>
        <v>1000000</v>
      </c>
      <c r="H6" s="339">
        <f>SUMIFS(View!J:J,View!B:B,B6)</f>
        <v>0</v>
      </c>
      <c r="I6" s="339">
        <f>sumifs('Hoa Hồng'!L:L,'Hoa Hồng'!A:A,B6)</f>
        <v>0</v>
      </c>
      <c r="J6" s="340">
        <v>1000000.0</v>
      </c>
      <c r="K6" s="333" t="s">
        <v>1211</v>
      </c>
      <c r="L6" s="320"/>
      <c r="M6" s="320"/>
      <c r="N6" s="320"/>
      <c r="O6" s="320"/>
      <c r="P6" s="320"/>
      <c r="Q6" s="320"/>
      <c r="R6" s="320"/>
      <c r="S6" s="320"/>
      <c r="T6" s="320"/>
      <c r="U6" s="320"/>
      <c r="V6" s="320"/>
      <c r="W6" s="320"/>
      <c r="X6" s="320"/>
      <c r="Y6" s="320"/>
      <c r="Z6" s="320"/>
      <c r="AA6" s="320"/>
      <c r="AB6" s="320"/>
      <c r="AC6" s="320"/>
      <c r="AD6" s="320"/>
    </row>
    <row r="7" ht="16.5" customHeight="1">
      <c r="A7" s="335">
        <v>3.0</v>
      </c>
      <c r="B7" s="336" t="str">
        <f>IFERROR(__xludf.DUMMYFUNCTION("""COMPUTED_VALUE"""),"INFDAI376")</f>
        <v>INFDAI376</v>
      </c>
      <c r="C7" s="336" t="s">
        <v>1213</v>
      </c>
      <c r="D7" s="337" t="s">
        <v>364</v>
      </c>
      <c r="E7" s="338" t="s">
        <v>366</v>
      </c>
      <c r="F7" s="338" t="s">
        <v>365</v>
      </c>
      <c r="G7" s="338">
        <f>iferror(sumifs('Hợp tác'!G:G,'Hợp tác'!A:A,B7,'Hợp tác'!H:H,$G$2,'Hợp tác'!I:I,$I$2),"")</f>
        <v>1000000</v>
      </c>
      <c r="H7" s="339">
        <f>SUMIFS(View!J:J,View!B:B,B7)</f>
        <v>2000000</v>
      </c>
      <c r="I7" s="339">
        <f>sumifs('Hoa Hồng'!L:L,'Hoa Hồng'!A:A,B7)</f>
        <v>0</v>
      </c>
      <c r="J7" s="340">
        <v>3000000.0</v>
      </c>
      <c r="K7" s="333" t="s">
        <v>1211</v>
      </c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</row>
    <row r="8" ht="16.5" customHeight="1">
      <c r="A8" s="335">
        <v>4.0</v>
      </c>
      <c r="B8" s="336" t="str">
        <f>IFERROR(__xludf.DUMMYFUNCTION("""COMPUTED_VALUE"""),"INFNHU209")</f>
        <v>INFNHU209</v>
      </c>
      <c r="C8" s="336" t="s">
        <v>367</v>
      </c>
      <c r="D8" s="337" t="s">
        <v>369</v>
      </c>
      <c r="E8" s="338" t="s">
        <v>370</v>
      </c>
      <c r="F8" s="338" t="s">
        <v>19</v>
      </c>
      <c r="G8" s="338">
        <f>iferror(sumifs('Hợp tác'!G:G,'Hợp tác'!A:A,B8,'Hợp tác'!H:H,$G$2,'Hợp tác'!I:I,$I$2),"")</f>
        <v>1000000</v>
      </c>
      <c r="H8" s="339">
        <f>SUMIFS(View!J:J,View!B:B,B8)</f>
        <v>1000000</v>
      </c>
      <c r="I8" s="339">
        <f>sumifs('Hoa Hồng'!L:L,'Hoa Hồng'!A:A,B8)</f>
        <v>0</v>
      </c>
      <c r="J8" s="340">
        <v>2000000.0</v>
      </c>
      <c r="K8" s="333" t="s">
        <v>1211</v>
      </c>
      <c r="L8" s="320"/>
      <c r="M8" s="320"/>
      <c r="N8" s="320"/>
      <c r="O8" s="320"/>
      <c r="P8" s="320"/>
      <c r="Q8" s="320"/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</row>
    <row r="9" ht="16.5" customHeight="1">
      <c r="A9" s="335">
        <v>5.0</v>
      </c>
      <c r="B9" s="336" t="str">
        <f>IFERROR(__xludf.DUMMYFUNCTION("""COMPUTED_VALUE"""),"INFANH277")</f>
        <v>INFANH277</v>
      </c>
      <c r="C9" s="336" t="s">
        <v>371</v>
      </c>
      <c r="D9" s="337">
        <v>1.9035536354017E13</v>
      </c>
      <c r="E9" s="338" t="s">
        <v>373</v>
      </c>
      <c r="F9" s="338" t="s">
        <v>48</v>
      </c>
      <c r="G9" s="338">
        <f>iferror(sumifs('Hợp tác'!G:G,'Hợp tác'!A:A,B9,'Hợp tác'!H:H,$G$2,'Hợp tác'!I:I,$I$2),"")</f>
        <v>500000</v>
      </c>
      <c r="H9" s="339">
        <f>SUMIFS(View!J:J,View!B:B,B9)</f>
        <v>0</v>
      </c>
      <c r="I9" s="339">
        <f>sumifs('Hoa Hồng'!L:L,'Hoa Hồng'!A:A,B9)</f>
        <v>0</v>
      </c>
      <c r="J9" s="340">
        <v>500000.0</v>
      </c>
      <c r="K9" s="333" t="s">
        <v>1211</v>
      </c>
      <c r="L9" s="320"/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</row>
    <row r="10" ht="16.5" customHeight="1">
      <c r="A10" s="335">
        <v>6.0</v>
      </c>
      <c r="B10" s="336" t="str">
        <f>IFERROR(__xludf.DUMMYFUNCTION("""COMPUTED_VALUE"""),"INFGIANG354")</f>
        <v>INFGIANG354</v>
      </c>
      <c r="C10" s="336" t="s">
        <v>98</v>
      </c>
      <c r="D10" s="337">
        <v>1.00870644053E11</v>
      </c>
      <c r="E10" s="338" t="s">
        <v>102</v>
      </c>
      <c r="F10" s="338" t="s">
        <v>101</v>
      </c>
      <c r="G10" s="338">
        <f>iferror(sumifs('Hợp tác'!G:G,'Hợp tác'!A:A,B10,'Hợp tác'!H:H,$G$2,'Hợp tác'!I:I,$I$2),"")</f>
        <v>500000</v>
      </c>
      <c r="H10" s="339">
        <f>SUMIFS(View!J:J,View!B:B,B10)</f>
        <v>0</v>
      </c>
      <c r="I10" s="339">
        <f>sumifs('Hoa Hồng'!L:L,'Hoa Hồng'!A:A,B10)</f>
        <v>0</v>
      </c>
      <c r="J10" s="340">
        <v>500000.0</v>
      </c>
      <c r="K10" s="333" t="s">
        <v>1211</v>
      </c>
      <c r="L10" s="320"/>
      <c r="M10" s="320"/>
      <c r="N10" s="320"/>
      <c r="O10" s="320"/>
      <c r="P10" s="320"/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</row>
    <row r="11" ht="16.5" customHeight="1">
      <c r="A11" s="335">
        <v>7.0</v>
      </c>
      <c r="B11" s="336" t="str">
        <f>IFERROR(__xludf.DUMMYFUNCTION("""COMPUTED_VALUE"""),"INFTHUY282")</f>
        <v>INFTHUY282</v>
      </c>
      <c r="C11" s="336" t="s">
        <v>16</v>
      </c>
      <c r="D11" s="337" t="s">
        <v>1214</v>
      </c>
      <c r="E11" s="338" t="s">
        <v>20</v>
      </c>
      <c r="F11" s="338" t="s">
        <v>1215</v>
      </c>
      <c r="G11" s="338">
        <f>iferror(sumifs('Hợp tác'!G:G,'Hợp tác'!A:A,B11,'Hợp tác'!H:H,$G$2,'Hợp tác'!I:I,$I$2),"")</f>
        <v>500000</v>
      </c>
      <c r="H11" s="339">
        <f>SUMIFS(View!J:J,View!B:B,B11)</f>
        <v>500000</v>
      </c>
      <c r="I11" s="339">
        <f>sumifs('Hoa Hồng'!L:L,'Hoa Hồng'!A:A,B11)</f>
        <v>0</v>
      </c>
      <c r="J11" s="340">
        <v>1000000.0</v>
      </c>
      <c r="K11" s="333" t="s">
        <v>1211</v>
      </c>
      <c r="L11" s="320"/>
      <c r="M11" s="320"/>
      <c r="N11" s="320"/>
      <c r="O11" s="320"/>
      <c r="P11" s="320"/>
      <c r="Q11" s="320"/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</row>
    <row r="12" ht="16.5" customHeight="1">
      <c r="A12" s="329"/>
      <c r="B12" s="329" t="str">
        <f>IFERROR(__xludf.DUMMYFUNCTION("""COMPUTED_VALUE"""),"INFPHUC284")</f>
        <v>INFPHUC284</v>
      </c>
      <c r="C12" s="329" t="s">
        <v>1216</v>
      </c>
      <c r="D12" s="330">
        <v>1.903672467301E13</v>
      </c>
      <c r="E12" s="331" t="s">
        <v>1217</v>
      </c>
      <c r="F12" s="331" t="s">
        <v>1218</v>
      </c>
      <c r="G12" s="331">
        <f>iferror(sumifs('Hợp tác'!G:G,'Hợp tác'!A:A,B12,'Hợp tác'!H:H,$G$2,'Hợp tác'!I:I,$I$2),"")</f>
        <v>0</v>
      </c>
      <c r="H12" s="332">
        <f>SUMIFS(View!J:J,View!B:B,B12)</f>
        <v>0</v>
      </c>
      <c r="I12" s="332">
        <f>sumifs('Hoa Hồng'!L:L,'Hoa Hồng'!A:A,B12)</f>
        <v>0</v>
      </c>
      <c r="J12" s="332">
        <v>0.0</v>
      </c>
      <c r="K12" s="333" t="s">
        <v>1211</v>
      </c>
      <c r="L12" s="334"/>
      <c r="M12" s="334"/>
      <c r="N12" s="334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4"/>
      <c r="AA12" s="334"/>
      <c r="AB12" s="334"/>
      <c r="AC12" s="334"/>
      <c r="AD12" s="334"/>
    </row>
    <row r="13" ht="16.5" customHeight="1">
      <c r="A13" s="335">
        <v>8.0</v>
      </c>
      <c r="B13" s="336" t="str">
        <f>IFERROR(__xludf.DUMMYFUNCTION("""COMPUTED_VALUE"""),"INFTHUY744")</f>
        <v>INFTHUY744</v>
      </c>
      <c r="C13" s="336" t="s">
        <v>103</v>
      </c>
      <c r="D13" s="337">
        <v>3.610205344421E12</v>
      </c>
      <c r="E13" s="338" t="s">
        <v>107</v>
      </c>
      <c r="F13" s="338" t="s">
        <v>1219</v>
      </c>
      <c r="G13" s="338">
        <f>iferror(sumifs('Hợp tác'!G:G,'Hợp tác'!A:A,B13,'Hợp tác'!H:H,$G$2,'Hợp tác'!I:I,$I$2),"")</f>
        <v>500000</v>
      </c>
      <c r="H13" s="339">
        <f>SUMIFS(View!J:J,View!B:B,B13)</f>
        <v>0</v>
      </c>
      <c r="I13" s="339">
        <f>sumifs('Hoa Hồng'!L:L,'Hoa Hồng'!A:A,B13)</f>
        <v>0</v>
      </c>
      <c r="J13" s="340">
        <v>500000.0</v>
      </c>
      <c r="K13" s="333" t="s">
        <v>1211</v>
      </c>
      <c r="L13" s="320"/>
      <c r="M13" s="320"/>
      <c r="N13" s="320"/>
      <c r="O13" s="320"/>
      <c r="P13" s="320"/>
      <c r="Q13" s="320"/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</row>
    <row r="14" ht="16.5" customHeight="1">
      <c r="A14" s="335">
        <v>9.0</v>
      </c>
      <c r="B14" s="336" t="str">
        <f>IFERROR(__xludf.DUMMYFUNCTION("""COMPUTED_VALUE"""),"INFNHAN283")</f>
        <v>INFNHAN283</v>
      </c>
      <c r="C14" s="336" t="s">
        <v>1220</v>
      </c>
      <c r="D14" s="337">
        <v>1.3100837E7</v>
      </c>
      <c r="E14" s="338" t="s">
        <v>113</v>
      </c>
      <c r="F14" s="338" t="s">
        <v>112</v>
      </c>
      <c r="G14" s="338">
        <f>iferror(sumifs('Hợp tác'!G:G,'Hợp tác'!A:A,B14,'Hợp tác'!H:H,$G$2,'Hợp tác'!I:I,$I$2),"")</f>
        <v>1000000</v>
      </c>
      <c r="H14" s="339">
        <f>SUMIFS(View!J:J,View!B:B,B14)</f>
        <v>500000</v>
      </c>
      <c r="I14" s="339">
        <f>sumifs('Hoa Hồng'!L:L,'Hoa Hồng'!A:A,B14)</f>
        <v>0</v>
      </c>
      <c r="J14" s="340">
        <v>1500000.0</v>
      </c>
      <c r="K14" s="333" t="s">
        <v>1211</v>
      </c>
      <c r="L14" s="320"/>
      <c r="M14" s="320"/>
      <c r="N14" s="320"/>
      <c r="O14" s="320"/>
      <c r="P14" s="320"/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</row>
    <row r="15" ht="16.5" customHeight="1">
      <c r="A15" s="335">
        <v>10.0</v>
      </c>
      <c r="B15" s="336" t="str">
        <f>IFERROR(__xludf.DUMMYFUNCTION("""COMPUTED_VALUE"""),"INFTHIA247")</f>
        <v>INFTHIA247</v>
      </c>
      <c r="C15" s="336" t="s">
        <v>118</v>
      </c>
      <c r="D15" s="337">
        <v>1.018031824E9</v>
      </c>
      <c r="E15" s="338" t="s">
        <v>118</v>
      </c>
      <c r="F15" s="338" t="s">
        <v>1221</v>
      </c>
      <c r="G15" s="338">
        <f>iferror(sumifs('Hợp tác'!G:G,'Hợp tác'!A:A,B15,'Hợp tác'!H:H,$G$2,'Hợp tác'!I:I,$I$2),"")</f>
        <v>500000</v>
      </c>
      <c r="H15" s="339">
        <f>SUMIFS(View!J:J,View!B:B,B15)</f>
        <v>0</v>
      </c>
      <c r="I15" s="339">
        <f>sumifs('Hoa Hồng'!L:L,'Hoa Hồng'!A:A,B15)</f>
        <v>0</v>
      </c>
      <c r="J15" s="340">
        <v>500000.0</v>
      </c>
      <c r="K15" s="333" t="s">
        <v>1211</v>
      </c>
      <c r="L15" s="320"/>
      <c r="M15" s="320"/>
      <c r="N15" s="320"/>
      <c r="O15" s="320"/>
      <c r="P15" s="320"/>
      <c r="Q15" s="320"/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</row>
    <row r="16" ht="16.5" customHeight="1">
      <c r="A16" s="335">
        <v>11.0</v>
      </c>
      <c r="B16" s="336" t="str">
        <f>IFERROR(__xludf.DUMMYFUNCTION("""COMPUTED_VALUE"""),"INFHUONG035")</f>
        <v>INFHUONG035</v>
      </c>
      <c r="C16" s="336" t="s">
        <v>1222</v>
      </c>
      <c r="D16" s="337">
        <v>1.9028393201013E13</v>
      </c>
      <c r="E16" s="338" t="s">
        <v>1223</v>
      </c>
      <c r="F16" s="338" t="s">
        <v>1224</v>
      </c>
      <c r="G16" s="338">
        <f>iferror(sumifs('Hợp tác'!G:G,'Hợp tác'!A:A,B16,'Hợp tác'!H:H,$G$2,'Hợp tác'!I:I,$I$2),"")</f>
        <v>500000</v>
      </c>
      <c r="H16" s="339">
        <f>SUMIFS(View!J:J,View!B:B,B16)</f>
        <v>2500000</v>
      </c>
      <c r="I16" s="339">
        <f>sumifs('Hoa Hồng'!L:L,'Hoa Hồng'!A:A,B16)</f>
        <v>0</v>
      </c>
      <c r="J16" s="340">
        <v>3000000.0</v>
      </c>
      <c r="K16" s="333" t="s">
        <v>1211</v>
      </c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</row>
    <row r="17" ht="16.5" customHeight="1">
      <c r="A17" s="335">
        <v>12.0</v>
      </c>
      <c r="B17" s="336" t="str">
        <f>IFERROR(__xludf.DUMMYFUNCTION("""COMPUTED_VALUE"""),"INFSON699")</f>
        <v>INFSON699</v>
      </c>
      <c r="C17" s="336" t="s">
        <v>124</v>
      </c>
      <c r="D17" s="337" t="s">
        <v>128</v>
      </c>
      <c r="E17" s="338" t="s">
        <v>129</v>
      </c>
      <c r="F17" s="338" t="s">
        <v>39</v>
      </c>
      <c r="G17" s="338">
        <f>iferror(sumifs('Hợp tác'!G:G,'Hợp tác'!A:A,B17,'Hợp tác'!H:H,$G$2,'Hợp tác'!I:I,$I$2),"")</f>
        <v>500000</v>
      </c>
      <c r="H17" s="339">
        <f>SUMIFS(View!J:J,View!B:B,B17)</f>
        <v>2000000</v>
      </c>
      <c r="I17" s="339">
        <f>sumifs('Hoa Hồng'!L:L,'Hoa Hồng'!A:A,B17)</f>
        <v>0</v>
      </c>
      <c r="J17" s="340">
        <v>2500000.0</v>
      </c>
      <c r="K17" s="333" t="s">
        <v>1211</v>
      </c>
      <c r="L17" s="320"/>
      <c r="M17" s="320"/>
      <c r="N17" s="320"/>
      <c r="O17" s="320"/>
      <c r="P17" s="320"/>
      <c r="Q17" s="320"/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</row>
    <row r="18" ht="16.5" customHeight="1">
      <c r="A18" s="335">
        <v>13.0</v>
      </c>
      <c r="B18" s="336" t="str">
        <f>IFERROR(__xludf.DUMMYFUNCTION("""COMPUTED_VALUE"""),"INFLINH722")</f>
        <v>INFLINH722</v>
      </c>
      <c r="C18" s="336" t="s">
        <v>1225</v>
      </c>
      <c r="D18" s="337">
        <v>1.9130408068012E13</v>
      </c>
      <c r="E18" s="338" t="s">
        <v>1226</v>
      </c>
      <c r="F18" s="338" t="s">
        <v>26</v>
      </c>
      <c r="G18" s="338">
        <f>iferror(sumifs('Hợp tác'!G:G,'Hợp tác'!A:A,B18,'Hợp tác'!H:H,$G$2,'Hợp tác'!I:I,$I$2),"")</f>
        <v>500000</v>
      </c>
      <c r="H18" s="339">
        <f>SUMIFS(View!J:J,View!B:B,B18)</f>
        <v>0</v>
      </c>
      <c r="I18" s="339">
        <f>sumifs('Hoa Hồng'!L:L,'Hoa Hồng'!A:A,B18)</f>
        <v>0</v>
      </c>
      <c r="J18" s="340">
        <v>500000.0</v>
      </c>
      <c r="K18" s="333" t="s">
        <v>1211</v>
      </c>
      <c r="L18" s="321">
        <v>100000.0</v>
      </c>
      <c r="M18" s="321" t="s">
        <v>1227</v>
      </c>
      <c r="N18" s="320"/>
      <c r="O18" s="320"/>
      <c r="P18" s="320"/>
      <c r="Q18" s="320"/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</row>
    <row r="19" ht="16.5" customHeight="1">
      <c r="A19" s="335">
        <v>14.0</v>
      </c>
      <c r="B19" s="336" t="str">
        <f>IFERROR(__xludf.DUMMYFUNCTION("""COMPUTED_VALUE"""),"INFHIEU867")</f>
        <v>INFHIEU867</v>
      </c>
      <c r="C19" s="336" t="s">
        <v>1228</v>
      </c>
      <c r="D19" s="337"/>
      <c r="E19" s="338"/>
      <c r="F19" s="338"/>
      <c r="G19" s="338">
        <f>iferror(sumifs('Hợp tác'!G:G,'Hợp tác'!A:A,B19,'Hợp tác'!H:H,$G$2,'Hợp tác'!I:I,$I$2),"")</f>
        <v>0</v>
      </c>
      <c r="H19" s="339">
        <f>SUMIFS(View!J:J,View!B:B,B19)</f>
        <v>0</v>
      </c>
      <c r="I19" s="339">
        <f>sumifs('Hoa Hồng'!L:L,'Hoa Hồng'!A:A,B19)</f>
        <v>0</v>
      </c>
      <c r="J19" s="340">
        <v>0.0</v>
      </c>
      <c r="K19" s="333" t="s">
        <v>1211</v>
      </c>
      <c r="L19" s="320"/>
      <c r="M19" s="320"/>
      <c r="N19" s="320"/>
      <c r="O19" s="320"/>
      <c r="P19" s="320"/>
      <c r="Q19" s="320"/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</row>
    <row r="20" ht="16.5" customHeight="1">
      <c r="A20" s="335">
        <v>15.0</v>
      </c>
      <c r="B20" s="336" t="str">
        <f>IFERROR(__xludf.DUMMYFUNCTION("""COMPUTED_VALUE"""),"INFAN247")</f>
        <v>INFAN247</v>
      </c>
      <c r="C20" s="336" t="s">
        <v>1229</v>
      </c>
      <c r="D20" s="337">
        <v>5.6010001005198E13</v>
      </c>
      <c r="E20" s="338" t="s">
        <v>134</v>
      </c>
      <c r="F20" s="338" t="s">
        <v>90</v>
      </c>
      <c r="G20" s="338">
        <f>iferror(sumifs('Hợp tác'!G:G,'Hợp tác'!A:A,B20,'Hợp tác'!H:H,$G$2,'Hợp tác'!I:I,$I$2),"")</f>
        <v>500000</v>
      </c>
      <c r="H20" s="339">
        <f>SUMIFS(View!J:J,View!B:B,B20)</f>
        <v>1500000</v>
      </c>
      <c r="I20" s="339">
        <f>sumifs('Hoa Hồng'!L:L,'Hoa Hồng'!A:A,B20)</f>
        <v>0</v>
      </c>
      <c r="J20" s="340">
        <v>2000000.0</v>
      </c>
      <c r="K20" s="333" t="s">
        <v>1211</v>
      </c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</row>
    <row r="21" ht="16.5" customHeight="1">
      <c r="A21" s="335">
        <v>16.0</v>
      </c>
      <c r="B21" s="336" t="str">
        <f>IFERROR(__xludf.DUMMYFUNCTION("""COMPUTED_VALUE"""),"INFLY457")</f>
        <v>INFLY457</v>
      </c>
      <c r="C21" s="336" t="s">
        <v>27</v>
      </c>
      <c r="D21" s="337" t="s">
        <v>1230</v>
      </c>
      <c r="E21" s="338" t="s">
        <v>32</v>
      </c>
      <c r="F21" s="338" t="s">
        <v>19</v>
      </c>
      <c r="G21" s="338">
        <f>iferror(sumifs('Hợp tác'!G:G,'Hợp tác'!A:A,B21,'Hợp tác'!H:H,$G$2,'Hợp tác'!I:I,$I$2),"")</f>
        <v>1000000</v>
      </c>
      <c r="H21" s="339">
        <f>SUMIFS(View!J:J,View!B:B,B21)</f>
        <v>1000000</v>
      </c>
      <c r="I21" s="339">
        <f>sumifs('Hoa Hồng'!L:L,'Hoa Hồng'!A:A,B21)</f>
        <v>0</v>
      </c>
      <c r="J21" s="340">
        <v>2000000.0</v>
      </c>
      <c r="K21" s="333" t="s">
        <v>1211</v>
      </c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</row>
    <row r="22" ht="16.5" customHeight="1">
      <c r="A22" s="329"/>
      <c r="B22" s="329" t="str">
        <f>IFERROR(__xludf.DUMMYFUNCTION("""COMPUTED_VALUE"""),"INFHUONG003")</f>
        <v>INFHUONG003</v>
      </c>
      <c r="C22" s="329" t="s">
        <v>1231</v>
      </c>
      <c r="D22" s="331" t="s">
        <v>1232</v>
      </c>
      <c r="E22" s="331"/>
      <c r="F22" s="331"/>
      <c r="G22" s="331">
        <f>iferror(sumifs('Hợp tác'!G:G,'Hợp tác'!A:A,B22,'Hợp tác'!H:H,$G$2,'Hợp tác'!I:I,$I$2),"")</f>
        <v>0</v>
      </c>
      <c r="H22" s="332">
        <f>SUMIFS(View!J:J,View!B:B,B22)</f>
        <v>0</v>
      </c>
      <c r="I22" s="332">
        <f>sumifs('Hoa Hồng'!L:L,'Hoa Hồng'!A:A,B22)</f>
        <v>0</v>
      </c>
      <c r="J22" s="332">
        <v>0.0</v>
      </c>
      <c r="K22" s="333" t="s">
        <v>1211</v>
      </c>
      <c r="L22" s="334"/>
      <c r="M22" s="334"/>
      <c r="N22" s="334"/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4"/>
      <c r="AA22" s="334"/>
      <c r="AB22" s="334"/>
      <c r="AC22" s="334"/>
      <c r="AD22" s="334"/>
    </row>
    <row r="23" ht="16.5" customHeight="1">
      <c r="A23" s="335">
        <v>17.0</v>
      </c>
      <c r="B23" s="336" t="str">
        <f>IFERROR(__xludf.DUMMYFUNCTION("""COMPUTED_VALUE"""),"INFLONG121")</f>
        <v>INFLONG121</v>
      </c>
      <c r="C23" s="336" t="s">
        <v>1233</v>
      </c>
      <c r="D23" s="337">
        <v>5.311000092362E13</v>
      </c>
      <c r="E23" s="338" t="s">
        <v>1234</v>
      </c>
      <c r="F23" s="338" t="s">
        <v>90</v>
      </c>
      <c r="G23" s="338">
        <f>iferror(sumifs('Hợp tác'!G:G,'Hợp tác'!A:A,B23,'Hợp tác'!H:H,$G$2,'Hợp tác'!I:I,$I$2),"")</f>
        <v>500000</v>
      </c>
      <c r="H23" s="339">
        <f>SUMIFS(View!J:J,View!B:B,B23)</f>
        <v>0</v>
      </c>
      <c r="I23" s="339">
        <f>sumifs('Hoa Hồng'!L:L,'Hoa Hồng'!A:A,B23)</f>
        <v>0</v>
      </c>
      <c r="J23" s="340">
        <v>500000.0</v>
      </c>
      <c r="K23" s="333" t="s">
        <v>1211</v>
      </c>
      <c r="L23" s="320"/>
      <c r="M23" s="320"/>
      <c r="N23" s="320"/>
      <c r="O23" s="320"/>
      <c r="P23" s="320"/>
      <c r="Q23" s="320"/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</row>
    <row r="24" ht="16.5" customHeight="1">
      <c r="A24" s="335">
        <v>18.0</v>
      </c>
      <c r="B24" s="336" t="str">
        <f>IFERROR(__xludf.DUMMYFUNCTION("""COMPUTED_VALUE"""),"INFNHUNG305")</f>
        <v>INFNHUNG305</v>
      </c>
      <c r="C24" s="336" t="s">
        <v>350</v>
      </c>
      <c r="D24" s="337">
        <v>1.903562228201E13</v>
      </c>
      <c r="E24" s="338" t="s">
        <v>350</v>
      </c>
      <c r="F24" s="338" t="s">
        <v>48</v>
      </c>
      <c r="G24" s="338">
        <f>iferror(sumifs('Hợp tác'!G:G,'Hợp tác'!A:A,B24,'Hợp tác'!H:H,$G$2,'Hợp tác'!I:I,$I$2),"")</f>
        <v>1000000</v>
      </c>
      <c r="H24" s="339">
        <f>SUMIFS(View!J:J,View!B:B,B24)</f>
        <v>1500000</v>
      </c>
      <c r="I24" s="339">
        <f>sumifs('Hoa Hồng'!L:L,'Hoa Hồng'!A:A,B24)</f>
        <v>0</v>
      </c>
      <c r="J24" s="340">
        <v>2500000.0</v>
      </c>
      <c r="K24" s="333" t="s">
        <v>1211</v>
      </c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</row>
    <row r="25" ht="16.5" customHeight="1">
      <c r="A25" s="335">
        <v>19.0</v>
      </c>
      <c r="B25" s="336" t="str">
        <f>IFERROR(__xludf.DUMMYFUNCTION("""COMPUTED_VALUE"""),"INFLINH548")</f>
        <v>INFLINH548</v>
      </c>
      <c r="C25" s="336" t="s">
        <v>33</v>
      </c>
      <c r="D25" s="337">
        <v>1.8810000020927E13</v>
      </c>
      <c r="E25" s="338" t="s">
        <v>36</v>
      </c>
      <c r="F25" s="338" t="s">
        <v>1235</v>
      </c>
      <c r="G25" s="338">
        <f>iferror(sumifs('Hợp tác'!G:G,'Hợp tác'!A:A,B25,'Hợp tác'!H:H,$G$2,'Hợp tác'!I:I,$I$2),"")</f>
        <v>500000</v>
      </c>
      <c r="H25" s="339">
        <f>SUMIFS(View!J:J,View!B:B,B25)</f>
        <v>0</v>
      </c>
      <c r="I25" s="339">
        <f>sumifs('Hoa Hồng'!L:L,'Hoa Hồng'!A:A,B25)</f>
        <v>0</v>
      </c>
      <c r="J25" s="340">
        <v>500000.0</v>
      </c>
      <c r="K25" s="333" t="s">
        <v>1211</v>
      </c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</row>
    <row r="26" ht="16.5" customHeight="1">
      <c r="A26" s="335">
        <v>20.0</v>
      </c>
      <c r="B26" s="336" t="str">
        <f>IFERROR(__xludf.DUMMYFUNCTION("""COMPUTED_VALUE"""),"INFHANG536")</f>
        <v>INFHANG536</v>
      </c>
      <c r="C26" s="336" t="s">
        <v>1236</v>
      </c>
      <c r="D26" s="337">
        <v>6.001010706814E12</v>
      </c>
      <c r="E26" s="338" t="s">
        <v>356</v>
      </c>
      <c r="F26" s="338" t="s">
        <v>1237</v>
      </c>
      <c r="G26" s="338">
        <f>iferror(sumifs('Hợp tác'!G:G,'Hợp tác'!A:A,B26,'Hợp tác'!H:H,$G$2,'Hợp tác'!I:I,$I$2),"")</f>
        <v>500000</v>
      </c>
      <c r="H26" s="339">
        <f>SUMIFS(View!J:J,View!B:B,B26)</f>
        <v>1000000</v>
      </c>
      <c r="I26" s="339">
        <f>sumifs('Hoa Hồng'!L:L,'Hoa Hồng'!A:A,B26)</f>
        <v>0</v>
      </c>
      <c r="J26" s="340">
        <v>1500000.0</v>
      </c>
      <c r="K26" s="333" t="s">
        <v>1211</v>
      </c>
      <c r="L26" s="320"/>
      <c r="M26" s="320"/>
      <c r="N26" s="320"/>
      <c r="O26" s="320"/>
      <c r="P26" s="320"/>
      <c r="Q26" s="320"/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</row>
    <row r="27" ht="16.5" customHeight="1">
      <c r="A27" s="335">
        <v>21.0</v>
      </c>
      <c r="B27" s="336" t="str">
        <f>IFERROR(__xludf.DUMMYFUNCTION("""COMPUTED_VALUE"""),"INFNHI579")</f>
        <v>INFNHI579</v>
      </c>
      <c r="C27" s="336" t="s">
        <v>1238</v>
      </c>
      <c r="D27" s="337">
        <v>1.9035282198011E13</v>
      </c>
      <c r="E27" s="338" t="s">
        <v>360</v>
      </c>
      <c r="F27" s="338" t="s">
        <v>48</v>
      </c>
      <c r="G27" s="338">
        <f>iferror(sumifs('Hợp tác'!G:G,'Hợp tác'!A:A,B27,'Hợp tác'!H:H,$G$2,'Hợp tác'!I:I,$I$2),"")</f>
        <v>1000000</v>
      </c>
      <c r="H27" s="339">
        <f>SUMIFS(View!J:J,View!B:B,B27)</f>
        <v>0</v>
      </c>
      <c r="I27" s="339">
        <f>sumifs('Hoa Hồng'!L:L,'Hoa Hồng'!A:A,B27)</f>
        <v>0</v>
      </c>
      <c r="J27" s="340">
        <v>1000000.0</v>
      </c>
      <c r="K27" s="333" t="s">
        <v>1211</v>
      </c>
      <c r="L27" s="320"/>
      <c r="M27" s="320"/>
      <c r="N27" s="320"/>
      <c r="O27" s="320"/>
      <c r="P27" s="320"/>
      <c r="Q27" s="320"/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</row>
    <row r="28" ht="16.5" customHeight="1">
      <c r="A28" s="335">
        <v>22.0</v>
      </c>
      <c r="B28" s="336" t="str">
        <f>IFERROR(__xludf.DUMMYFUNCTION("""COMPUTED_VALUE"""),"INFTU694")</f>
        <v>INFTU694</v>
      </c>
      <c r="C28" s="336" t="s">
        <v>1239</v>
      </c>
      <c r="D28" s="337">
        <v>1.0195747E7</v>
      </c>
      <c r="E28" s="338" t="s">
        <v>138</v>
      </c>
      <c r="F28" s="338" t="s">
        <v>1240</v>
      </c>
      <c r="G28" s="338">
        <f>iferror(sumifs('Hợp tác'!G:G,'Hợp tác'!A:A,B28,'Hợp tác'!H:H,$G$2,'Hợp tác'!I:I,$I$2),"")</f>
        <v>500000</v>
      </c>
      <c r="H28" s="339">
        <f>SUMIFS(View!J:J,View!B:B,B28)</f>
        <v>0</v>
      </c>
      <c r="I28" s="339">
        <f>sumifs('Hoa Hồng'!L:L,'Hoa Hồng'!A:A,B28)</f>
        <v>0</v>
      </c>
      <c r="J28" s="340">
        <v>500000.0</v>
      </c>
      <c r="K28" s="333" t="s">
        <v>1211</v>
      </c>
      <c r="L28" s="320"/>
      <c r="M28" s="320"/>
      <c r="N28" s="320"/>
      <c r="O28" s="320"/>
      <c r="P28" s="320"/>
      <c r="Q28" s="320"/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320"/>
    </row>
    <row r="29" ht="16.5" customHeight="1">
      <c r="A29" s="335">
        <v>23.0</v>
      </c>
      <c r="B29" s="336" t="str">
        <f>IFERROR(__xludf.DUMMYFUNCTION("""COMPUTED_VALUE"""),"INFHIEN432")</f>
        <v>INFHIEN432</v>
      </c>
      <c r="C29" s="336" t="s">
        <v>1241</v>
      </c>
      <c r="D29" s="337">
        <v>1.9034190908014E13</v>
      </c>
      <c r="E29" s="338" t="s">
        <v>144</v>
      </c>
      <c r="F29" s="338" t="s">
        <v>1242</v>
      </c>
      <c r="G29" s="338">
        <f>iferror(sumifs('Hợp tác'!G:G,'Hợp tác'!A:A,B29,'Hợp tác'!H:H,$G$2,'Hợp tác'!I:I,$I$2),"")</f>
        <v>500000</v>
      </c>
      <c r="H29" s="339">
        <f>SUMIFS(View!J:J,View!B:B,B29)</f>
        <v>4500000</v>
      </c>
      <c r="I29" s="339">
        <f>sumifs('Hoa Hồng'!L:L,'Hoa Hồng'!A:A,B29)</f>
        <v>0</v>
      </c>
      <c r="J29" s="340">
        <v>5000000.0</v>
      </c>
      <c r="K29" s="333" t="s">
        <v>1211</v>
      </c>
      <c r="L29" s="320"/>
      <c r="M29" s="320"/>
      <c r="N29" s="320"/>
      <c r="O29" s="320"/>
      <c r="P29" s="320"/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</row>
    <row r="30" ht="16.5" customHeight="1">
      <c r="A30" s="329"/>
      <c r="B30" s="329" t="str">
        <f>IFERROR(__xludf.DUMMYFUNCTION("""COMPUTED_VALUE"""),"INFTHU171")</f>
        <v>INFTHU171</v>
      </c>
      <c r="C30" s="329" t="s">
        <v>1243</v>
      </c>
      <c r="D30" s="330">
        <v>4121837.0</v>
      </c>
      <c r="E30" s="331" t="s">
        <v>1243</v>
      </c>
      <c r="F30" s="331" t="s">
        <v>1244</v>
      </c>
      <c r="G30" s="331">
        <f>iferror(sumifs('Hợp tác'!G:G,'Hợp tác'!A:A,B30,'Hợp tác'!H:H,$G$2,'Hợp tác'!I:I,$I$2),"")</f>
        <v>0</v>
      </c>
      <c r="H30" s="332">
        <f>SUMIFS(View!J:J,View!B:B,B30)</f>
        <v>0</v>
      </c>
      <c r="I30" s="332">
        <f>sumifs('Hoa Hồng'!L:L,'Hoa Hồng'!A:A,B30)</f>
        <v>0</v>
      </c>
      <c r="J30" s="332">
        <v>0.0</v>
      </c>
      <c r="K30" s="333" t="s">
        <v>1211</v>
      </c>
      <c r="L30" s="334"/>
      <c r="M30" s="334"/>
      <c r="N30" s="334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4"/>
      <c r="AA30" s="334"/>
      <c r="AB30" s="334"/>
      <c r="AC30" s="334"/>
      <c r="AD30" s="334"/>
    </row>
    <row r="31" ht="16.5" customHeight="1">
      <c r="A31" s="335">
        <v>24.0</v>
      </c>
      <c r="B31" s="336" t="str">
        <f>IFERROR(__xludf.DUMMYFUNCTION("""COMPUTED_VALUE"""),"INFVI868")</f>
        <v>INFVI868</v>
      </c>
      <c r="C31" s="336" t="s">
        <v>40</v>
      </c>
      <c r="D31" s="337">
        <v>1.051000276204E12</v>
      </c>
      <c r="E31" s="338" t="s">
        <v>1245</v>
      </c>
      <c r="F31" s="338" t="s">
        <v>39</v>
      </c>
      <c r="G31" s="338">
        <f>iferror(sumifs('Hợp tác'!G:G,'Hợp tác'!A:A,B31,'Hợp tác'!H:H,$G$2,'Hợp tác'!I:I,$I$2),"")</f>
        <v>1000000</v>
      </c>
      <c r="H31" s="339">
        <f>SUMIFS(View!J:J,View!B:B,B31)</f>
        <v>1000000</v>
      </c>
      <c r="I31" s="339">
        <f>sumifs('Hoa Hồng'!L:L,'Hoa Hồng'!A:A,B31)</f>
        <v>0</v>
      </c>
      <c r="J31" s="340">
        <v>2000000.0</v>
      </c>
      <c r="K31" s="333" t="s">
        <v>1211</v>
      </c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</row>
    <row r="32" ht="16.5" customHeight="1">
      <c r="A32" s="335">
        <v>25.0</v>
      </c>
      <c r="B32" s="336" t="str">
        <f>IFERROR(__xludf.DUMMYFUNCTION("""COMPUTED_VALUE"""),"INFTHUYET316")</f>
        <v>INFTHUYET316</v>
      </c>
      <c r="C32" s="336" t="s">
        <v>145</v>
      </c>
      <c r="D32" s="337">
        <v>1.9035425982019E13</v>
      </c>
      <c r="E32" s="338" t="s">
        <v>1246</v>
      </c>
      <c r="F32" s="338" t="s">
        <v>149</v>
      </c>
      <c r="G32" s="338">
        <f>iferror(sumifs('Hợp tác'!G:G,'Hợp tác'!A:A,B32,'Hợp tác'!H:H,$G$2,'Hợp tác'!I:I,$I$2),"")</f>
        <v>1000000</v>
      </c>
      <c r="H32" s="339">
        <f>SUMIFS(View!J:J,View!B:B,B32)</f>
        <v>19000000</v>
      </c>
      <c r="I32" s="339">
        <f>sumifs('Hoa Hồng'!L:L,'Hoa Hồng'!A:A,B32)</f>
        <v>0</v>
      </c>
      <c r="J32" s="340">
        <v>2.0E7</v>
      </c>
      <c r="K32" s="333" t="s">
        <v>1211</v>
      </c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</row>
    <row r="33" ht="16.5" customHeight="1">
      <c r="A33" s="335">
        <v>26.0</v>
      </c>
      <c r="B33" s="336" t="str">
        <f>IFERROR(__xludf.DUMMYFUNCTION("""COMPUTED_VALUE"""),"INFTHANG040")</f>
        <v>INFTHANG040</v>
      </c>
      <c r="C33" s="336" t="s">
        <v>404</v>
      </c>
      <c r="D33" s="337">
        <v>1.9033610635012E13</v>
      </c>
      <c r="E33" s="338" t="s">
        <v>404</v>
      </c>
      <c r="F33" s="338" t="s">
        <v>48</v>
      </c>
      <c r="G33" s="338">
        <f>iferror(sumifs('Hợp tác'!G:G,'Hợp tác'!A:A,B33,'Hợp tác'!H:H,$G$2,'Hợp tác'!I:I,$I$2),"")</f>
        <v>500000</v>
      </c>
      <c r="H33" s="339">
        <f>SUMIFS(View!J:J,View!B:B,B33)</f>
        <v>0</v>
      </c>
      <c r="I33" s="339">
        <f>sumifs('Hoa Hồng'!L:L,'Hoa Hồng'!A:A,B33)</f>
        <v>0</v>
      </c>
      <c r="J33" s="340">
        <v>500000.0</v>
      </c>
      <c r="K33" s="333" t="s">
        <v>1211</v>
      </c>
      <c r="L33" s="320"/>
      <c r="M33" s="320"/>
      <c r="N33" s="320"/>
      <c r="O33" s="320"/>
      <c r="P33" s="320"/>
      <c r="Q33" s="320"/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</row>
    <row r="34" ht="16.5" customHeight="1">
      <c r="A34" s="335">
        <v>27.0</v>
      </c>
      <c r="B34" s="336" t="str">
        <f>IFERROR(__xludf.DUMMYFUNCTION("""COMPUTED_VALUE"""),"INFNGOC361")</f>
        <v>INFNGOC361</v>
      </c>
      <c r="C34" s="336" t="s">
        <v>1247</v>
      </c>
      <c r="D34" s="337">
        <v>1.231000094475E13</v>
      </c>
      <c r="E34" s="338" t="s">
        <v>376</v>
      </c>
      <c r="F34" s="338" t="s">
        <v>1248</v>
      </c>
      <c r="G34" s="338">
        <f>iferror(sumifs('Hợp tác'!G:G,'Hợp tác'!A:A,B34,'Hợp tác'!H:H,$G$2,'Hợp tác'!I:I,$I$2),"")</f>
        <v>1000000</v>
      </c>
      <c r="H34" s="339">
        <f>SUMIFS(View!J:J,View!B:B,B34)</f>
        <v>1000000</v>
      </c>
      <c r="I34" s="339">
        <f>sumifs('Hoa Hồng'!L:L,'Hoa Hồng'!A:A,B34)</f>
        <v>0</v>
      </c>
      <c r="J34" s="340">
        <v>2000000.0</v>
      </c>
      <c r="K34" s="333" t="s">
        <v>1211</v>
      </c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</row>
    <row r="35" ht="16.5" customHeight="1">
      <c r="A35" s="335">
        <v>28.0</v>
      </c>
      <c r="B35" s="336" t="str">
        <f>IFERROR(__xludf.DUMMYFUNCTION("""COMPUTED_VALUE"""),"INFHAN224")</f>
        <v>INFHAN224</v>
      </c>
      <c r="C35" s="336" t="s">
        <v>1249</v>
      </c>
      <c r="D35" s="337">
        <v>1.9036532855018E13</v>
      </c>
      <c r="E35" s="338" t="s">
        <v>1250</v>
      </c>
      <c r="F35" s="338" t="s">
        <v>1251</v>
      </c>
      <c r="G35" s="338">
        <f>iferror(sumifs('Hợp tác'!G:G,'Hợp tác'!A:A,B35,'Hợp tác'!H:H,$G$2,'Hợp tác'!I:I,$I$2),"")</f>
        <v>1000000</v>
      </c>
      <c r="H35" s="339">
        <f>SUMIFS(View!J:J,View!B:B,B35)</f>
        <v>0</v>
      </c>
      <c r="I35" s="339">
        <f>sumifs('Hoa Hồng'!L:L,'Hoa Hồng'!A:A,B35)</f>
        <v>0</v>
      </c>
      <c r="J35" s="340">
        <v>1000000.0</v>
      </c>
      <c r="K35" s="333" t="s">
        <v>1211</v>
      </c>
      <c r="L35" s="320"/>
      <c r="M35" s="320"/>
      <c r="N35" s="320"/>
      <c r="O35" s="320"/>
      <c r="P35" s="320"/>
      <c r="Q35" s="320"/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</row>
    <row r="36" ht="16.5" customHeight="1">
      <c r="A36" s="335">
        <v>29.0</v>
      </c>
      <c r="B36" s="336" t="str">
        <f>IFERROR(__xludf.DUMMYFUNCTION("""COMPUTED_VALUE"""),"INFLY965")</f>
        <v>INFLY965</v>
      </c>
      <c r="C36" s="336" t="s">
        <v>1252</v>
      </c>
      <c r="D36" s="337">
        <v>1.9033440819016E13</v>
      </c>
      <c r="E36" s="338" t="s">
        <v>155</v>
      </c>
      <c r="F36" s="338" t="s">
        <v>48</v>
      </c>
      <c r="G36" s="338">
        <f>iferror(sumifs('Hợp tác'!G:G,'Hợp tác'!A:A,B36,'Hợp tác'!H:H,$G$2,'Hợp tác'!I:I,$I$2),"")</f>
        <v>500000</v>
      </c>
      <c r="H36" s="339">
        <f>SUMIFS(View!J:J,View!B:B,B36)</f>
        <v>2500000</v>
      </c>
      <c r="I36" s="339">
        <f>sumifs('Hoa Hồng'!L:L,'Hoa Hồng'!A:A,B36)</f>
        <v>0</v>
      </c>
      <c r="J36" s="340">
        <v>3000000.0</v>
      </c>
      <c r="K36" s="333" t="s">
        <v>1211</v>
      </c>
      <c r="L36" s="320"/>
      <c r="M36" s="320"/>
      <c r="N36" s="320"/>
      <c r="O36" s="320"/>
      <c r="P36" s="320"/>
      <c r="Q36" s="320"/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</row>
    <row r="37" ht="16.5" customHeight="1">
      <c r="A37" s="335">
        <v>30.0</v>
      </c>
      <c r="B37" s="336" t="str">
        <f>IFERROR(__xludf.DUMMYFUNCTION("""COMPUTED_VALUE"""),"INFCHINH015")</f>
        <v>INFCHINH015</v>
      </c>
      <c r="C37" s="336" t="s">
        <v>1253</v>
      </c>
      <c r="D37" s="337">
        <v>6.3510000782907E13</v>
      </c>
      <c r="E37" s="338" t="s">
        <v>379</v>
      </c>
      <c r="F37" s="338" t="s">
        <v>1248</v>
      </c>
      <c r="G37" s="338">
        <f>iferror(sumifs('Hợp tác'!G:G,'Hợp tác'!A:A,B37,'Hợp tác'!H:H,$G$2,'Hợp tác'!I:I,$I$2),"")</f>
        <v>500000</v>
      </c>
      <c r="H37" s="339">
        <f>SUMIFS(View!J:J,View!B:B,B37)</f>
        <v>0</v>
      </c>
      <c r="I37" s="339">
        <f>sumifs('Hoa Hồng'!L:L,'Hoa Hồng'!A:A,B37)</f>
        <v>0</v>
      </c>
      <c r="J37" s="340">
        <v>500000.0</v>
      </c>
      <c r="K37" s="333" t="s">
        <v>1211</v>
      </c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</row>
    <row r="38" ht="16.5" customHeight="1">
      <c r="A38" s="335">
        <v>31.0</v>
      </c>
      <c r="B38" s="336" t="str">
        <f>IFERROR(__xludf.DUMMYFUNCTION("""COMPUTED_VALUE"""),"INFDANG045")</f>
        <v>INFDANG045</v>
      </c>
      <c r="C38" s="336" t="s">
        <v>384</v>
      </c>
      <c r="D38" s="337" t="s">
        <v>1254</v>
      </c>
      <c r="E38" s="338" t="s">
        <v>384</v>
      </c>
      <c r="F38" s="338" t="s">
        <v>19</v>
      </c>
      <c r="G38" s="338">
        <f>iferror(sumifs('Hợp tác'!G:G,'Hợp tác'!A:A,B38,'Hợp tác'!H:H,$G$2,'Hợp tác'!I:I,$I$2),"")</f>
        <v>500000</v>
      </c>
      <c r="H38" s="339">
        <f>SUMIFS(View!J:J,View!B:B,B38)</f>
        <v>0</v>
      </c>
      <c r="I38" s="339">
        <f>sumifs('Hoa Hồng'!L:L,'Hoa Hồng'!A:A,B38)</f>
        <v>0</v>
      </c>
      <c r="J38" s="340">
        <v>500000.0</v>
      </c>
      <c r="K38" s="333" t="s">
        <v>1211</v>
      </c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</row>
    <row r="39" ht="16.5" customHeight="1">
      <c r="A39" s="335">
        <v>32.0</v>
      </c>
      <c r="B39" s="336" t="str">
        <f>IFERROR(__xludf.DUMMYFUNCTION("""COMPUTED_VALUE"""),"INFAN937")</f>
        <v>INFAN937</v>
      </c>
      <c r="C39" s="336" t="s">
        <v>159</v>
      </c>
      <c r="D39" s="337">
        <v>1.9034102620014E13</v>
      </c>
      <c r="E39" s="338" t="s">
        <v>159</v>
      </c>
      <c r="F39" s="338" t="s">
        <v>1255</v>
      </c>
      <c r="G39" s="338">
        <f>iferror(sumifs('Hợp tác'!G:G,'Hợp tác'!A:A,B39,'Hợp tác'!H:H,$G$2,'Hợp tác'!I:I,$I$2),"")</f>
        <v>1000000</v>
      </c>
      <c r="H39" s="339">
        <f>SUMIFS(View!J:J,View!B:B,B39)</f>
        <v>500000</v>
      </c>
      <c r="I39" s="339">
        <f>sumifs('Hoa Hồng'!L:L,'Hoa Hồng'!A:A,B39)</f>
        <v>0</v>
      </c>
      <c r="J39" s="340">
        <v>1500000.0</v>
      </c>
      <c r="K39" s="333" t="s">
        <v>1211</v>
      </c>
      <c r="L39" s="320"/>
      <c r="M39" s="320"/>
      <c r="N39" s="320"/>
      <c r="O39" s="320"/>
      <c r="P39" s="320"/>
      <c r="Q39" s="320"/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</row>
    <row r="40" ht="16.5" customHeight="1">
      <c r="A40" s="335">
        <v>33.0</v>
      </c>
      <c r="B40" s="336" t="str">
        <f>IFERROR(__xludf.DUMMYFUNCTION("""COMPUTED_VALUE"""),"INFTOAN673")</f>
        <v>INFTOAN673</v>
      </c>
      <c r="C40" s="336" t="s">
        <v>1256</v>
      </c>
      <c r="D40" s="337">
        <v>4.50100061168E11</v>
      </c>
      <c r="E40" s="338" t="s">
        <v>1257</v>
      </c>
      <c r="F40" s="338" t="s">
        <v>1258</v>
      </c>
      <c r="G40" s="338">
        <f>iferror(sumifs('Hợp tác'!G:G,'Hợp tác'!A:A,B40,'Hợp tác'!H:H,$G$2,'Hợp tác'!I:I,$I$2),"")</f>
        <v>500000</v>
      </c>
      <c r="H40" s="339">
        <f>SUMIFS(View!J:J,View!B:B,B40)</f>
        <v>0</v>
      </c>
      <c r="I40" s="339">
        <f>sumifs('Hoa Hồng'!L:L,'Hoa Hồng'!A:A,B40)</f>
        <v>0</v>
      </c>
      <c r="J40" s="340">
        <v>500000.0</v>
      </c>
      <c r="K40" s="333" t="s">
        <v>1211</v>
      </c>
      <c r="L40" s="320"/>
      <c r="M40" s="320"/>
      <c r="N40" s="320"/>
      <c r="O40" s="320"/>
      <c r="P40" s="320"/>
      <c r="Q40" s="320"/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</row>
    <row r="41" ht="16.5" customHeight="1">
      <c r="A41" s="335">
        <v>34.0</v>
      </c>
      <c r="B41" s="336" t="str">
        <f>IFERROR(__xludf.DUMMYFUNCTION("""COMPUTED_VALUE"""),"INFTOAN565")</f>
        <v>INFTOAN565</v>
      </c>
      <c r="C41" s="336" t="s">
        <v>1259</v>
      </c>
      <c r="D41" s="337">
        <v>6.36704060047733E14</v>
      </c>
      <c r="E41" s="338" t="s">
        <v>390</v>
      </c>
      <c r="F41" s="338" t="s">
        <v>389</v>
      </c>
      <c r="G41" s="338">
        <f>iferror(sumifs('Hợp tác'!G:G,'Hợp tác'!A:A,B41,'Hợp tác'!H:H,$G$2,'Hợp tác'!I:I,$I$2),"")</f>
        <v>500000</v>
      </c>
      <c r="H41" s="339">
        <f>SUMIFS(View!J:J,View!B:B,B41)</f>
        <v>4500000</v>
      </c>
      <c r="I41" s="339">
        <f>sumifs('Hoa Hồng'!L:L,'Hoa Hồng'!A:A,B41)</f>
        <v>0</v>
      </c>
      <c r="J41" s="340">
        <v>5000000.0</v>
      </c>
      <c r="K41" s="333" t="s">
        <v>1211</v>
      </c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</row>
    <row r="42" ht="16.5" customHeight="1">
      <c r="A42" s="329"/>
      <c r="B42" s="329" t="str">
        <f>IFERROR(__xludf.DUMMYFUNCTION("""COMPUTED_VALUE"""),"INFDUY201")</f>
        <v>INFDUY201</v>
      </c>
      <c r="C42" s="329" t="s">
        <v>1260</v>
      </c>
      <c r="D42" s="331"/>
      <c r="E42" s="331"/>
      <c r="F42" s="331"/>
      <c r="G42" s="331">
        <f>iferror(sumifs('Hợp tác'!G:G,'Hợp tác'!A:A,B42,'Hợp tác'!H:H,$G$2,'Hợp tác'!I:I,$I$2),"")</f>
        <v>0</v>
      </c>
      <c r="H42" s="332">
        <f>SUMIFS(View!J:J,View!B:B,B42)</f>
        <v>0</v>
      </c>
      <c r="I42" s="332">
        <f>sumifs('Hoa Hồng'!L:L,'Hoa Hồng'!A:A,B42)</f>
        <v>0</v>
      </c>
      <c r="J42" s="332">
        <v>0.0</v>
      </c>
      <c r="K42" s="333" t="s">
        <v>1211</v>
      </c>
      <c r="L42" s="334"/>
      <c r="M42" s="334"/>
      <c r="N42" s="334"/>
      <c r="O42" s="334"/>
      <c r="P42" s="334"/>
      <c r="Q42" s="334"/>
      <c r="R42" s="334"/>
      <c r="S42" s="334"/>
      <c r="T42" s="334"/>
      <c r="U42" s="334"/>
      <c r="V42" s="334"/>
      <c r="W42" s="334"/>
      <c r="X42" s="334"/>
      <c r="Y42" s="334"/>
      <c r="Z42" s="334"/>
      <c r="AA42" s="334"/>
      <c r="AB42" s="334"/>
      <c r="AC42" s="334"/>
      <c r="AD42" s="334"/>
    </row>
    <row r="43" ht="16.5" customHeight="1">
      <c r="A43" s="335">
        <v>35.0</v>
      </c>
      <c r="B43" s="336" t="str">
        <f>IFERROR(__xludf.DUMMYFUNCTION("""COMPUTED_VALUE"""),"INFTHINH473")</f>
        <v>INFTHINH473</v>
      </c>
      <c r="C43" s="336" t="s">
        <v>1261</v>
      </c>
      <c r="D43" s="337" t="s">
        <v>395</v>
      </c>
      <c r="E43" s="338" t="s">
        <v>1262</v>
      </c>
      <c r="F43" s="338" t="s">
        <v>19</v>
      </c>
      <c r="G43" s="338">
        <f>iferror(sumifs('Hợp tác'!G:G,'Hợp tác'!A:A,B43,'Hợp tác'!H:H,$G$2,'Hợp tác'!I:I,$I$2),"")</f>
        <v>1000000</v>
      </c>
      <c r="H43" s="339">
        <f>SUMIFS(View!J:J,View!B:B,B43)</f>
        <v>17000000</v>
      </c>
      <c r="I43" s="339">
        <f>sumifs('Hoa Hồng'!L:L,'Hoa Hồng'!A:A,B43)</f>
        <v>0</v>
      </c>
      <c r="J43" s="340">
        <v>1.8E7</v>
      </c>
      <c r="K43" s="333" t="s">
        <v>1211</v>
      </c>
      <c r="L43" s="320"/>
      <c r="M43" s="320"/>
      <c r="N43" s="320"/>
      <c r="O43" s="320"/>
      <c r="P43" s="320"/>
      <c r="Q43" s="320"/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</row>
    <row r="44" ht="16.5" customHeight="1">
      <c r="A44" s="329"/>
      <c r="B44" s="329" t="str">
        <f>IFERROR(__xludf.DUMMYFUNCTION("""COMPUTED_VALUE"""),"INFHUONG814")</f>
        <v>INFHUONG814</v>
      </c>
      <c r="C44" s="329" t="s">
        <v>1231</v>
      </c>
      <c r="D44" s="331" t="s">
        <v>1263</v>
      </c>
      <c r="E44" s="331"/>
      <c r="F44" s="331"/>
      <c r="G44" s="331">
        <f>iferror(sumifs('Hợp tác'!G:G,'Hợp tác'!A:A,B44,'Hợp tác'!H:H,$G$2,'Hợp tác'!I:I,$I$2),"")</f>
        <v>0</v>
      </c>
      <c r="H44" s="332">
        <f>SUMIFS(View!J:J,View!B:B,B44)</f>
        <v>0</v>
      </c>
      <c r="I44" s="332">
        <f>sumifs('Hoa Hồng'!L:L,'Hoa Hồng'!A:A,B44)</f>
        <v>0</v>
      </c>
      <c r="J44" s="332">
        <v>0.0</v>
      </c>
      <c r="K44" s="333" t="s">
        <v>1211</v>
      </c>
      <c r="L44" s="334"/>
      <c r="M44" s="334"/>
      <c r="N44" s="334"/>
      <c r="O44" s="334"/>
      <c r="P44" s="334"/>
      <c r="Q44" s="334"/>
      <c r="R44" s="334"/>
      <c r="S44" s="334"/>
      <c r="T44" s="334"/>
      <c r="U44" s="334"/>
      <c r="V44" s="334"/>
      <c r="W44" s="334"/>
      <c r="X44" s="334"/>
      <c r="Y44" s="334"/>
      <c r="Z44" s="334"/>
      <c r="AA44" s="334"/>
      <c r="AB44" s="334"/>
      <c r="AC44" s="334"/>
      <c r="AD44" s="334"/>
    </row>
    <row r="45" ht="16.5" customHeight="1">
      <c r="A45" s="329"/>
      <c r="B45" s="329" t="str">
        <f>IFERROR(__xludf.DUMMYFUNCTION("""COMPUTED_VALUE"""),"INFHUONG090")</f>
        <v>INFHUONG090</v>
      </c>
      <c r="C45" s="329" t="s">
        <v>1264</v>
      </c>
      <c r="D45" s="331">
        <v>1.9032804008012E13</v>
      </c>
      <c r="E45" s="331" t="s">
        <v>1264</v>
      </c>
      <c r="F45" s="331" t="s">
        <v>48</v>
      </c>
      <c r="G45" s="331">
        <f>iferror(sumifs('Hợp tác'!G:G,'Hợp tác'!A:A,B45,'Hợp tác'!H:H,$G$2,'Hợp tác'!I:I,$I$2),"")</f>
        <v>1000000</v>
      </c>
      <c r="H45" s="332">
        <f>SUMIFS(View!J:J,View!B:B,B45)</f>
        <v>0</v>
      </c>
      <c r="I45" s="332">
        <f>sumifs('Hoa Hồng'!L:L,'Hoa Hồng'!A:A,B45)</f>
        <v>0</v>
      </c>
      <c r="J45" s="332">
        <v>1000000.0</v>
      </c>
      <c r="K45" s="333" t="s">
        <v>1211</v>
      </c>
      <c r="L45" s="334"/>
      <c r="M45" s="334"/>
      <c r="N45" s="334"/>
      <c r="O45" s="334"/>
      <c r="P45" s="334"/>
      <c r="Q45" s="334"/>
      <c r="R45" s="334"/>
      <c r="S45" s="334"/>
      <c r="T45" s="334"/>
      <c r="U45" s="334"/>
      <c r="V45" s="334"/>
      <c r="W45" s="334"/>
      <c r="X45" s="334"/>
      <c r="Y45" s="334"/>
      <c r="Z45" s="334"/>
      <c r="AA45" s="334"/>
      <c r="AB45" s="334"/>
      <c r="AC45" s="334"/>
      <c r="AD45" s="334"/>
    </row>
    <row r="46" ht="16.5" customHeight="1">
      <c r="A46" s="329"/>
      <c r="B46" s="329" t="str">
        <f>IFERROR(__xludf.DUMMYFUNCTION("""COMPUTED_VALUE"""),"INFTUYEN845")</f>
        <v>INFTUYEN845</v>
      </c>
      <c r="C46" s="329" t="s">
        <v>1265</v>
      </c>
      <c r="D46" s="331" t="s">
        <v>1266</v>
      </c>
      <c r="E46" s="331" t="s">
        <v>1265</v>
      </c>
      <c r="F46" s="331" t="s">
        <v>39</v>
      </c>
      <c r="G46" s="331">
        <f>iferror(sumifs('Hợp tác'!G:G,'Hợp tác'!A:A,B46,'Hợp tác'!H:H,$G$2,'Hợp tác'!I:I,$I$2),"")</f>
        <v>1000000</v>
      </c>
      <c r="H46" s="332">
        <f>SUMIFS(View!J:J,View!B:B,B46)</f>
        <v>0</v>
      </c>
      <c r="I46" s="332">
        <f>sumifs('Hoa Hồng'!L:L,'Hoa Hồng'!A:A,B46)</f>
        <v>0</v>
      </c>
      <c r="J46" s="332">
        <v>1000000.0</v>
      </c>
      <c r="K46" s="333" t="s">
        <v>1211</v>
      </c>
      <c r="L46" s="334"/>
      <c r="M46" s="334"/>
      <c r="N46" s="334"/>
      <c r="O46" s="334"/>
      <c r="P46" s="334"/>
      <c r="Q46" s="334"/>
      <c r="R46" s="334"/>
      <c r="S46" s="334"/>
      <c r="T46" s="334"/>
      <c r="U46" s="334"/>
      <c r="V46" s="334"/>
      <c r="W46" s="334"/>
      <c r="X46" s="334"/>
      <c r="Y46" s="334"/>
      <c r="Z46" s="334"/>
      <c r="AA46" s="334"/>
      <c r="AB46" s="334"/>
      <c r="AC46" s="334"/>
      <c r="AD46" s="334"/>
    </row>
    <row r="47" ht="16.5" customHeight="1">
      <c r="A47" s="329"/>
      <c r="B47" s="329" t="str">
        <f>IFERROR(__xludf.DUMMYFUNCTION("""COMPUTED_VALUE"""),"INFLOAN518")</f>
        <v>INFLOAN518</v>
      </c>
      <c r="C47" s="329" t="s">
        <v>1267</v>
      </c>
      <c r="D47" s="331">
        <v>1.9036282402012E13</v>
      </c>
      <c r="E47" s="331" t="s">
        <v>1268</v>
      </c>
      <c r="F47" s="331" t="s">
        <v>48</v>
      </c>
      <c r="G47" s="331">
        <f>iferror(sumifs('Hợp tác'!G:G,'Hợp tác'!A:A,B47,'Hợp tác'!H:H,$G$2,'Hợp tác'!I:I,$I$2),"")</f>
        <v>1000000</v>
      </c>
      <c r="H47" s="332">
        <f>SUMIFS(View!J:J,View!B:B,B47)</f>
        <v>0</v>
      </c>
      <c r="I47" s="332">
        <f>sumifs('Hoa Hồng'!L:L,'Hoa Hồng'!A:A,B47)</f>
        <v>0</v>
      </c>
      <c r="J47" s="332">
        <v>1000000.0</v>
      </c>
      <c r="K47" s="333" t="s">
        <v>1211</v>
      </c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34"/>
      <c r="AC47" s="334"/>
      <c r="AD47" s="334"/>
    </row>
    <row r="48" ht="16.5" customHeight="1">
      <c r="A48" s="329"/>
      <c r="B48" s="329" t="str">
        <f>IFERROR(__xludf.DUMMYFUNCTION("""COMPUTED_VALUE"""),"INFVAN497")</f>
        <v>INFVAN497</v>
      </c>
      <c r="C48" s="329" t="s">
        <v>1269</v>
      </c>
      <c r="D48" s="331" t="s">
        <v>1270</v>
      </c>
      <c r="E48" s="331" t="s">
        <v>1271</v>
      </c>
      <c r="F48" s="331" t="s">
        <v>19</v>
      </c>
      <c r="G48" s="331">
        <f>iferror(sumifs('Hợp tác'!G:G,'Hợp tác'!A:A,B48,'Hợp tác'!H:H,$G$2,'Hợp tác'!I:I,$I$2),"")</f>
        <v>1000000</v>
      </c>
      <c r="H48" s="332">
        <f>SUMIFS(View!J:J,View!B:B,B48)</f>
        <v>0</v>
      </c>
      <c r="I48" s="332">
        <f>sumifs('Hoa Hồng'!L:L,'Hoa Hồng'!A:A,B48)</f>
        <v>0</v>
      </c>
      <c r="J48" s="332">
        <v>1000000.0</v>
      </c>
      <c r="K48" s="333" t="s">
        <v>1211</v>
      </c>
      <c r="L48" s="334"/>
      <c r="M48" s="334"/>
      <c r="N48" s="334"/>
      <c r="O48" s="334"/>
      <c r="P48" s="334"/>
      <c r="Q48" s="334"/>
      <c r="R48" s="334"/>
      <c r="S48" s="334"/>
      <c r="T48" s="334"/>
      <c r="U48" s="334"/>
      <c r="V48" s="334"/>
      <c r="W48" s="334"/>
      <c r="X48" s="334"/>
      <c r="Y48" s="334"/>
      <c r="Z48" s="334"/>
      <c r="AA48" s="334"/>
      <c r="AB48" s="334"/>
      <c r="AC48" s="334"/>
      <c r="AD48" s="334"/>
    </row>
    <row r="49" ht="16.5" customHeight="1">
      <c r="A49" s="335">
        <v>36.0</v>
      </c>
      <c r="B49" s="336" t="str">
        <f>IFERROR(__xludf.DUMMYFUNCTION("""COMPUTED_VALUE"""),"INFHIEN779")</f>
        <v>INFHIEN779</v>
      </c>
      <c r="C49" s="336" t="s">
        <v>278</v>
      </c>
      <c r="D49" s="337">
        <v>6.3310000320206E13</v>
      </c>
      <c r="E49" s="338" t="s">
        <v>1272</v>
      </c>
      <c r="F49" s="338" t="s">
        <v>90</v>
      </c>
      <c r="G49" s="338">
        <f>iferror(sumifs('Hợp tác'!G:G,'Hợp tác'!A:A,B49,'Hợp tác'!H:H,$G$2,'Hợp tác'!I:I,$I$2),"")</f>
        <v>1000000</v>
      </c>
      <c r="H49" s="339">
        <f>SUMIFS(View!J:J,View!B:B,B49)</f>
        <v>0</v>
      </c>
      <c r="I49" s="339">
        <f>sumifs('Hoa Hồng'!L:L,'Hoa Hồng'!A:A,B49)</f>
        <v>0</v>
      </c>
      <c r="J49" s="340">
        <v>1000000.0</v>
      </c>
      <c r="K49" s="333" t="s">
        <v>1211</v>
      </c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</row>
    <row r="50" ht="16.5" customHeight="1">
      <c r="A50" s="335">
        <v>37.0</v>
      </c>
      <c r="B50" s="336" t="str">
        <f>IFERROR(__xludf.DUMMYFUNCTION("""COMPUTED_VALUE"""),"INFHOA600")</f>
        <v>INFHOA600</v>
      </c>
      <c r="C50" s="336" t="s">
        <v>282</v>
      </c>
      <c r="D50" s="337">
        <v>1.9036259941011E13</v>
      </c>
      <c r="E50" s="338" t="s">
        <v>1273</v>
      </c>
      <c r="F50" s="338" t="s">
        <v>48</v>
      </c>
      <c r="G50" s="338">
        <f>iferror(sumifs('Hợp tác'!G:G,'Hợp tác'!A:A,B50,'Hợp tác'!H:H,$G$2,'Hợp tác'!I:I,$I$2),"")</f>
        <v>1000000</v>
      </c>
      <c r="H50" s="339">
        <f>SUMIFS(View!J:J,View!B:B,B50)</f>
        <v>0</v>
      </c>
      <c r="I50" s="339">
        <f>sumifs('Hoa Hồng'!L:L,'Hoa Hồng'!A:A,B50)</f>
        <v>0</v>
      </c>
      <c r="J50" s="340">
        <v>1000000.0</v>
      </c>
      <c r="K50" s="333" t="s">
        <v>1211</v>
      </c>
      <c r="L50" s="320"/>
      <c r="M50" s="320"/>
      <c r="N50" s="320"/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</row>
    <row r="51" ht="16.5" customHeight="1">
      <c r="A51" s="335">
        <v>38.0</v>
      </c>
      <c r="B51" s="336" t="str">
        <f>IFERROR(__xludf.DUMMYFUNCTION("""COMPUTED_VALUE"""),"INFTHAO439")</f>
        <v>INFTHAO439</v>
      </c>
      <c r="C51" s="336" t="s">
        <v>41</v>
      </c>
      <c r="D51" s="337">
        <v>1.97199999999E11</v>
      </c>
      <c r="E51" s="338" t="s">
        <v>1274</v>
      </c>
      <c r="F51" s="338" t="s">
        <v>1275</v>
      </c>
      <c r="G51" s="338">
        <f>iferror(sumifs('Hợp tác'!G:G,'Hợp tác'!A:A,B51,'Hợp tác'!H:H,$G$2,'Hợp tác'!I:I,$I$2),"")</f>
        <v>1500000</v>
      </c>
      <c r="H51" s="339">
        <f>SUMIFS(View!J:J,View!B:B,B51)</f>
        <v>0</v>
      </c>
      <c r="I51" s="339">
        <f>sumifs('Hoa Hồng'!L:L,'Hoa Hồng'!A:A,B51)</f>
        <v>0</v>
      </c>
      <c r="J51" s="340">
        <v>1500000.0</v>
      </c>
      <c r="K51" s="333" t="s">
        <v>1211</v>
      </c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</row>
    <row r="52" ht="16.5" customHeight="1">
      <c r="A52" s="335">
        <v>39.0</v>
      </c>
      <c r="B52" s="336" t="str">
        <f>IFERROR(__xludf.DUMMYFUNCTION("""COMPUTED_VALUE"""),"INFHA929")</f>
        <v>INFHA929</v>
      </c>
      <c r="C52" s="336" t="s">
        <v>160</v>
      </c>
      <c r="D52" s="337">
        <v>1.9034494142018E13</v>
      </c>
      <c r="E52" s="338" t="s">
        <v>163</v>
      </c>
      <c r="F52" s="338" t="s">
        <v>26</v>
      </c>
      <c r="G52" s="338">
        <f>iferror(sumifs('Hợp tác'!G:G,'Hợp tác'!A:A,B52,'Hợp tác'!H:H,$G$2,'Hợp tác'!I:I,$I$2),"")</f>
        <v>1000000</v>
      </c>
      <c r="H52" s="339">
        <f>SUMIFS(View!J:J,View!B:B,B52)</f>
        <v>500000</v>
      </c>
      <c r="I52" s="339">
        <f>sumifs('Hoa Hồng'!L:L,'Hoa Hồng'!A:A,B52)</f>
        <v>0</v>
      </c>
      <c r="J52" s="340">
        <v>1500000.0</v>
      </c>
      <c r="K52" s="333" t="s">
        <v>1211</v>
      </c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</row>
    <row r="53" ht="16.5" customHeight="1">
      <c r="A53" s="335">
        <v>40.0</v>
      </c>
      <c r="B53" s="336" t="str">
        <f>IFERROR(__xludf.DUMMYFUNCTION("""COMPUTED_VALUE"""),"INFANH828")</f>
        <v>INFANH828</v>
      </c>
      <c r="C53" s="336" t="s">
        <v>1276</v>
      </c>
      <c r="D53" s="337">
        <v>1.014988114E9</v>
      </c>
      <c r="E53" s="338" t="s">
        <v>169</v>
      </c>
      <c r="F53" s="338" t="s">
        <v>19</v>
      </c>
      <c r="G53" s="338">
        <f>iferror(sumifs('Hợp tác'!G:G,'Hợp tác'!A:A,B53,'Hợp tác'!H:H,$G$2,'Hợp tác'!I:I,$I$2),"")</f>
        <v>1000000</v>
      </c>
      <c r="H53" s="339">
        <f>SUMIFS(View!J:J,View!B:B,B53)</f>
        <v>14000000</v>
      </c>
      <c r="I53" s="339">
        <f>sumifs('Hoa Hồng'!L:L,'Hoa Hồng'!A:A,B53)</f>
        <v>0</v>
      </c>
      <c r="J53" s="340">
        <v>1.5E7</v>
      </c>
      <c r="K53" s="333" t="s">
        <v>1211</v>
      </c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</row>
    <row r="54" ht="16.5" customHeight="1">
      <c r="A54" s="335">
        <v>41.0</v>
      </c>
      <c r="B54" s="336" t="str">
        <f>IFERROR(__xludf.DUMMYFUNCTION("""COMPUTED_VALUE"""),"INFDUONG116")</f>
        <v>INFDUONG116</v>
      </c>
      <c r="C54" s="336" t="s">
        <v>1277</v>
      </c>
      <c r="D54" s="337">
        <v>1.9033994281018E13</v>
      </c>
      <c r="E54" s="338" t="s">
        <v>173</v>
      </c>
      <c r="F54" s="338" t="s">
        <v>1278</v>
      </c>
      <c r="G54" s="338">
        <f>iferror(sumifs('Hợp tác'!G:G,'Hợp tác'!A:A,B54,'Hợp tác'!H:H,$G$2,'Hợp tác'!I:I,$I$2),"")</f>
        <v>500000</v>
      </c>
      <c r="H54" s="339">
        <f>SUMIFS(View!J:J,View!B:B,B54)</f>
        <v>500000</v>
      </c>
      <c r="I54" s="339">
        <f>sumifs('Hoa Hồng'!L:L,'Hoa Hồng'!A:A,B54)</f>
        <v>0</v>
      </c>
      <c r="J54" s="340">
        <v>1000000.0</v>
      </c>
      <c r="K54" s="333" t="s">
        <v>1211</v>
      </c>
      <c r="L54" s="320"/>
      <c r="M54" s="320"/>
      <c r="N54" s="320"/>
      <c r="O54" s="320"/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</row>
    <row r="55" ht="16.5" customHeight="1">
      <c r="A55" s="335">
        <v>42.0</v>
      </c>
      <c r="B55" s="336" t="str">
        <f>IFERROR(__xludf.DUMMYFUNCTION("""COMPUTED_VALUE"""),"INFHOAI569")</f>
        <v>INFHOAI569</v>
      </c>
      <c r="C55" s="336" t="s">
        <v>177</v>
      </c>
      <c r="D55" s="337">
        <v>1.9036653260011E13</v>
      </c>
      <c r="E55" s="338" t="s">
        <v>1279</v>
      </c>
      <c r="F55" s="338" t="s">
        <v>149</v>
      </c>
      <c r="G55" s="338">
        <f>iferror(sumifs('Hợp tác'!G:G,'Hợp tác'!A:A,B55,'Hợp tác'!H:H,$G$2,'Hợp tác'!I:I,$I$2),"")</f>
        <v>1000000</v>
      </c>
      <c r="H55" s="339">
        <f>SUMIFS(View!J:J,View!B:B,B55)</f>
        <v>0</v>
      </c>
      <c r="I55" s="339">
        <f>sumifs('Hoa Hồng'!L:L,'Hoa Hồng'!A:A,B55)</f>
        <v>0</v>
      </c>
      <c r="J55" s="340">
        <v>1000000.0</v>
      </c>
      <c r="K55" s="333" t="s">
        <v>1211</v>
      </c>
      <c r="L55" s="320"/>
      <c r="M55" s="320"/>
      <c r="N55" s="320"/>
      <c r="O55" s="320"/>
      <c r="P55" s="320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</row>
    <row r="56" ht="16.5" customHeight="1">
      <c r="A56" s="335">
        <v>43.0</v>
      </c>
      <c r="B56" s="336" t="str">
        <f>IFERROR(__xludf.DUMMYFUNCTION("""COMPUTED_VALUE"""),"INFHUYEN607")</f>
        <v>INFHUYEN607</v>
      </c>
      <c r="C56" s="336" t="s">
        <v>1280</v>
      </c>
      <c r="D56" s="337">
        <v>1.0898055789E10</v>
      </c>
      <c r="E56" s="338" t="s">
        <v>183</v>
      </c>
      <c r="F56" s="338" t="s">
        <v>182</v>
      </c>
      <c r="G56" s="338">
        <f>iferror(sumifs('Hợp tác'!G:G,'Hợp tác'!A:A,B56,'Hợp tác'!H:H,$G$2,'Hợp tác'!I:I,$I$2),"")</f>
        <v>500000</v>
      </c>
      <c r="H56" s="339">
        <f>SUMIFS(View!J:J,View!B:B,B56)</f>
        <v>500000</v>
      </c>
      <c r="I56" s="339">
        <f>sumifs('Hoa Hồng'!L:L,'Hoa Hồng'!A:A,B56)</f>
        <v>0</v>
      </c>
      <c r="J56" s="340">
        <v>1000000.0</v>
      </c>
      <c r="K56" s="333" t="s">
        <v>1211</v>
      </c>
      <c r="L56" s="320"/>
      <c r="M56" s="320"/>
      <c r="N56" s="320"/>
      <c r="O56" s="320"/>
      <c r="P56" s="320"/>
      <c r="Q56" s="320"/>
      <c r="R56" s="320"/>
      <c r="S56" s="320"/>
      <c r="T56" s="320"/>
      <c r="U56" s="320"/>
      <c r="V56" s="320"/>
      <c r="W56" s="320"/>
      <c r="X56" s="320"/>
      <c r="Y56" s="320"/>
      <c r="Z56" s="320"/>
      <c r="AA56" s="320"/>
      <c r="AB56" s="320"/>
      <c r="AC56" s="320"/>
      <c r="AD56" s="320"/>
    </row>
    <row r="57" ht="16.5" customHeight="1">
      <c r="A57" s="335">
        <v>44.0</v>
      </c>
      <c r="B57" s="336" t="str">
        <f>IFERROR(__xludf.DUMMYFUNCTION("""COMPUTED_VALUE"""),"INFHAI912")</f>
        <v>INFHAI912</v>
      </c>
      <c r="C57" s="336" t="s">
        <v>45</v>
      </c>
      <c r="D57" s="337">
        <v>1.9033376421011E13</v>
      </c>
      <c r="E57" s="338" t="s">
        <v>1281</v>
      </c>
      <c r="F57" s="338" t="s">
        <v>48</v>
      </c>
      <c r="G57" s="338">
        <f>iferror(sumifs('Hợp tác'!G:G,'Hợp tác'!A:A,B57,'Hợp tác'!H:H,$G$2,'Hợp tác'!I:I,$I$2),"")</f>
        <v>1000000</v>
      </c>
      <c r="H57" s="339">
        <f>SUMIFS(View!J:J,View!B:B,B57)</f>
        <v>0</v>
      </c>
      <c r="I57" s="339">
        <f>sumifs('Hoa Hồng'!L:L,'Hoa Hồng'!A:A,B57)</f>
        <v>0</v>
      </c>
      <c r="J57" s="340">
        <v>1000000.0</v>
      </c>
      <c r="K57" s="333" t="s">
        <v>1211</v>
      </c>
      <c r="L57" s="320"/>
      <c r="M57" s="320"/>
      <c r="N57" s="320"/>
      <c r="O57" s="320"/>
      <c r="P57" s="320"/>
      <c r="Q57" s="320"/>
      <c r="R57" s="320"/>
      <c r="S57" s="320"/>
      <c r="T57" s="320"/>
      <c r="U57" s="320"/>
      <c r="V57" s="320"/>
      <c r="W57" s="320"/>
      <c r="X57" s="320"/>
      <c r="Y57" s="320"/>
      <c r="Z57" s="320"/>
      <c r="AA57" s="320"/>
      <c r="AB57" s="320"/>
      <c r="AC57" s="320"/>
      <c r="AD57" s="320"/>
    </row>
    <row r="58" ht="16.5" customHeight="1">
      <c r="A58" s="335">
        <v>45.0</v>
      </c>
      <c r="B58" s="336" t="str">
        <f>IFERROR(__xludf.DUMMYFUNCTION("""COMPUTED_VALUE"""),"INFHUYEN144")</f>
        <v>INFHUYEN144</v>
      </c>
      <c r="C58" s="336" t="s">
        <v>397</v>
      </c>
      <c r="D58" s="337">
        <v>6.0265729889E10</v>
      </c>
      <c r="E58" s="338" t="s">
        <v>397</v>
      </c>
      <c r="F58" s="338" t="s">
        <v>187</v>
      </c>
      <c r="G58" s="338">
        <f>iferror(sumifs('Hợp tác'!G:G,'Hợp tác'!A:A,B58,'Hợp tác'!H:H,$G$2,'Hợp tác'!I:I,$I$2),"")</f>
        <v>1000000</v>
      </c>
      <c r="H58" s="339">
        <f>SUMIFS(View!J:J,View!B:B,B58)</f>
        <v>0</v>
      </c>
      <c r="I58" s="339">
        <f>sumifs('Hoa Hồng'!L:L,'Hoa Hồng'!A:A,B58)</f>
        <v>0</v>
      </c>
      <c r="J58" s="340">
        <v>1000000.0</v>
      </c>
      <c r="K58" s="333" t="s">
        <v>1211</v>
      </c>
      <c r="L58" s="320"/>
      <c r="M58" s="320"/>
      <c r="N58" s="320"/>
      <c r="O58" s="320"/>
      <c r="P58" s="320"/>
      <c r="Q58" s="320"/>
      <c r="R58" s="320"/>
      <c r="S58" s="320"/>
      <c r="T58" s="320"/>
      <c r="U58" s="320"/>
      <c r="V58" s="320"/>
      <c r="W58" s="320"/>
      <c r="X58" s="320"/>
      <c r="Y58" s="320"/>
      <c r="Z58" s="320"/>
      <c r="AA58" s="320"/>
      <c r="AB58" s="320"/>
      <c r="AC58" s="320"/>
      <c r="AD58" s="320"/>
    </row>
    <row r="59" ht="16.5" customHeight="1">
      <c r="A59" s="329"/>
      <c r="B59" s="329" t="str">
        <f>IFERROR(__xludf.DUMMYFUNCTION("""COMPUTED_VALUE"""),"INFNHUT421")</f>
        <v>INFNHUT421</v>
      </c>
      <c r="C59" s="329" t="s">
        <v>1282</v>
      </c>
      <c r="D59" s="331">
        <v>1.07353496E8</v>
      </c>
      <c r="E59" s="331"/>
      <c r="F59" s="331" t="s">
        <v>1283</v>
      </c>
      <c r="G59" s="331">
        <f>iferror(sumifs('Hợp tác'!G:G,'Hợp tác'!A:A,B59,'Hợp tác'!H:H,$G$2,'Hợp tác'!I:I,$I$2),"")</f>
        <v>500000</v>
      </c>
      <c r="H59" s="332">
        <f>SUMIFS(View!J:J,View!B:B,B59)</f>
        <v>0</v>
      </c>
      <c r="I59" s="332">
        <f>sumifs('Hoa Hồng'!L:L,'Hoa Hồng'!A:A,B59)</f>
        <v>0</v>
      </c>
      <c r="J59" s="332">
        <v>500000.0</v>
      </c>
      <c r="K59" s="333" t="s">
        <v>1211</v>
      </c>
      <c r="L59" s="334"/>
      <c r="M59" s="334"/>
      <c r="N59" s="334"/>
      <c r="O59" s="334"/>
      <c r="P59" s="334"/>
      <c r="Q59" s="334"/>
      <c r="R59" s="334"/>
      <c r="S59" s="334"/>
      <c r="T59" s="334"/>
      <c r="U59" s="334"/>
      <c r="V59" s="334"/>
      <c r="W59" s="334"/>
      <c r="X59" s="334"/>
      <c r="Y59" s="334"/>
      <c r="Z59" s="334"/>
      <c r="AA59" s="334"/>
      <c r="AB59" s="334"/>
      <c r="AC59" s="334"/>
      <c r="AD59" s="334"/>
    </row>
    <row r="60" ht="16.5" customHeight="1">
      <c r="A60" s="335">
        <v>46.0</v>
      </c>
      <c r="B60" s="336" t="str">
        <f>IFERROR(__xludf.DUMMYFUNCTION("""COMPUTED_VALUE"""),"INFPHUONG497")</f>
        <v>INFPHUONG497</v>
      </c>
      <c r="C60" s="336" t="s">
        <v>184</v>
      </c>
      <c r="D60" s="337">
        <v>6.0079555821E10</v>
      </c>
      <c r="E60" s="338" t="s">
        <v>188</v>
      </c>
      <c r="F60" s="338" t="s">
        <v>1284</v>
      </c>
      <c r="G60" s="338">
        <f>iferror(sumifs('Hợp tác'!G:G,'Hợp tác'!A:A,B60,'Hợp tác'!H:H,$G$2,'Hợp tác'!I:I,$I$2),"")</f>
        <v>500000</v>
      </c>
      <c r="H60" s="339">
        <f>SUMIFS(View!J:J,View!B:B,B60)</f>
        <v>0</v>
      </c>
      <c r="I60" s="339">
        <f>sumifs('Hoa Hồng'!L:L,'Hoa Hồng'!A:A,B60)</f>
        <v>0</v>
      </c>
      <c r="J60" s="340">
        <v>500000.0</v>
      </c>
      <c r="K60" s="333" t="s">
        <v>1211</v>
      </c>
      <c r="L60" s="320"/>
      <c r="M60" s="320"/>
      <c r="N60" s="320"/>
      <c r="O60" s="320"/>
      <c r="P60" s="320"/>
      <c r="Q60" s="320"/>
      <c r="R60" s="320"/>
      <c r="S60" s="320"/>
      <c r="T60" s="320"/>
      <c r="U60" s="320"/>
      <c r="V60" s="320"/>
      <c r="W60" s="320"/>
      <c r="X60" s="320"/>
      <c r="Y60" s="320"/>
      <c r="Z60" s="320"/>
      <c r="AA60" s="320"/>
      <c r="AB60" s="320"/>
      <c r="AC60" s="320"/>
      <c r="AD60" s="320"/>
    </row>
    <row r="61" ht="16.5" customHeight="1">
      <c r="A61" s="329"/>
      <c r="B61" s="329" t="str">
        <f>IFERROR(__xludf.DUMMYFUNCTION("""COMPUTED_VALUE"""),"INFGIAO069")</f>
        <v>INFGIAO069</v>
      </c>
      <c r="C61" s="329" t="s">
        <v>1285</v>
      </c>
      <c r="D61" s="331">
        <v>1.017533061E9</v>
      </c>
      <c r="E61" s="331" t="s">
        <v>1285</v>
      </c>
      <c r="F61" s="331" t="s">
        <v>19</v>
      </c>
      <c r="G61" s="331">
        <f>iferror(sumifs('Hợp tác'!G:G,'Hợp tác'!A:A,B61,'Hợp tác'!H:H,$G$2,'Hợp tác'!I:I,$I$2),"")</f>
        <v>0</v>
      </c>
      <c r="H61" s="332">
        <f>SUMIFS(View!J:J,View!B:B,B61)</f>
        <v>0</v>
      </c>
      <c r="I61" s="332">
        <f>sumifs('Hoa Hồng'!L:L,'Hoa Hồng'!A:A,B61)</f>
        <v>0</v>
      </c>
      <c r="J61" s="332">
        <v>0.0</v>
      </c>
      <c r="K61" s="333" t="s">
        <v>1211</v>
      </c>
      <c r="L61" s="334"/>
      <c r="M61" s="334"/>
      <c r="N61" s="334"/>
      <c r="O61" s="334"/>
      <c r="P61" s="334"/>
      <c r="Q61" s="334"/>
      <c r="R61" s="334"/>
      <c r="S61" s="334"/>
      <c r="T61" s="334"/>
      <c r="U61" s="334"/>
      <c r="V61" s="334"/>
      <c r="W61" s="334"/>
      <c r="X61" s="334"/>
      <c r="Y61" s="334"/>
      <c r="Z61" s="334"/>
      <c r="AA61" s="334"/>
      <c r="AB61" s="334"/>
      <c r="AC61" s="334"/>
      <c r="AD61" s="334"/>
    </row>
    <row r="62" ht="16.5" customHeight="1">
      <c r="A62" s="335">
        <v>47.0</v>
      </c>
      <c r="B62" s="336" t="str">
        <f>IFERROR(__xludf.DUMMYFUNCTION("""COMPUTED_VALUE"""),"INFYEN550")</f>
        <v>INFYEN550</v>
      </c>
      <c r="C62" s="336" t="s">
        <v>1286</v>
      </c>
      <c r="D62" s="337">
        <v>9.598686886E9</v>
      </c>
      <c r="E62" s="338" t="s">
        <v>1287</v>
      </c>
      <c r="F62" s="338" t="s">
        <v>1288</v>
      </c>
      <c r="G62" s="338">
        <f>iferror(sumifs('Hợp tác'!G:G,'Hợp tác'!A:A,B62,'Hợp tác'!H:H,$G$2,'Hợp tác'!I:I,$I$2),"")</f>
        <v>1000000</v>
      </c>
      <c r="H62" s="339">
        <f>SUMIFS(View!J:J,View!B:B,B62)</f>
        <v>0</v>
      </c>
      <c r="I62" s="339">
        <f>sumifs('Hoa Hồng'!L:L,'Hoa Hồng'!A:A,B62)</f>
        <v>0</v>
      </c>
      <c r="J62" s="340">
        <v>1000000.0</v>
      </c>
      <c r="K62" s="333" t="s">
        <v>1211</v>
      </c>
      <c r="L62" s="320"/>
      <c r="M62" s="320"/>
      <c r="N62" s="320"/>
      <c r="O62" s="320"/>
      <c r="P62" s="320"/>
      <c r="Q62" s="320"/>
      <c r="R62" s="320"/>
      <c r="S62" s="320"/>
      <c r="T62" s="320"/>
      <c r="U62" s="320"/>
      <c r="V62" s="320"/>
      <c r="W62" s="320"/>
      <c r="X62" s="320"/>
      <c r="Y62" s="320"/>
      <c r="Z62" s="320"/>
      <c r="AA62" s="320"/>
      <c r="AB62" s="320"/>
      <c r="AC62" s="320"/>
      <c r="AD62" s="320"/>
    </row>
    <row r="63" ht="16.5" customHeight="1">
      <c r="A63" s="335">
        <v>48.0</v>
      </c>
      <c r="B63" s="336" t="str">
        <f>IFERROR(__xludf.DUMMYFUNCTION("""COMPUTED_VALUE"""),"INFTRANG604")</f>
        <v>INFTRANG604</v>
      </c>
      <c r="C63" s="336" t="s">
        <v>290</v>
      </c>
      <c r="D63" s="337">
        <v>1.11000334065E11</v>
      </c>
      <c r="E63" s="338" t="s">
        <v>1289</v>
      </c>
      <c r="F63" s="338" t="s">
        <v>19</v>
      </c>
      <c r="G63" s="338">
        <f>iferror(sumifs('Hợp tác'!G:G,'Hợp tác'!A:A,B63,'Hợp tác'!H:H,$G$2,'Hợp tác'!I:I,$I$2),"")</f>
        <v>1500000</v>
      </c>
      <c r="H63" s="339">
        <f>SUMIFS(View!J:J,View!B:B,B63)</f>
        <v>500000</v>
      </c>
      <c r="I63" s="339">
        <f>sumifs('Hoa Hồng'!L:L,'Hoa Hồng'!A:A,B63)</f>
        <v>0</v>
      </c>
      <c r="J63" s="340">
        <v>2000000.0</v>
      </c>
      <c r="K63" s="333" t="s">
        <v>1211</v>
      </c>
      <c r="L63" s="320"/>
      <c r="M63" s="320"/>
      <c r="N63" s="320"/>
      <c r="O63" s="320"/>
      <c r="P63" s="320"/>
      <c r="Q63" s="320"/>
      <c r="R63" s="320"/>
      <c r="S63" s="320"/>
      <c r="T63" s="320"/>
      <c r="U63" s="320"/>
      <c r="V63" s="320"/>
      <c r="W63" s="320"/>
      <c r="X63" s="320"/>
      <c r="Y63" s="320"/>
      <c r="Z63" s="320"/>
      <c r="AA63" s="320"/>
      <c r="AB63" s="320"/>
      <c r="AC63" s="320"/>
      <c r="AD63" s="320"/>
    </row>
    <row r="64" ht="16.5" customHeight="1">
      <c r="A64" s="329"/>
      <c r="B64" s="329" t="str">
        <f>IFERROR(__xludf.DUMMYFUNCTION("""COMPUTED_VALUE"""),"INFQUANG627")</f>
        <v>INFQUANG627</v>
      </c>
      <c r="C64" s="329" t="s">
        <v>1290</v>
      </c>
      <c r="D64" s="331">
        <v>1.2307227E7</v>
      </c>
      <c r="E64" s="331"/>
      <c r="F64" s="331" t="s">
        <v>112</v>
      </c>
      <c r="G64" s="331">
        <f>iferror(sumifs('Hợp tác'!G:G,'Hợp tác'!A:A,B64,'Hợp tác'!H:H,$G$2,'Hợp tác'!I:I,$I$2),"")</f>
        <v>1000000</v>
      </c>
      <c r="H64" s="332">
        <f>SUMIFS(View!J:J,View!B:B,B64)</f>
        <v>0</v>
      </c>
      <c r="I64" s="332">
        <f>sumifs('Hoa Hồng'!L:L,'Hoa Hồng'!A:A,B64)</f>
        <v>0</v>
      </c>
      <c r="J64" s="332">
        <v>1000000.0</v>
      </c>
      <c r="K64" s="333" t="s">
        <v>1211</v>
      </c>
      <c r="L64" s="334"/>
      <c r="M64" s="334"/>
      <c r="N64" s="334"/>
      <c r="O64" s="334"/>
      <c r="P64" s="334"/>
      <c r="Q64" s="334"/>
      <c r="R64" s="334"/>
      <c r="S64" s="334"/>
      <c r="T64" s="334"/>
      <c r="U64" s="334"/>
      <c r="V64" s="334"/>
      <c r="W64" s="334"/>
      <c r="X64" s="334"/>
      <c r="Y64" s="334"/>
      <c r="Z64" s="334"/>
      <c r="AA64" s="334"/>
      <c r="AB64" s="334"/>
      <c r="AC64" s="334"/>
      <c r="AD64" s="334"/>
    </row>
    <row r="65" ht="16.5" customHeight="1">
      <c r="A65" s="329"/>
      <c r="B65" s="329" t="str">
        <f>IFERROR(__xludf.DUMMYFUNCTION("""COMPUTED_VALUE"""),"INFNGHI255")</f>
        <v>INFNGHI255</v>
      </c>
      <c r="C65" s="329" t="s">
        <v>1291</v>
      </c>
      <c r="D65" s="331" t="s">
        <v>1292</v>
      </c>
      <c r="E65" s="331"/>
      <c r="F65" s="331"/>
      <c r="G65" s="331">
        <f>iferror(sumifs('Hợp tác'!G:G,'Hợp tác'!A:A,B65,'Hợp tác'!H:H,$G$2,'Hợp tác'!I:I,$I$2),"")</f>
        <v>0</v>
      </c>
      <c r="H65" s="332">
        <f>SUMIFS(View!J:J,View!B:B,B65)</f>
        <v>0</v>
      </c>
      <c r="I65" s="332">
        <f>sumifs('Hoa Hồng'!L:L,'Hoa Hồng'!A:A,B65)</f>
        <v>0</v>
      </c>
      <c r="J65" s="332">
        <v>0.0</v>
      </c>
      <c r="K65" s="333" t="s">
        <v>1211</v>
      </c>
      <c r="L65" s="334"/>
      <c r="M65" s="334"/>
      <c r="N65" s="334"/>
      <c r="O65" s="334"/>
      <c r="P65" s="334"/>
      <c r="Q65" s="334"/>
      <c r="R65" s="334"/>
      <c r="S65" s="334"/>
      <c r="T65" s="334"/>
      <c r="U65" s="334"/>
      <c r="V65" s="334"/>
      <c r="W65" s="334"/>
      <c r="X65" s="334"/>
      <c r="Y65" s="334"/>
      <c r="Z65" s="334"/>
      <c r="AA65" s="334"/>
      <c r="AB65" s="334"/>
      <c r="AC65" s="334"/>
      <c r="AD65" s="334"/>
    </row>
    <row r="66" ht="16.5" customHeight="1">
      <c r="A66" s="335">
        <v>49.0</v>
      </c>
      <c r="B66" s="336" t="str">
        <f>IFERROR(__xludf.DUMMYFUNCTION("""COMPUTED_VALUE"""),"INFLUONG135")</f>
        <v>INFLUONG135</v>
      </c>
      <c r="C66" s="336" t="s">
        <v>296</v>
      </c>
      <c r="D66" s="337">
        <v>1.00872886785E11</v>
      </c>
      <c r="E66" s="338" t="s">
        <v>1293</v>
      </c>
      <c r="F66" s="338" t="s">
        <v>1294</v>
      </c>
      <c r="G66" s="338">
        <f>iferror(sumifs('Hợp tác'!G:G,'Hợp tác'!A:A,B66,'Hợp tác'!H:H,$G$2,'Hợp tác'!I:I,$I$2),"")</f>
        <v>1000000</v>
      </c>
      <c r="H66" s="339">
        <f>SUMIFS(View!J:J,View!B:B,B66)</f>
        <v>3000000</v>
      </c>
      <c r="I66" s="339">
        <f>sumifs('Hoa Hồng'!L:L,'Hoa Hồng'!A:A,B66)</f>
        <v>0</v>
      </c>
      <c r="J66" s="340">
        <v>4000000.0</v>
      </c>
      <c r="K66" s="333" t="s">
        <v>1211</v>
      </c>
      <c r="L66" s="320"/>
      <c r="M66" s="320"/>
      <c r="N66" s="320"/>
      <c r="O66" s="320"/>
      <c r="P66" s="320"/>
      <c r="Q66" s="320"/>
      <c r="R66" s="320"/>
      <c r="S66" s="320"/>
      <c r="T66" s="320"/>
      <c r="U66" s="320"/>
      <c r="V66" s="320"/>
      <c r="W66" s="320"/>
      <c r="X66" s="320"/>
      <c r="Y66" s="320"/>
      <c r="Z66" s="320"/>
      <c r="AA66" s="320"/>
      <c r="AB66" s="320"/>
      <c r="AC66" s="320"/>
      <c r="AD66" s="320"/>
    </row>
    <row r="67" ht="16.5" customHeight="1">
      <c r="A67" s="335">
        <v>50.0</v>
      </c>
      <c r="B67" s="336" t="str">
        <f>IFERROR(__xludf.DUMMYFUNCTION("""COMPUTED_VALUE"""),"INFHUYEN706")</f>
        <v>INFHUYEN706</v>
      </c>
      <c r="C67" s="336" t="s">
        <v>336</v>
      </c>
      <c r="D67" s="337">
        <v>3.7110000948061E13</v>
      </c>
      <c r="E67" s="338" t="s">
        <v>1295</v>
      </c>
      <c r="F67" s="338" t="s">
        <v>90</v>
      </c>
      <c r="G67" s="338">
        <f>iferror(sumifs('Hợp tác'!G:G,'Hợp tác'!A:A,B67,'Hợp tác'!H:H,$G$2,'Hợp tác'!I:I,$I$2),"")</f>
        <v>500000</v>
      </c>
      <c r="H67" s="339">
        <f>SUMIFS(View!J:J,View!B:B,B67)</f>
        <v>0</v>
      </c>
      <c r="I67" s="339">
        <f>sumifs('Hoa Hồng'!L:L,'Hoa Hồng'!A:A,B67)</f>
        <v>0</v>
      </c>
      <c r="J67" s="340">
        <v>500000.0</v>
      </c>
      <c r="K67" s="333" t="s">
        <v>1211</v>
      </c>
      <c r="L67" s="320"/>
      <c r="M67" s="320"/>
      <c r="N67" s="320"/>
      <c r="O67" s="320"/>
      <c r="P67" s="320"/>
      <c r="Q67" s="320"/>
      <c r="R67" s="320"/>
      <c r="S67" s="320"/>
      <c r="T67" s="320"/>
      <c r="U67" s="320"/>
      <c r="V67" s="320"/>
      <c r="W67" s="320"/>
      <c r="X67" s="320"/>
      <c r="Y67" s="320"/>
      <c r="Z67" s="320"/>
      <c r="AA67" s="320"/>
      <c r="AB67" s="320"/>
      <c r="AC67" s="320"/>
      <c r="AD67" s="320"/>
    </row>
    <row r="68" ht="16.5" customHeight="1">
      <c r="A68" s="335">
        <v>51.0</v>
      </c>
      <c r="B68" s="336" t="str">
        <f>IFERROR(__xludf.DUMMYFUNCTION("""COMPUTED_VALUE"""),"INFMUON299")</f>
        <v>INFMUON299</v>
      </c>
      <c r="C68" s="336" t="s">
        <v>1296</v>
      </c>
      <c r="D68" s="337">
        <v>1.08868753557E11</v>
      </c>
      <c r="E68" s="338" t="s">
        <v>1297</v>
      </c>
      <c r="F68" s="338" t="s">
        <v>101</v>
      </c>
      <c r="G68" s="338">
        <f>iferror(sumifs('Hợp tác'!G:G,'Hợp tác'!A:A,B68,'Hợp tác'!H:H,$G$2,'Hợp tác'!I:I,$I$2),"")</f>
        <v>1000000</v>
      </c>
      <c r="H68" s="339">
        <f>SUMIFS(View!J:J,View!B:B,B68)</f>
        <v>0</v>
      </c>
      <c r="I68" s="339">
        <f>sumifs('Hoa Hồng'!L:L,'Hoa Hồng'!A:A,B68)</f>
        <v>0</v>
      </c>
      <c r="J68" s="340">
        <v>1000000.0</v>
      </c>
      <c r="K68" s="333" t="s">
        <v>1211</v>
      </c>
      <c r="L68" s="320"/>
      <c r="M68" s="320"/>
      <c r="N68" s="320"/>
      <c r="O68" s="320"/>
      <c r="P68" s="320"/>
      <c r="Q68" s="320"/>
      <c r="R68" s="320"/>
      <c r="S68" s="320"/>
      <c r="T68" s="320"/>
      <c r="U68" s="320"/>
      <c r="V68" s="320"/>
      <c r="W68" s="320"/>
      <c r="X68" s="320"/>
      <c r="Y68" s="320"/>
      <c r="Z68" s="320"/>
      <c r="AA68" s="320"/>
      <c r="AB68" s="320"/>
      <c r="AC68" s="320"/>
      <c r="AD68" s="320"/>
    </row>
    <row r="69" ht="16.5" customHeight="1">
      <c r="A69" s="335">
        <v>52.0</v>
      </c>
      <c r="B69" s="336" t="str">
        <f>IFERROR(__xludf.DUMMYFUNCTION("""COMPUTED_VALUE"""),"INFDUNG768")</f>
        <v>INFDUNG768</v>
      </c>
      <c r="C69" s="336" t="s">
        <v>305</v>
      </c>
      <c r="D69" s="337">
        <v>1.903686960301E13</v>
      </c>
      <c r="E69" s="338" t="s">
        <v>1298</v>
      </c>
      <c r="F69" s="338" t="s">
        <v>48</v>
      </c>
      <c r="G69" s="338">
        <f>iferror(sumifs('Hợp tác'!G:G,'Hợp tác'!A:A,B69,'Hợp tác'!H:H,$G$2,'Hợp tác'!I:I,$I$2),"")</f>
        <v>500000</v>
      </c>
      <c r="H69" s="339">
        <f>SUMIFS(View!J:J,View!B:B,B69)</f>
        <v>0</v>
      </c>
      <c r="I69" s="339">
        <f>sumifs('Hoa Hồng'!L:L,'Hoa Hồng'!A:A,B69)</f>
        <v>0</v>
      </c>
      <c r="J69" s="340">
        <v>500000.0</v>
      </c>
      <c r="K69" s="333" t="s">
        <v>1211</v>
      </c>
      <c r="L69" s="320"/>
      <c r="M69" s="320"/>
      <c r="N69" s="320"/>
      <c r="O69" s="320"/>
      <c r="P69" s="320"/>
      <c r="Q69" s="320"/>
      <c r="R69" s="320"/>
      <c r="S69" s="320"/>
      <c r="T69" s="320"/>
      <c r="U69" s="320"/>
      <c r="V69" s="320"/>
      <c r="W69" s="320"/>
      <c r="X69" s="320"/>
      <c r="Y69" s="320"/>
      <c r="Z69" s="320"/>
      <c r="AA69" s="320"/>
      <c r="AB69" s="320"/>
      <c r="AC69" s="320"/>
      <c r="AD69" s="320"/>
    </row>
    <row r="70" ht="16.5" customHeight="1">
      <c r="A70" s="335">
        <v>53.0</v>
      </c>
      <c r="B70" s="336" t="str">
        <f>IFERROR(__xludf.DUMMYFUNCTION("""COMPUTED_VALUE"""),"INFTHANH287")</f>
        <v>INFTHANH287</v>
      </c>
      <c r="C70" s="336" t="s">
        <v>1299</v>
      </c>
      <c r="D70" s="337">
        <v>7.610111273004E12</v>
      </c>
      <c r="E70" s="338" t="s">
        <v>1300</v>
      </c>
      <c r="F70" s="338" t="s">
        <v>182</v>
      </c>
      <c r="G70" s="338">
        <f>iferror(sumifs('Hợp tác'!G:G,'Hợp tác'!A:A,B70,'Hợp tác'!H:H,$G$2,'Hợp tác'!I:I,$I$2),"")</f>
        <v>1000000</v>
      </c>
      <c r="H70" s="339">
        <f>SUMIFS(View!J:J,View!B:B,B70)</f>
        <v>0</v>
      </c>
      <c r="I70" s="339">
        <f>sumifs('Hoa Hồng'!L:L,'Hoa Hồng'!A:A,B70)</f>
        <v>0</v>
      </c>
      <c r="J70" s="340">
        <v>1000000.0</v>
      </c>
      <c r="K70" s="333" t="s">
        <v>1211</v>
      </c>
      <c r="L70" s="320"/>
      <c r="M70" s="320"/>
      <c r="N70" s="320"/>
      <c r="O70" s="320"/>
      <c r="P70" s="320"/>
      <c r="Q70" s="320"/>
      <c r="R70" s="320"/>
      <c r="S70" s="320"/>
      <c r="T70" s="320"/>
      <c r="U70" s="320"/>
      <c r="V70" s="320"/>
      <c r="W70" s="320"/>
      <c r="X70" s="320"/>
      <c r="Y70" s="320"/>
      <c r="Z70" s="320"/>
      <c r="AA70" s="320"/>
      <c r="AB70" s="320"/>
      <c r="AC70" s="320"/>
      <c r="AD70" s="320"/>
    </row>
    <row r="71" ht="16.5" customHeight="1">
      <c r="A71" s="335">
        <v>54.0</v>
      </c>
      <c r="B71" s="336" t="str">
        <f>IFERROR(__xludf.DUMMYFUNCTION("""COMPUTED_VALUE"""),"INFTHUY768")</f>
        <v>INFTHUY768</v>
      </c>
      <c r="C71" s="336" t="s">
        <v>1301</v>
      </c>
      <c r="D71" s="337">
        <v>4.2110000408833E13</v>
      </c>
      <c r="E71" s="338" t="s">
        <v>1302</v>
      </c>
      <c r="F71" s="338" t="s">
        <v>90</v>
      </c>
      <c r="G71" s="338">
        <f>iferror(sumifs('Hợp tác'!G:G,'Hợp tác'!A:A,B71,'Hợp tác'!H:H,$G$2,'Hợp tác'!I:I,$I$2),"")</f>
        <v>1000000</v>
      </c>
      <c r="H71" s="339">
        <f>SUMIFS(View!J:J,View!B:B,B71)</f>
        <v>0</v>
      </c>
      <c r="I71" s="339">
        <f>sumifs('Hoa Hồng'!L:L,'Hoa Hồng'!A:A,B71)</f>
        <v>0</v>
      </c>
      <c r="J71" s="340">
        <v>1000000.0</v>
      </c>
      <c r="K71" s="333" t="s">
        <v>1211</v>
      </c>
      <c r="L71" s="320"/>
      <c r="M71" s="320"/>
      <c r="N71" s="320"/>
      <c r="O71" s="320"/>
      <c r="P71" s="320"/>
      <c r="Q71" s="320"/>
      <c r="R71" s="320"/>
      <c r="S71" s="320"/>
      <c r="T71" s="320"/>
      <c r="U71" s="320"/>
      <c r="V71" s="320"/>
      <c r="W71" s="320"/>
      <c r="X71" s="320"/>
      <c r="Y71" s="320"/>
      <c r="Z71" s="320"/>
      <c r="AA71" s="320"/>
      <c r="AB71" s="320"/>
      <c r="AC71" s="320"/>
      <c r="AD71" s="320"/>
    </row>
    <row r="72" ht="16.5" customHeight="1">
      <c r="A72" s="329"/>
      <c r="B72" s="329" t="str">
        <f>IFERROR(__xludf.DUMMYFUNCTION("""COMPUTED_VALUE"""),"INFBAC560")</f>
        <v>INFBAC560</v>
      </c>
      <c r="C72" s="329" t="s">
        <v>1303</v>
      </c>
      <c r="D72" s="331">
        <v>1.06872824354E11</v>
      </c>
      <c r="E72" s="331" t="s">
        <v>1303</v>
      </c>
      <c r="F72" s="331" t="s">
        <v>101</v>
      </c>
      <c r="G72" s="331">
        <f>iferror(sumifs('Hợp tác'!G:G,'Hợp tác'!A:A,B72,'Hợp tác'!H:H,$G$2,'Hợp tác'!I:I,$I$2),"")</f>
        <v>0</v>
      </c>
      <c r="H72" s="332">
        <f>SUMIFS(View!J:J,View!B:B,B72)</f>
        <v>0</v>
      </c>
      <c r="I72" s="332">
        <f>sumifs('Hoa Hồng'!L:L,'Hoa Hồng'!A:A,B72)</f>
        <v>0</v>
      </c>
      <c r="J72" s="332">
        <v>0.0</v>
      </c>
      <c r="K72" s="333" t="s">
        <v>1211</v>
      </c>
      <c r="L72" s="334"/>
      <c r="M72" s="334"/>
      <c r="N72" s="334"/>
      <c r="O72" s="334"/>
      <c r="P72" s="334"/>
      <c r="Q72" s="334"/>
      <c r="R72" s="334"/>
      <c r="S72" s="334"/>
      <c r="T72" s="334"/>
      <c r="U72" s="334"/>
      <c r="V72" s="334"/>
      <c r="W72" s="334"/>
      <c r="X72" s="334"/>
      <c r="Y72" s="334"/>
      <c r="Z72" s="334"/>
      <c r="AA72" s="334"/>
      <c r="AB72" s="334"/>
      <c r="AC72" s="334"/>
      <c r="AD72" s="334"/>
    </row>
    <row r="73" ht="16.5" customHeight="1">
      <c r="A73" s="335">
        <v>55.0</v>
      </c>
      <c r="B73" s="336" t="str">
        <f>IFERROR(__xludf.DUMMYFUNCTION("""COMPUTED_VALUE"""),"INFHANH558")</f>
        <v>INFHANH558</v>
      </c>
      <c r="C73" s="336" t="s">
        <v>1304</v>
      </c>
      <c r="D73" s="337" t="s">
        <v>1305</v>
      </c>
      <c r="E73" s="338" t="s">
        <v>1306</v>
      </c>
      <c r="F73" s="338" t="s">
        <v>19</v>
      </c>
      <c r="G73" s="338">
        <f>iferror(sumifs('Hợp tác'!G:G,'Hợp tác'!A:A,B73,'Hợp tác'!H:H,$G$2,'Hợp tác'!I:I,$I$2),"")</f>
        <v>1000000</v>
      </c>
      <c r="H73" s="339">
        <f>SUMIFS(View!J:J,View!B:B,B73)</f>
        <v>0</v>
      </c>
      <c r="I73" s="339">
        <f>sumifs('Hoa Hồng'!L:L,'Hoa Hồng'!A:A,B73)</f>
        <v>0</v>
      </c>
      <c r="J73" s="340">
        <v>1000000.0</v>
      </c>
      <c r="K73" s="333" t="s">
        <v>1211</v>
      </c>
      <c r="L73" s="320"/>
      <c r="M73" s="320"/>
      <c r="N73" s="320"/>
      <c r="O73" s="320"/>
      <c r="P73" s="320"/>
      <c r="Q73" s="320"/>
      <c r="R73" s="320"/>
      <c r="S73" s="320"/>
      <c r="T73" s="320"/>
      <c r="U73" s="320"/>
      <c r="V73" s="320"/>
      <c r="W73" s="320"/>
      <c r="X73" s="320"/>
      <c r="Y73" s="320"/>
      <c r="Z73" s="320"/>
      <c r="AA73" s="320"/>
      <c r="AB73" s="320"/>
      <c r="AC73" s="320"/>
      <c r="AD73" s="320"/>
    </row>
    <row r="74" ht="16.5" customHeight="1">
      <c r="A74" s="329"/>
      <c r="B74" s="329" t="str">
        <f>IFERROR(__xludf.DUMMYFUNCTION("""COMPUTED_VALUE"""),"INFMINH737")</f>
        <v>INFMINH737</v>
      </c>
      <c r="C74" s="329" t="s">
        <v>1307</v>
      </c>
      <c r="D74" s="331">
        <v>1.2310001095077E13</v>
      </c>
      <c r="E74" s="331" t="s">
        <v>1308</v>
      </c>
      <c r="F74" s="331" t="s">
        <v>1309</v>
      </c>
      <c r="G74" s="331">
        <f>iferror(sumifs('Hợp tác'!G:G,'Hợp tác'!A:A,B74,'Hợp tác'!H:H,$G$2,'Hợp tác'!I:I,$I$2),"")</f>
        <v>0</v>
      </c>
      <c r="H74" s="332">
        <f>SUMIFS(View!J:J,View!B:B,B74)</f>
        <v>0</v>
      </c>
      <c r="I74" s="332">
        <f>sumifs('Hoa Hồng'!L:L,'Hoa Hồng'!A:A,B74)</f>
        <v>0</v>
      </c>
      <c r="J74" s="332">
        <v>0.0</v>
      </c>
      <c r="K74" s="333" t="s">
        <v>1211</v>
      </c>
      <c r="L74" s="334"/>
      <c r="M74" s="334"/>
      <c r="N74" s="334"/>
      <c r="O74" s="334"/>
      <c r="P74" s="334"/>
      <c r="Q74" s="334"/>
      <c r="R74" s="334"/>
      <c r="S74" s="334"/>
      <c r="T74" s="334"/>
      <c r="U74" s="334"/>
      <c r="V74" s="334"/>
      <c r="W74" s="334"/>
      <c r="X74" s="334"/>
      <c r="Y74" s="334"/>
      <c r="Z74" s="334"/>
      <c r="AA74" s="334"/>
      <c r="AB74" s="334"/>
      <c r="AC74" s="334"/>
      <c r="AD74" s="334"/>
    </row>
    <row r="75" ht="16.5" customHeight="1">
      <c r="A75" s="329"/>
      <c r="B75" s="329" t="str">
        <f>IFERROR(__xludf.DUMMYFUNCTION("""COMPUTED_VALUE"""),"INFTHI599")</f>
        <v>INFTHI599</v>
      </c>
      <c r="C75" s="329" t="s">
        <v>1310</v>
      </c>
      <c r="D75" s="331">
        <v>6.280205683699E12</v>
      </c>
      <c r="E75" s="331" t="s">
        <v>1311</v>
      </c>
      <c r="F75" s="331" t="s">
        <v>106</v>
      </c>
      <c r="G75" s="331">
        <f>iferror(sumifs('Hợp tác'!G:G,'Hợp tác'!A:A,B75,'Hợp tác'!H:H,$G$2,'Hợp tác'!I:I,$I$2),"")</f>
        <v>1000000</v>
      </c>
      <c r="H75" s="332">
        <f>SUMIFS(View!J:J,View!B:B,B75)</f>
        <v>0</v>
      </c>
      <c r="I75" s="332">
        <f>sumifs('Hoa Hồng'!L:L,'Hoa Hồng'!A:A,B75)</f>
        <v>0</v>
      </c>
      <c r="J75" s="332">
        <v>1000000.0</v>
      </c>
      <c r="K75" s="333" t="s">
        <v>1211</v>
      </c>
      <c r="L75" s="334"/>
      <c r="M75" s="334"/>
      <c r="N75" s="334"/>
      <c r="O75" s="334"/>
      <c r="P75" s="334"/>
      <c r="Q75" s="334"/>
      <c r="R75" s="334"/>
      <c r="S75" s="334"/>
      <c r="T75" s="334"/>
      <c r="U75" s="334"/>
      <c r="V75" s="334"/>
      <c r="W75" s="334"/>
      <c r="X75" s="334"/>
      <c r="Y75" s="334"/>
      <c r="Z75" s="334"/>
      <c r="AA75" s="334"/>
      <c r="AB75" s="334"/>
      <c r="AC75" s="334"/>
      <c r="AD75" s="334"/>
    </row>
    <row r="76" ht="16.5" customHeight="1">
      <c r="A76" s="329"/>
      <c r="B76" s="329" t="str">
        <f>IFERROR(__xludf.DUMMYFUNCTION("""COMPUTED_VALUE"""),"INFHAI522")</f>
        <v>INFHAI522</v>
      </c>
      <c r="C76" s="329" t="s">
        <v>1312</v>
      </c>
      <c r="D76" s="331">
        <v>3.618085001E9</v>
      </c>
      <c r="E76" s="331" t="s">
        <v>1313</v>
      </c>
      <c r="F76" s="331" t="s">
        <v>1314</v>
      </c>
      <c r="G76" s="331">
        <f>iferror(sumifs('Hợp tác'!G:G,'Hợp tác'!A:A,B76,'Hợp tác'!H:H,$G$2,'Hợp tác'!I:I,$I$2),"")</f>
        <v>0</v>
      </c>
      <c r="H76" s="332">
        <f>SUMIFS(View!J:J,View!B:B,B76)</f>
        <v>0</v>
      </c>
      <c r="I76" s="332">
        <f>sumifs('Hoa Hồng'!L:L,'Hoa Hồng'!A:A,B76)</f>
        <v>0</v>
      </c>
      <c r="J76" s="332">
        <v>0.0</v>
      </c>
      <c r="K76" s="333" t="s">
        <v>1211</v>
      </c>
      <c r="L76" s="334"/>
      <c r="M76" s="334"/>
      <c r="N76" s="334"/>
      <c r="O76" s="334"/>
      <c r="P76" s="334"/>
      <c r="Q76" s="334"/>
      <c r="R76" s="334"/>
      <c r="S76" s="334"/>
      <c r="T76" s="334"/>
      <c r="U76" s="334"/>
      <c r="V76" s="334"/>
      <c r="W76" s="334"/>
      <c r="X76" s="334"/>
      <c r="Y76" s="334"/>
      <c r="Z76" s="334"/>
      <c r="AA76" s="334"/>
      <c r="AB76" s="334"/>
      <c r="AC76" s="334"/>
      <c r="AD76" s="334"/>
    </row>
    <row r="77" ht="16.5" customHeight="1">
      <c r="A77" s="335">
        <v>56.0</v>
      </c>
      <c r="B77" s="329" t="str">
        <f>IFERROR(__xludf.DUMMYFUNCTION("""COMPUTED_VALUE"""),"INFHIEU576")</f>
        <v>INFHIEU576</v>
      </c>
      <c r="C77" s="329" t="s">
        <v>1315</v>
      </c>
      <c r="D77" s="331">
        <v>8.840188888668E12</v>
      </c>
      <c r="E77" s="331" t="s">
        <v>198</v>
      </c>
      <c r="F77" s="331" t="s">
        <v>53</v>
      </c>
      <c r="G77" s="331">
        <f>iferror(sumifs('Hợp tác'!G:G,'Hợp tác'!A:A,B77,'Hợp tác'!H:H,$G$2,'Hợp tác'!I:I,$I$2),"")</f>
        <v>500000</v>
      </c>
      <c r="H77" s="332">
        <f>SUMIFS(View!J:J,View!B:B,B77)</f>
        <v>0</v>
      </c>
      <c r="I77" s="332">
        <f>sumifs('Hoa Hồng'!L:L,'Hoa Hồng'!A:A,B77)</f>
        <v>0</v>
      </c>
      <c r="J77" s="341">
        <v>500000.0</v>
      </c>
      <c r="K77" s="333" t="s">
        <v>1211</v>
      </c>
      <c r="L77" s="334"/>
      <c r="M77" s="334"/>
      <c r="N77" s="334"/>
      <c r="O77" s="334"/>
      <c r="P77" s="334"/>
      <c r="Q77" s="334"/>
      <c r="R77" s="334"/>
      <c r="S77" s="334"/>
      <c r="T77" s="334"/>
      <c r="U77" s="334"/>
      <c r="V77" s="334"/>
      <c r="W77" s="334"/>
      <c r="X77" s="334"/>
      <c r="Y77" s="334"/>
      <c r="Z77" s="334"/>
      <c r="AA77" s="334"/>
      <c r="AB77" s="334"/>
      <c r="AC77" s="334"/>
      <c r="AD77" s="334"/>
    </row>
    <row r="78" ht="16.5" customHeight="1">
      <c r="A78" s="329"/>
      <c r="B78" s="329" t="str">
        <f>IFERROR(__xludf.DUMMYFUNCTION("""COMPUTED_VALUE"""),"INFDUONG426")</f>
        <v>INFDUONG426</v>
      </c>
      <c r="C78" s="329" t="s">
        <v>1316</v>
      </c>
      <c r="D78" s="331" t="s">
        <v>1317</v>
      </c>
      <c r="E78" s="331"/>
      <c r="F78" s="331"/>
      <c r="G78" s="331">
        <f>iferror(sumifs('Hợp tác'!G:G,'Hợp tác'!A:A,B78,'Hợp tác'!H:H,$G$2,'Hợp tác'!I:I,$I$2),"")</f>
        <v>0</v>
      </c>
      <c r="H78" s="332">
        <f>SUMIFS(View!J:J,View!B:B,B78)</f>
        <v>0</v>
      </c>
      <c r="I78" s="332">
        <f>sumifs('Hoa Hồng'!L:L,'Hoa Hồng'!A:A,B78)</f>
        <v>0</v>
      </c>
      <c r="J78" s="332">
        <v>0.0</v>
      </c>
      <c r="K78" s="333" t="s">
        <v>1211</v>
      </c>
      <c r="L78" s="334"/>
      <c r="M78" s="334"/>
      <c r="N78" s="334"/>
      <c r="O78" s="334"/>
      <c r="P78" s="334"/>
      <c r="Q78" s="334"/>
      <c r="R78" s="334"/>
      <c r="S78" s="334"/>
      <c r="T78" s="334"/>
      <c r="U78" s="334"/>
      <c r="V78" s="334"/>
      <c r="W78" s="334"/>
      <c r="X78" s="334"/>
      <c r="Y78" s="334"/>
      <c r="Z78" s="334"/>
      <c r="AA78" s="334"/>
      <c r="AB78" s="334"/>
      <c r="AC78" s="334"/>
      <c r="AD78" s="334"/>
    </row>
    <row r="79" ht="16.5" customHeight="1">
      <c r="A79" s="329"/>
      <c r="B79" s="329" t="str">
        <f>IFERROR(__xludf.DUMMYFUNCTION("""COMPUTED_VALUE"""),"INFHOANG428")</f>
        <v>INFHOANG428</v>
      </c>
      <c r="C79" s="329" t="s">
        <v>1318</v>
      </c>
      <c r="D79" s="331">
        <v>2.545848901E9</v>
      </c>
      <c r="E79" s="331" t="s">
        <v>1319</v>
      </c>
      <c r="F79" s="331" t="s">
        <v>1320</v>
      </c>
      <c r="G79" s="331">
        <f>iferror(sumifs('Hợp tác'!G:G,'Hợp tác'!A:A,B79,'Hợp tác'!H:H,$G$2,'Hợp tác'!I:I,$I$2),"")</f>
        <v>0</v>
      </c>
      <c r="H79" s="332">
        <f>SUMIFS(View!J:J,View!B:B,B79)</f>
        <v>0</v>
      </c>
      <c r="I79" s="332">
        <f>sumifs('Hoa Hồng'!L:L,'Hoa Hồng'!A:A,B79)</f>
        <v>0</v>
      </c>
      <c r="J79" s="332">
        <v>0.0</v>
      </c>
      <c r="K79" s="333" t="s">
        <v>1211</v>
      </c>
      <c r="L79" s="334"/>
      <c r="M79" s="334"/>
      <c r="N79" s="334"/>
      <c r="O79" s="334"/>
      <c r="P79" s="334"/>
      <c r="Q79" s="334"/>
      <c r="R79" s="334"/>
      <c r="S79" s="334"/>
      <c r="T79" s="334"/>
      <c r="U79" s="334"/>
      <c r="V79" s="334"/>
      <c r="W79" s="334"/>
      <c r="X79" s="334"/>
      <c r="Y79" s="334"/>
      <c r="Z79" s="334"/>
      <c r="AA79" s="334"/>
      <c r="AB79" s="334"/>
      <c r="AC79" s="334"/>
      <c r="AD79" s="334"/>
    </row>
    <row r="80" ht="16.5" customHeight="1">
      <c r="A80" s="335">
        <v>57.0</v>
      </c>
      <c r="B80" s="336" t="str">
        <f>IFERROR(__xludf.DUMMYFUNCTION("""COMPUTED_VALUE"""),"INFMY731")</f>
        <v>INFMY731</v>
      </c>
      <c r="C80" s="336" t="s">
        <v>1321</v>
      </c>
      <c r="D80" s="337">
        <v>8.00180219999E11</v>
      </c>
      <c r="E80" s="338" t="s">
        <v>1322</v>
      </c>
      <c r="F80" s="338" t="s">
        <v>1323</v>
      </c>
      <c r="G80" s="338">
        <f>iferror(sumifs('Hợp tác'!G:G,'Hợp tác'!A:A,B80,'Hợp tác'!H:H,$G$2,'Hợp tác'!I:I,$I$2),"")</f>
        <v>500000</v>
      </c>
      <c r="H80" s="339">
        <f>SUMIFS(View!J:J,View!B:B,B80)</f>
        <v>0</v>
      </c>
      <c r="I80" s="339">
        <f>sumifs('Hoa Hồng'!L:L,'Hoa Hồng'!A:A,B80)</f>
        <v>0</v>
      </c>
      <c r="J80" s="340">
        <v>500000.0</v>
      </c>
      <c r="K80" s="333" t="s">
        <v>1211</v>
      </c>
      <c r="L80" s="320"/>
      <c r="M80" s="320"/>
      <c r="N80" s="320"/>
      <c r="O80" s="320"/>
      <c r="P80" s="320"/>
      <c r="Q80" s="320"/>
      <c r="R80" s="320"/>
      <c r="S80" s="320"/>
      <c r="T80" s="320"/>
      <c r="U80" s="320"/>
      <c r="V80" s="320"/>
      <c r="W80" s="320"/>
      <c r="X80" s="320"/>
      <c r="Y80" s="320"/>
      <c r="Z80" s="320"/>
      <c r="AA80" s="320"/>
      <c r="AB80" s="320"/>
      <c r="AC80" s="320"/>
      <c r="AD80" s="320"/>
    </row>
    <row r="81" ht="16.5" customHeight="1">
      <c r="A81" s="335">
        <v>58.0</v>
      </c>
      <c r="B81" s="336" t="str">
        <f>IFERROR(__xludf.DUMMYFUNCTION("""COMPUTED_VALUE"""),"INFOANH237")</f>
        <v>INFOANH237</v>
      </c>
      <c r="C81" s="336" t="s">
        <v>1324</v>
      </c>
      <c r="D81" s="337">
        <v>8.32788888E8</v>
      </c>
      <c r="E81" s="338" t="s">
        <v>1325</v>
      </c>
      <c r="F81" s="338" t="s">
        <v>112</v>
      </c>
      <c r="G81" s="338">
        <f>iferror(sumifs('Hợp tác'!G:G,'Hợp tác'!A:A,B81,'Hợp tác'!H:H,$G$2,'Hợp tác'!I:I,$I$2),"")</f>
        <v>2000000</v>
      </c>
      <c r="H81" s="339">
        <f>SUMIFS(View!J:J,View!B:B,B81)</f>
        <v>1500000</v>
      </c>
      <c r="I81" s="339">
        <f>sumifs('Hoa Hồng'!L:L,'Hoa Hồng'!A:A,B81)</f>
        <v>0</v>
      </c>
      <c r="J81" s="340">
        <v>3500000.0</v>
      </c>
      <c r="K81" s="333" t="s">
        <v>1211</v>
      </c>
      <c r="L81" s="320"/>
      <c r="M81" s="320"/>
      <c r="N81" s="320"/>
      <c r="O81" s="320"/>
      <c r="P81" s="320"/>
      <c r="Q81" s="320"/>
      <c r="R81" s="320"/>
      <c r="S81" s="320"/>
      <c r="T81" s="320"/>
      <c r="U81" s="320"/>
      <c r="V81" s="320"/>
      <c r="W81" s="320"/>
      <c r="X81" s="320"/>
      <c r="Y81" s="320"/>
      <c r="Z81" s="320"/>
      <c r="AA81" s="320"/>
      <c r="AB81" s="320"/>
      <c r="AC81" s="320"/>
      <c r="AD81" s="320"/>
    </row>
    <row r="82" ht="16.5" customHeight="1">
      <c r="A82" s="335">
        <v>59.0</v>
      </c>
      <c r="B82" s="336" t="str">
        <f>IFERROR(__xludf.DUMMYFUNCTION("""COMPUTED_VALUE"""),"INFDIEM269")</f>
        <v>INFDIEM269</v>
      </c>
      <c r="C82" s="336" t="s">
        <v>1326</v>
      </c>
      <c r="D82" s="337">
        <v>7.31000865016E11</v>
      </c>
      <c r="E82" s="338" t="s">
        <v>1327</v>
      </c>
      <c r="F82" s="338" t="s">
        <v>19</v>
      </c>
      <c r="G82" s="338">
        <f>iferror(sumifs('Hợp tác'!G:G,'Hợp tác'!A:A,B82,'Hợp tác'!H:H,$G$2,'Hợp tác'!I:I,$I$2),"")</f>
        <v>500000</v>
      </c>
      <c r="H82" s="339">
        <f>SUMIFS(View!J:J,View!B:B,B82)</f>
        <v>0</v>
      </c>
      <c r="I82" s="339">
        <f>sumifs('Hoa Hồng'!L:L,'Hoa Hồng'!A:A,B82)</f>
        <v>0</v>
      </c>
      <c r="J82" s="340">
        <v>500000.0</v>
      </c>
      <c r="K82" s="333" t="s">
        <v>1211</v>
      </c>
      <c r="L82" s="320"/>
      <c r="M82" s="320"/>
      <c r="N82" s="320"/>
      <c r="O82" s="320"/>
      <c r="P82" s="320"/>
      <c r="Q82" s="320"/>
      <c r="R82" s="320"/>
      <c r="S82" s="320"/>
      <c r="T82" s="320"/>
      <c r="U82" s="320"/>
      <c r="V82" s="320"/>
      <c r="W82" s="320"/>
      <c r="X82" s="320"/>
      <c r="Y82" s="320"/>
      <c r="Z82" s="320"/>
      <c r="AA82" s="320"/>
      <c r="AB82" s="320"/>
      <c r="AC82" s="320"/>
      <c r="AD82" s="320"/>
    </row>
    <row r="83" ht="16.5" customHeight="1">
      <c r="A83" s="329"/>
      <c r="B83" s="329" t="str">
        <f>IFERROR(__xludf.DUMMYFUNCTION("""COMPUTED_VALUE"""),"INFTUYEN207")</f>
        <v>INFTUYEN207</v>
      </c>
      <c r="C83" s="329" t="s">
        <v>1328</v>
      </c>
      <c r="D83" s="331">
        <v>1.27530367E8</v>
      </c>
      <c r="E83" s="331" t="s">
        <v>57</v>
      </c>
      <c r="F83" s="331" t="s">
        <v>44</v>
      </c>
      <c r="G83" s="331">
        <f>iferror(sumifs('Hợp tác'!G:G,'Hợp tác'!A:A,B83,'Hợp tác'!H:H,$G$2,'Hợp tác'!I:I,$I$2),"")</f>
        <v>0</v>
      </c>
      <c r="H83" s="332">
        <f>SUMIFS(View!J:J,View!B:B,B83)</f>
        <v>0</v>
      </c>
      <c r="I83" s="332">
        <f>sumifs('Hoa Hồng'!L:L,'Hoa Hồng'!A:A,B83)</f>
        <v>0</v>
      </c>
      <c r="J83" s="332">
        <v>0.0</v>
      </c>
      <c r="K83" s="333" t="s">
        <v>1211</v>
      </c>
      <c r="L83" s="334"/>
      <c r="M83" s="334"/>
      <c r="N83" s="334"/>
      <c r="O83" s="334"/>
      <c r="P83" s="334"/>
      <c r="Q83" s="334"/>
      <c r="R83" s="334"/>
      <c r="S83" s="334"/>
      <c r="T83" s="334"/>
      <c r="U83" s="334"/>
      <c r="V83" s="334"/>
      <c r="W83" s="334"/>
      <c r="X83" s="334"/>
      <c r="Y83" s="334"/>
      <c r="Z83" s="334"/>
      <c r="AA83" s="334"/>
      <c r="AB83" s="334"/>
      <c r="AC83" s="334"/>
      <c r="AD83" s="334"/>
    </row>
    <row r="84" ht="16.5" customHeight="1">
      <c r="A84" s="335">
        <v>60.0</v>
      </c>
      <c r="B84" s="336" t="str">
        <f>IFERROR(__xludf.DUMMYFUNCTION("""COMPUTED_VALUE"""),"INFHIEN448")</f>
        <v>INFHIEN448</v>
      </c>
      <c r="C84" s="336" t="s">
        <v>67</v>
      </c>
      <c r="D84" s="337">
        <v>1.27530367E8</v>
      </c>
      <c r="E84" s="338" t="s">
        <v>57</v>
      </c>
      <c r="F84" s="338" t="s">
        <v>44</v>
      </c>
      <c r="G84" s="338">
        <f>iferror(sumifs('Hợp tác'!G:G,'Hợp tác'!A:A,B84,'Hợp tác'!H:H,$G$2,'Hợp tác'!I:I,$I$2),"")</f>
        <v>1000000</v>
      </c>
      <c r="H84" s="339">
        <f>SUMIFS(View!J:J,View!B:B,B84)</f>
        <v>11000000</v>
      </c>
      <c r="I84" s="339">
        <f>sumifs('Hoa Hồng'!L:L,'Hoa Hồng'!A:A,B84)</f>
        <v>0</v>
      </c>
      <c r="J84" s="340">
        <v>1.2E7</v>
      </c>
      <c r="K84" s="333" t="s">
        <v>1211</v>
      </c>
      <c r="L84" s="320"/>
      <c r="M84" s="320"/>
      <c r="N84" s="320"/>
      <c r="O84" s="320"/>
      <c r="P84" s="320"/>
      <c r="Q84" s="320"/>
      <c r="R84" s="320"/>
      <c r="S84" s="320"/>
      <c r="T84" s="320"/>
      <c r="U84" s="320"/>
      <c r="V84" s="320"/>
      <c r="W84" s="320"/>
      <c r="X84" s="320"/>
      <c r="Y84" s="320"/>
      <c r="Z84" s="320"/>
      <c r="AA84" s="320"/>
      <c r="AB84" s="320"/>
      <c r="AC84" s="320"/>
      <c r="AD84" s="320"/>
    </row>
    <row r="85" ht="16.5" customHeight="1">
      <c r="A85" s="329"/>
      <c r="B85" s="329" t="str">
        <f>IFERROR(__xludf.DUMMYFUNCTION("""COMPUTED_VALUE"""),"INFANH537")</f>
        <v>INFANH537</v>
      </c>
      <c r="C85" s="329" t="s">
        <v>1329</v>
      </c>
      <c r="D85" s="331">
        <v>1.27530367E8</v>
      </c>
      <c r="E85" s="331" t="s">
        <v>57</v>
      </c>
      <c r="F85" s="331" t="s">
        <v>44</v>
      </c>
      <c r="G85" s="331">
        <f>iferror(sumifs('Hợp tác'!G:G,'Hợp tác'!A:A,B85,'Hợp tác'!H:H,$G$2,'Hợp tác'!I:I,$I$2),"")</f>
        <v>0</v>
      </c>
      <c r="H85" s="332">
        <f>SUMIFS(View!J:J,View!B:B,B85)</f>
        <v>0</v>
      </c>
      <c r="I85" s="332">
        <f>sumifs('Hoa Hồng'!L:L,'Hoa Hồng'!A:A,B85)</f>
        <v>0</v>
      </c>
      <c r="J85" s="332">
        <v>0.0</v>
      </c>
      <c r="K85" s="333" t="s">
        <v>1211</v>
      </c>
      <c r="L85" s="334"/>
      <c r="M85" s="334"/>
      <c r="N85" s="334"/>
      <c r="O85" s="334"/>
      <c r="P85" s="334"/>
      <c r="Q85" s="334"/>
      <c r="R85" s="334"/>
      <c r="S85" s="334"/>
      <c r="T85" s="334"/>
      <c r="U85" s="334"/>
      <c r="V85" s="334"/>
      <c r="W85" s="334"/>
      <c r="X85" s="334"/>
      <c r="Y85" s="334"/>
      <c r="Z85" s="334"/>
      <c r="AA85" s="334"/>
      <c r="AB85" s="334"/>
      <c r="AC85" s="334"/>
      <c r="AD85" s="334"/>
    </row>
    <row r="86" ht="16.5" customHeight="1">
      <c r="A86" s="335">
        <v>61.0</v>
      </c>
      <c r="B86" s="336" t="str">
        <f>IFERROR(__xludf.DUMMYFUNCTION("""COMPUTED_VALUE"""),"INFHOANG458")</f>
        <v>INFHOANG458</v>
      </c>
      <c r="C86" s="336" t="s">
        <v>58</v>
      </c>
      <c r="D86" s="337">
        <v>1.27530367E8</v>
      </c>
      <c r="E86" s="338" t="s">
        <v>57</v>
      </c>
      <c r="F86" s="338" t="s">
        <v>44</v>
      </c>
      <c r="G86" s="338">
        <f>iferror(sumifs('Hợp tác'!G:G,'Hợp tác'!A:A,B86,'Hợp tác'!H:H,$G$2,'Hợp tác'!I:I,$I$2),"")</f>
        <v>1000000</v>
      </c>
      <c r="H86" s="339">
        <f>SUMIFS(View!J:J,View!B:B,B86)</f>
        <v>16500000</v>
      </c>
      <c r="I86" s="339">
        <f>sumifs('Hoa Hồng'!L:L,'Hoa Hồng'!A:A,B86)</f>
        <v>0</v>
      </c>
      <c r="J86" s="340">
        <v>1.75E7</v>
      </c>
      <c r="K86" s="333" t="s">
        <v>1211</v>
      </c>
      <c r="L86" s="320"/>
      <c r="M86" s="320"/>
      <c r="N86" s="320"/>
      <c r="O86" s="320"/>
      <c r="P86" s="320"/>
      <c r="Q86" s="320"/>
      <c r="R86" s="320"/>
      <c r="S86" s="320"/>
      <c r="T86" s="320"/>
      <c r="U86" s="320"/>
      <c r="V86" s="320"/>
      <c r="W86" s="320"/>
      <c r="X86" s="320"/>
      <c r="Y86" s="320"/>
      <c r="Z86" s="320"/>
      <c r="AA86" s="320"/>
      <c r="AB86" s="320"/>
      <c r="AC86" s="320"/>
      <c r="AD86" s="320"/>
    </row>
    <row r="87" ht="16.5" customHeight="1">
      <c r="A87" s="335">
        <v>62.0</v>
      </c>
      <c r="B87" s="336" t="str">
        <f>IFERROR(__xludf.DUMMYFUNCTION("""COMPUTED_VALUE"""),"INFDUY489")</f>
        <v>INFDUY489</v>
      </c>
      <c r="C87" s="336" t="s">
        <v>1330</v>
      </c>
      <c r="D87" s="337">
        <v>1.27530367E8</v>
      </c>
      <c r="E87" s="338" t="s">
        <v>57</v>
      </c>
      <c r="F87" s="338" t="s">
        <v>44</v>
      </c>
      <c r="G87" s="338">
        <f>iferror(sumifs('Hợp tác'!G:G,'Hợp tác'!A:A,B87,'Hợp tác'!H:H,$G$2,'Hợp tác'!I:I,$I$2),"")</f>
        <v>1000000</v>
      </c>
      <c r="H87" s="339">
        <f>SUMIFS(View!J:J,View!B:B,B87)</f>
        <v>1000000</v>
      </c>
      <c r="I87" s="339">
        <f>sumifs('Hoa Hồng'!L:L,'Hoa Hồng'!A:A,B87)</f>
        <v>0</v>
      </c>
      <c r="J87" s="340">
        <v>2000000.0</v>
      </c>
      <c r="K87" s="333" t="s">
        <v>1211</v>
      </c>
      <c r="L87" s="320"/>
      <c r="M87" s="320"/>
      <c r="N87" s="320"/>
      <c r="O87" s="320"/>
      <c r="P87" s="320"/>
      <c r="Q87" s="320"/>
      <c r="R87" s="320"/>
      <c r="S87" s="320"/>
      <c r="T87" s="320"/>
      <c r="U87" s="320"/>
      <c r="V87" s="320"/>
      <c r="W87" s="320"/>
      <c r="X87" s="320"/>
      <c r="Y87" s="320"/>
      <c r="Z87" s="320"/>
      <c r="AA87" s="320"/>
      <c r="AB87" s="320"/>
      <c r="AC87" s="320"/>
      <c r="AD87" s="320"/>
    </row>
    <row r="88" ht="16.5" customHeight="1">
      <c r="A88" s="335">
        <v>63.0</v>
      </c>
      <c r="B88" s="336" t="str">
        <f>IFERROR(__xludf.DUMMYFUNCTION("""COMPUTED_VALUE"""),"INFMEN819")</f>
        <v>INFMEN819</v>
      </c>
      <c r="C88" s="336" t="s">
        <v>62</v>
      </c>
      <c r="D88" s="337">
        <v>1.27530367E8</v>
      </c>
      <c r="E88" s="338" t="s">
        <v>57</v>
      </c>
      <c r="F88" s="338" t="s">
        <v>44</v>
      </c>
      <c r="G88" s="338">
        <f>iferror(sumifs('Hợp tác'!G:G,'Hợp tác'!A:A,B88,'Hợp tác'!H:H,$G$2,'Hợp tác'!I:I,$I$2),"")</f>
        <v>1000000</v>
      </c>
      <c r="H88" s="339">
        <f>SUMIFS(View!J:J,View!B:B,B88)</f>
        <v>21500000</v>
      </c>
      <c r="I88" s="339">
        <f>sumifs('Hoa Hồng'!L:L,'Hoa Hồng'!A:A,B88)</f>
        <v>0</v>
      </c>
      <c r="J88" s="340">
        <v>2.25E7</v>
      </c>
      <c r="K88" s="333" t="s">
        <v>1211</v>
      </c>
      <c r="L88" s="320"/>
      <c r="M88" s="320"/>
      <c r="N88" s="320"/>
      <c r="O88" s="320"/>
      <c r="P88" s="320"/>
      <c r="Q88" s="320"/>
      <c r="R88" s="320"/>
      <c r="S88" s="320"/>
      <c r="T88" s="320"/>
      <c r="U88" s="320"/>
      <c r="V88" s="320"/>
      <c r="W88" s="320"/>
      <c r="X88" s="320"/>
      <c r="Y88" s="320"/>
      <c r="Z88" s="320"/>
      <c r="AA88" s="320"/>
      <c r="AB88" s="320"/>
      <c r="AC88" s="320"/>
      <c r="AD88" s="320"/>
    </row>
    <row r="89" ht="16.5" customHeight="1">
      <c r="A89" s="335">
        <v>64.0</v>
      </c>
      <c r="B89" s="336" t="str">
        <f>IFERROR(__xludf.DUMMYFUNCTION("""COMPUTED_VALUE"""),"INFTHANH071")</f>
        <v>INFTHANH071</v>
      </c>
      <c r="C89" s="336" t="s">
        <v>1331</v>
      </c>
      <c r="D89" s="337">
        <v>1.27530367E8</v>
      </c>
      <c r="E89" s="338" t="s">
        <v>57</v>
      </c>
      <c r="F89" s="338" t="s">
        <v>44</v>
      </c>
      <c r="G89" s="338">
        <f>iferror(sumifs('Hợp tác'!G:G,'Hợp tác'!A:A,B89,'Hợp tác'!H:H,$G$2,'Hợp tác'!I:I,$I$2),"")</f>
        <v>1000000</v>
      </c>
      <c r="H89" s="339">
        <f>SUMIFS(View!J:J,View!B:B,B89)</f>
        <v>0</v>
      </c>
      <c r="I89" s="339">
        <f>sumifs('Hoa Hồng'!L:L,'Hoa Hồng'!A:A,B89)</f>
        <v>0</v>
      </c>
      <c r="J89" s="340">
        <v>1000000.0</v>
      </c>
      <c r="K89" s="333" t="s">
        <v>1211</v>
      </c>
      <c r="L89" s="320"/>
      <c r="M89" s="320"/>
      <c r="N89" s="320"/>
      <c r="O89" s="320"/>
      <c r="P89" s="320"/>
      <c r="Q89" s="320"/>
      <c r="R89" s="320"/>
      <c r="S89" s="320"/>
      <c r="T89" s="320"/>
      <c r="U89" s="320"/>
      <c r="V89" s="320"/>
      <c r="W89" s="320"/>
      <c r="X89" s="320"/>
      <c r="Y89" s="320"/>
      <c r="Z89" s="320"/>
      <c r="AA89" s="320"/>
      <c r="AB89" s="320"/>
      <c r="AC89" s="320"/>
      <c r="AD89" s="320"/>
    </row>
    <row r="90" ht="16.5" customHeight="1">
      <c r="A90" s="329"/>
      <c r="B90" s="329" t="str">
        <f>IFERROR(__xludf.DUMMYFUNCTION("""COMPUTED_VALUE"""),"INFTUAN899")</f>
        <v>INFTUAN899</v>
      </c>
      <c r="C90" s="329" t="s">
        <v>1332</v>
      </c>
      <c r="D90" s="331">
        <v>1.27530367E8</v>
      </c>
      <c r="E90" s="331" t="s">
        <v>57</v>
      </c>
      <c r="F90" s="331" t="s">
        <v>44</v>
      </c>
      <c r="G90" s="331">
        <f>iferror(sumifs('Hợp tác'!G:G,'Hợp tác'!A:A,B90,'Hợp tác'!H:H,$G$2,'Hợp tác'!I:I,$I$2),"")</f>
        <v>0</v>
      </c>
      <c r="H90" s="332">
        <f>SUMIFS(View!J:J,View!B:B,B90)</f>
        <v>0</v>
      </c>
      <c r="I90" s="332">
        <f>sumifs('Hoa Hồng'!L:L,'Hoa Hồng'!A:A,B90)</f>
        <v>0</v>
      </c>
      <c r="J90" s="332">
        <v>0.0</v>
      </c>
      <c r="K90" s="333" t="s">
        <v>1211</v>
      </c>
      <c r="L90" s="334"/>
      <c r="M90" s="334"/>
      <c r="N90" s="334"/>
      <c r="O90" s="334"/>
      <c r="P90" s="334"/>
      <c r="Q90" s="334"/>
      <c r="R90" s="334"/>
      <c r="S90" s="334"/>
      <c r="T90" s="334"/>
      <c r="U90" s="334"/>
      <c r="V90" s="334"/>
      <c r="W90" s="334"/>
      <c r="X90" s="334"/>
      <c r="Y90" s="334"/>
      <c r="Z90" s="334"/>
      <c r="AA90" s="334"/>
      <c r="AB90" s="334"/>
      <c r="AC90" s="334"/>
      <c r="AD90" s="334"/>
    </row>
    <row r="91" ht="16.5" customHeight="1">
      <c r="A91" s="329"/>
      <c r="B91" s="329" t="str">
        <f>IFERROR(__xludf.DUMMYFUNCTION("""COMPUTED_VALUE"""),"INFQUYNH688")</f>
        <v>INFQUYNH688</v>
      </c>
      <c r="C91" s="329" t="s">
        <v>1333</v>
      </c>
      <c r="D91" s="331">
        <v>1.27530367E8</v>
      </c>
      <c r="E91" s="331" t="s">
        <v>57</v>
      </c>
      <c r="F91" s="331" t="s">
        <v>44</v>
      </c>
      <c r="G91" s="331">
        <f>iferror(sumifs('Hợp tác'!G:G,'Hợp tác'!A:A,B91,'Hợp tác'!H:H,$G$2,'Hợp tác'!I:I,$I$2),"")</f>
        <v>0</v>
      </c>
      <c r="H91" s="332">
        <f>SUMIFS(View!J:J,View!B:B,B91)</f>
        <v>0</v>
      </c>
      <c r="I91" s="332">
        <f>sumifs('Hoa Hồng'!L:L,'Hoa Hồng'!A:A,B91)</f>
        <v>0</v>
      </c>
      <c r="J91" s="332">
        <v>0.0</v>
      </c>
      <c r="K91" s="333" t="s">
        <v>1211</v>
      </c>
      <c r="L91" s="334"/>
      <c r="M91" s="334"/>
      <c r="N91" s="334"/>
      <c r="O91" s="334"/>
      <c r="P91" s="334"/>
      <c r="Q91" s="334"/>
      <c r="R91" s="334"/>
      <c r="S91" s="334"/>
      <c r="T91" s="334"/>
      <c r="U91" s="334"/>
      <c r="V91" s="334"/>
      <c r="W91" s="334"/>
      <c r="X91" s="334"/>
      <c r="Y91" s="334"/>
      <c r="Z91" s="334"/>
      <c r="AA91" s="334"/>
      <c r="AB91" s="334"/>
      <c r="AC91" s="334"/>
      <c r="AD91" s="334"/>
    </row>
    <row r="92" ht="16.5" customHeight="1">
      <c r="A92" s="335">
        <v>65.0</v>
      </c>
      <c r="B92" s="336" t="str">
        <f>IFERROR(__xludf.DUMMYFUNCTION("""COMPUTED_VALUE"""),"INFDUONG685")</f>
        <v>INFDUONG685</v>
      </c>
      <c r="C92" s="336" t="s">
        <v>71</v>
      </c>
      <c r="D92" s="337">
        <v>1.27530367E8</v>
      </c>
      <c r="E92" s="338" t="s">
        <v>57</v>
      </c>
      <c r="F92" s="338" t="s">
        <v>44</v>
      </c>
      <c r="G92" s="338">
        <f>iferror(sumifs('Hợp tác'!G:G,'Hợp tác'!A:A,B92,'Hợp tác'!H:H,$G$2,'Hợp tác'!I:I,$I$2),"")</f>
        <v>1000000</v>
      </c>
      <c r="H92" s="339">
        <f>SUMIFS(View!J:J,View!B:B,B92)</f>
        <v>0</v>
      </c>
      <c r="I92" s="339">
        <f>sumifs('Hoa Hồng'!L:L,'Hoa Hồng'!A:A,B92)</f>
        <v>0</v>
      </c>
      <c r="J92" s="340">
        <v>1000000.0</v>
      </c>
      <c r="K92" s="333" t="s">
        <v>1211</v>
      </c>
      <c r="L92" s="320"/>
      <c r="M92" s="320"/>
      <c r="N92" s="320"/>
      <c r="O92" s="320"/>
      <c r="P92" s="320"/>
      <c r="Q92" s="320"/>
      <c r="R92" s="320"/>
      <c r="S92" s="320"/>
      <c r="T92" s="320"/>
      <c r="U92" s="320"/>
      <c r="V92" s="320"/>
      <c r="W92" s="320"/>
      <c r="X92" s="320"/>
      <c r="Y92" s="320"/>
      <c r="Z92" s="320"/>
      <c r="AA92" s="320"/>
      <c r="AB92" s="320"/>
      <c r="AC92" s="320"/>
      <c r="AD92" s="320"/>
    </row>
    <row r="93" ht="16.5" customHeight="1">
      <c r="A93" s="335">
        <v>66.0</v>
      </c>
      <c r="B93" s="336" t="str">
        <f>IFERROR(__xludf.DUMMYFUNCTION("""COMPUTED_VALUE"""),"INFNHAT557")</f>
        <v>INFNHAT557</v>
      </c>
      <c r="C93" s="336" t="s">
        <v>1334</v>
      </c>
      <c r="D93" s="337">
        <v>1.27530367E8</v>
      </c>
      <c r="E93" s="338" t="s">
        <v>57</v>
      </c>
      <c r="F93" s="338" t="s">
        <v>44</v>
      </c>
      <c r="G93" s="338">
        <f>iferror(sumifs('Hợp tác'!G:G,'Hợp tác'!A:A,B93,'Hợp tác'!H:H,$G$2,'Hợp tác'!I:I,$I$2),"")</f>
        <v>1000000</v>
      </c>
      <c r="H93" s="339">
        <f>SUMIFS(View!J:J,View!B:B,B93)</f>
        <v>0</v>
      </c>
      <c r="I93" s="339">
        <f>sumifs('Hoa Hồng'!L:L,'Hoa Hồng'!A:A,B93)</f>
        <v>0</v>
      </c>
      <c r="J93" s="340">
        <v>1000000.0</v>
      </c>
      <c r="K93" s="333" t="s">
        <v>1211</v>
      </c>
      <c r="L93" s="320"/>
      <c r="M93" s="320"/>
      <c r="N93" s="320"/>
      <c r="O93" s="320"/>
      <c r="P93" s="320"/>
      <c r="Q93" s="320"/>
      <c r="R93" s="320"/>
      <c r="S93" s="320"/>
      <c r="T93" s="320"/>
      <c r="U93" s="320"/>
      <c r="V93" s="320"/>
      <c r="W93" s="320"/>
      <c r="X93" s="320"/>
      <c r="Y93" s="320"/>
      <c r="Z93" s="320"/>
      <c r="AA93" s="320"/>
      <c r="AB93" s="320"/>
      <c r="AC93" s="320"/>
      <c r="AD93" s="320"/>
    </row>
    <row r="94" ht="16.5" customHeight="1">
      <c r="A94" s="335">
        <v>67.0</v>
      </c>
      <c r="B94" s="336" t="str">
        <f>IFERROR(__xludf.DUMMYFUNCTION("""COMPUTED_VALUE"""),"INFTRANG535")</f>
        <v>INFTRANG535</v>
      </c>
      <c r="C94" s="336" t="s">
        <v>1335</v>
      </c>
      <c r="D94" s="337">
        <v>1.27530367E8</v>
      </c>
      <c r="E94" s="338" t="s">
        <v>57</v>
      </c>
      <c r="F94" s="338" t="s">
        <v>44</v>
      </c>
      <c r="G94" s="338">
        <f>iferror(sumifs('Hợp tác'!G:G,'Hợp tác'!A:A,B94,'Hợp tác'!H:H,$G$2,'Hợp tác'!I:I,$I$2),"")</f>
        <v>1000000</v>
      </c>
      <c r="H94" s="339">
        <f>SUMIFS(View!J:J,View!B:B,B94)</f>
        <v>3000000</v>
      </c>
      <c r="I94" s="339">
        <f>sumifs('Hoa Hồng'!L:L,'Hoa Hồng'!A:A,B94)</f>
        <v>0</v>
      </c>
      <c r="J94" s="340">
        <v>4000000.0</v>
      </c>
      <c r="K94" s="333" t="s">
        <v>1211</v>
      </c>
      <c r="L94" s="320"/>
      <c r="M94" s="320"/>
      <c r="N94" s="320"/>
      <c r="O94" s="320"/>
      <c r="P94" s="320"/>
      <c r="Q94" s="320"/>
      <c r="R94" s="320"/>
      <c r="S94" s="320"/>
      <c r="T94" s="320"/>
      <c r="U94" s="320"/>
      <c r="V94" s="320"/>
      <c r="W94" s="320"/>
      <c r="X94" s="320"/>
      <c r="Y94" s="320"/>
      <c r="Z94" s="320"/>
      <c r="AA94" s="320"/>
      <c r="AB94" s="320"/>
      <c r="AC94" s="320"/>
      <c r="AD94" s="320"/>
    </row>
    <row r="95" ht="16.5" customHeight="1">
      <c r="A95" s="335">
        <v>68.0</v>
      </c>
      <c r="B95" s="336" t="str">
        <f>IFERROR(__xludf.DUMMYFUNCTION("""COMPUTED_VALUE"""),"INFHUONG558")</f>
        <v>INFHUONG558</v>
      </c>
      <c r="C95" s="336" t="s">
        <v>1336</v>
      </c>
      <c r="D95" s="337">
        <v>1.27530367E8</v>
      </c>
      <c r="E95" s="338" t="s">
        <v>57</v>
      </c>
      <c r="F95" s="338" t="s">
        <v>44</v>
      </c>
      <c r="G95" s="338">
        <f>iferror(sumifs('Hợp tác'!G:G,'Hợp tác'!A:A,B95,'Hợp tác'!H:H,$G$2,'Hợp tác'!I:I,$I$2),"")</f>
        <v>1000000</v>
      </c>
      <c r="H95" s="339">
        <f>SUMIFS(View!J:J,View!B:B,B95)</f>
        <v>500000</v>
      </c>
      <c r="I95" s="339">
        <f>sumifs('Hoa Hồng'!L:L,'Hoa Hồng'!A:A,B95)</f>
        <v>0</v>
      </c>
      <c r="J95" s="340">
        <v>1500000.0</v>
      </c>
      <c r="K95" s="333" t="s">
        <v>1211</v>
      </c>
      <c r="L95" s="320"/>
      <c r="M95" s="320"/>
      <c r="N95" s="320"/>
      <c r="O95" s="320"/>
      <c r="P95" s="320"/>
      <c r="Q95" s="320"/>
      <c r="R95" s="320"/>
      <c r="S95" s="320"/>
      <c r="T95" s="320"/>
      <c r="U95" s="320"/>
      <c r="V95" s="320"/>
      <c r="W95" s="320"/>
      <c r="X95" s="320"/>
      <c r="Y95" s="320"/>
      <c r="Z95" s="320"/>
      <c r="AA95" s="320"/>
      <c r="AB95" s="320"/>
      <c r="AC95" s="320"/>
      <c r="AD95" s="320"/>
    </row>
    <row r="96" ht="16.5" customHeight="1">
      <c r="A96" s="335">
        <v>69.0</v>
      </c>
      <c r="B96" s="336" t="str">
        <f>IFERROR(__xludf.DUMMYFUNCTION("""COMPUTED_VALUE"""),"INFQUYEN983")</f>
        <v>INFQUYEN983</v>
      </c>
      <c r="C96" s="336" t="s">
        <v>1337</v>
      </c>
      <c r="D96" s="337">
        <v>1.27530367E8</v>
      </c>
      <c r="E96" s="338" t="s">
        <v>57</v>
      </c>
      <c r="F96" s="338" t="s">
        <v>44</v>
      </c>
      <c r="G96" s="338">
        <f>iferror(sumifs('Hợp tác'!G:G,'Hợp tác'!A:A,B96,'Hợp tác'!H:H,$G$2,'Hợp tác'!I:I,$I$2),"")</f>
        <v>1000000</v>
      </c>
      <c r="H96" s="339">
        <f>SUMIFS(View!J:J,View!B:B,B96)</f>
        <v>1000000</v>
      </c>
      <c r="I96" s="339">
        <f>sumifs('Hoa Hồng'!L:L,'Hoa Hồng'!A:A,B96)</f>
        <v>0</v>
      </c>
      <c r="J96" s="340">
        <v>2000000.0</v>
      </c>
      <c r="K96" s="333" t="s">
        <v>1211</v>
      </c>
      <c r="L96" s="320"/>
      <c r="M96" s="320"/>
      <c r="N96" s="320"/>
      <c r="O96" s="320"/>
      <c r="P96" s="320"/>
      <c r="Q96" s="320"/>
      <c r="R96" s="320"/>
      <c r="S96" s="320"/>
      <c r="T96" s="320"/>
      <c r="U96" s="320"/>
      <c r="V96" s="320"/>
      <c r="W96" s="320"/>
      <c r="X96" s="320"/>
      <c r="Y96" s="320"/>
      <c r="Z96" s="320"/>
      <c r="AA96" s="320"/>
      <c r="AB96" s="320"/>
      <c r="AC96" s="320"/>
      <c r="AD96" s="320"/>
    </row>
    <row r="97" ht="16.5" customHeight="1">
      <c r="A97" s="335">
        <v>70.0</v>
      </c>
      <c r="B97" s="336" t="str">
        <f>IFERROR(__xludf.DUMMYFUNCTION("""COMPUTED_VALUE"""),"INFDONG741")</f>
        <v>INFDONG741</v>
      </c>
      <c r="C97" s="336" t="s">
        <v>65</v>
      </c>
      <c r="D97" s="337">
        <v>1.27530367E8</v>
      </c>
      <c r="E97" s="338" t="s">
        <v>57</v>
      </c>
      <c r="F97" s="338" t="s">
        <v>44</v>
      </c>
      <c r="G97" s="338">
        <f>iferror(sumifs('Hợp tác'!G:G,'Hợp tác'!A:A,B97,'Hợp tác'!H:H,$G$2,'Hợp tác'!I:I,$I$2),"")</f>
        <v>1000000</v>
      </c>
      <c r="H97" s="339">
        <f>SUMIFS(View!J:J,View!B:B,B97)</f>
        <v>0</v>
      </c>
      <c r="I97" s="339">
        <f>sumifs('Hoa Hồng'!L:L,'Hoa Hồng'!A:A,B97)</f>
        <v>0</v>
      </c>
      <c r="J97" s="340">
        <v>1000000.0</v>
      </c>
      <c r="K97" s="333" t="s">
        <v>1211</v>
      </c>
      <c r="L97" s="320"/>
      <c r="M97" s="320"/>
      <c r="N97" s="320"/>
      <c r="O97" s="320"/>
      <c r="P97" s="320"/>
      <c r="Q97" s="320"/>
      <c r="R97" s="320"/>
      <c r="S97" s="320"/>
      <c r="T97" s="320"/>
      <c r="U97" s="320"/>
      <c r="V97" s="320"/>
      <c r="W97" s="320"/>
      <c r="X97" s="320"/>
      <c r="Y97" s="320"/>
      <c r="Z97" s="320"/>
      <c r="AA97" s="320"/>
      <c r="AB97" s="320"/>
      <c r="AC97" s="320"/>
      <c r="AD97" s="320"/>
    </row>
    <row r="98" ht="16.5" customHeight="1">
      <c r="A98" s="335">
        <v>71.0</v>
      </c>
      <c r="B98" s="336" t="str">
        <f>IFERROR(__xludf.DUMMYFUNCTION("""COMPUTED_VALUE"""),"INFPHUONG332")</f>
        <v>INFPHUONG332</v>
      </c>
      <c r="C98" s="336" t="s">
        <v>1338</v>
      </c>
      <c r="D98" s="337">
        <v>1.27530367E8</v>
      </c>
      <c r="E98" s="338" t="s">
        <v>57</v>
      </c>
      <c r="F98" s="338" t="s">
        <v>44</v>
      </c>
      <c r="G98" s="338">
        <f>iferror(sumifs('Hợp tác'!G:G,'Hợp tác'!A:A,B98,'Hợp tác'!H:H,$G$2,'Hợp tác'!I:I,$I$2),"")</f>
        <v>1000000</v>
      </c>
      <c r="H98" s="339">
        <f>SUMIFS(View!J:J,View!B:B,B98)</f>
        <v>12500000</v>
      </c>
      <c r="I98" s="339">
        <f>sumifs('Hoa Hồng'!L:L,'Hoa Hồng'!A:A,B98)</f>
        <v>0</v>
      </c>
      <c r="J98" s="340">
        <v>1.35E7</v>
      </c>
      <c r="K98" s="333" t="s">
        <v>1211</v>
      </c>
      <c r="L98" s="320"/>
      <c r="M98" s="320"/>
      <c r="N98" s="320"/>
      <c r="O98" s="320"/>
      <c r="P98" s="320"/>
      <c r="Q98" s="320"/>
      <c r="R98" s="320"/>
      <c r="S98" s="320"/>
      <c r="T98" s="320"/>
      <c r="U98" s="320"/>
      <c r="V98" s="320"/>
      <c r="W98" s="320"/>
      <c r="X98" s="320"/>
      <c r="Y98" s="320"/>
      <c r="Z98" s="320"/>
      <c r="AA98" s="320"/>
      <c r="AB98" s="320"/>
      <c r="AC98" s="320"/>
      <c r="AD98" s="320"/>
    </row>
    <row r="99" ht="16.5" customHeight="1">
      <c r="A99" s="329"/>
      <c r="B99" s="329" t="str">
        <f>IFERROR(__xludf.DUMMYFUNCTION("""COMPUTED_VALUE"""),"INFHOANG524")</f>
        <v>INFHOANG524</v>
      </c>
      <c r="C99" s="329" t="s">
        <v>1339</v>
      </c>
      <c r="D99" s="331">
        <v>1.27530367E8</v>
      </c>
      <c r="E99" s="331" t="s">
        <v>57</v>
      </c>
      <c r="F99" s="331" t="s">
        <v>44</v>
      </c>
      <c r="G99" s="331">
        <f>iferror(sumifs('Hợp tác'!G:G,'Hợp tác'!A:A,B99,'Hợp tác'!H:H,$G$2,'Hợp tác'!I:I,$I$2),"")</f>
        <v>0</v>
      </c>
      <c r="H99" s="332">
        <f>SUMIFS(View!J:J,View!B:B,B99)</f>
        <v>0</v>
      </c>
      <c r="I99" s="332">
        <f>sumifs('Hoa Hồng'!L:L,'Hoa Hồng'!A:A,B99)</f>
        <v>0</v>
      </c>
      <c r="J99" s="332">
        <v>0.0</v>
      </c>
      <c r="K99" s="333" t="s">
        <v>1211</v>
      </c>
      <c r="L99" s="334"/>
      <c r="M99" s="334"/>
      <c r="N99" s="334"/>
      <c r="O99" s="334"/>
      <c r="P99" s="334"/>
      <c r="Q99" s="334"/>
      <c r="R99" s="334"/>
      <c r="S99" s="334"/>
      <c r="T99" s="334"/>
      <c r="U99" s="334"/>
      <c r="V99" s="334"/>
      <c r="W99" s="334"/>
      <c r="X99" s="334"/>
      <c r="Y99" s="334"/>
      <c r="Z99" s="334"/>
      <c r="AA99" s="334"/>
      <c r="AB99" s="334"/>
      <c r="AC99" s="334"/>
      <c r="AD99" s="334"/>
    </row>
    <row r="100" ht="16.5" customHeight="1">
      <c r="A100" s="335">
        <v>72.0</v>
      </c>
      <c r="B100" s="336" t="str">
        <f>IFERROR(__xludf.DUMMYFUNCTION("""COMPUTED_VALUE"""),"INFVAN215")</f>
        <v>INFVAN215</v>
      </c>
      <c r="C100" s="336" t="s">
        <v>55</v>
      </c>
      <c r="D100" s="337">
        <v>1.27530367E8</v>
      </c>
      <c r="E100" s="338" t="s">
        <v>57</v>
      </c>
      <c r="F100" s="338" t="s">
        <v>44</v>
      </c>
      <c r="G100" s="338">
        <f>iferror(sumifs('Hợp tác'!G:G,'Hợp tác'!A:A,B100,'Hợp tác'!H:H,$G$2,'Hợp tác'!I:I,$I$2),"")</f>
        <v>1000000</v>
      </c>
      <c r="H100" s="339">
        <f>SUMIFS(View!J:J,View!B:B,B100)</f>
        <v>500000</v>
      </c>
      <c r="I100" s="339">
        <f>sumifs('Hoa Hồng'!L:L,'Hoa Hồng'!A:A,B100)</f>
        <v>0</v>
      </c>
      <c r="J100" s="340">
        <v>1500000.0</v>
      </c>
      <c r="K100" s="333" t="s">
        <v>1211</v>
      </c>
      <c r="L100" s="320"/>
      <c r="M100" s="320"/>
      <c r="N100" s="320"/>
      <c r="O100" s="320"/>
      <c r="P100" s="320"/>
      <c r="Q100" s="320"/>
      <c r="R100" s="320"/>
      <c r="S100" s="320"/>
      <c r="T100" s="320"/>
      <c r="U100" s="320"/>
      <c r="V100" s="320"/>
      <c r="W100" s="320"/>
      <c r="X100" s="320"/>
      <c r="Y100" s="320"/>
      <c r="Z100" s="320"/>
      <c r="AA100" s="320"/>
      <c r="AB100" s="320"/>
      <c r="AC100" s="320"/>
      <c r="AD100" s="320"/>
    </row>
    <row r="101" ht="16.5" customHeight="1">
      <c r="A101" s="335">
        <v>73.0</v>
      </c>
      <c r="B101" s="336" t="str">
        <f>IFERROR(__xludf.DUMMYFUNCTION("""COMPUTED_VALUE"""),"INFTRANG007")</f>
        <v>INFTRANG007</v>
      </c>
      <c r="C101" s="336" t="s">
        <v>1340</v>
      </c>
      <c r="D101" s="337">
        <v>1.27530367E8</v>
      </c>
      <c r="E101" s="338" t="s">
        <v>57</v>
      </c>
      <c r="F101" s="338" t="s">
        <v>44</v>
      </c>
      <c r="G101" s="338">
        <f>iferror(sumifs('Hợp tác'!G:G,'Hợp tác'!A:A,B101,'Hợp tác'!H:H,$G$2,'Hợp tác'!I:I,$I$2),"")</f>
        <v>0</v>
      </c>
      <c r="H101" s="339">
        <f>SUMIFS(View!J:J,View!B:B,B101)</f>
        <v>0</v>
      </c>
      <c r="I101" s="339">
        <f>sumifs('Hoa Hồng'!L:L,'Hoa Hồng'!A:A,B101)</f>
        <v>0</v>
      </c>
      <c r="J101" s="340">
        <v>0.0</v>
      </c>
      <c r="K101" s="333" t="s">
        <v>1211</v>
      </c>
      <c r="L101" s="320"/>
      <c r="M101" s="320"/>
      <c r="N101" s="320"/>
      <c r="O101" s="320"/>
      <c r="P101" s="320"/>
      <c r="Q101" s="320"/>
      <c r="R101" s="320"/>
      <c r="S101" s="320"/>
      <c r="T101" s="320"/>
      <c r="U101" s="320"/>
      <c r="V101" s="320"/>
      <c r="W101" s="320"/>
      <c r="X101" s="320"/>
      <c r="Y101" s="320"/>
      <c r="Z101" s="320"/>
      <c r="AA101" s="320"/>
      <c r="AB101" s="320"/>
      <c r="AC101" s="320"/>
      <c r="AD101" s="320"/>
    </row>
    <row r="102" ht="16.5" customHeight="1">
      <c r="A102" s="335">
        <v>74.0</v>
      </c>
      <c r="B102" s="336" t="str">
        <f>IFERROR(__xludf.DUMMYFUNCTION("""COMPUTED_VALUE"""),"INFANH789")</f>
        <v>INFANH789</v>
      </c>
      <c r="C102" s="336" t="s">
        <v>1341</v>
      </c>
      <c r="D102" s="337">
        <v>1.27530367E8</v>
      </c>
      <c r="E102" s="338" t="s">
        <v>57</v>
      </c>
      <c r="F102" s="338" t="s">
        <v>44</v>
      </c>
      <c r="G102" s="338">
        <f>iferror(sumifs('Hợp tác'!G:G,'Hợp tác'!A:A,B102,'Hợp tác'!H:H,$G$2,'Hợp tác'!I:I,$I$2),"")</f>
        <v>0</v>
      </c>
      <c r="H102" s="339">
        <f>SUMIFS(View!J:J,View!B:B,B102)</f>
        <v>0</v>
      </c>
      <c r="I102" s="339">
        <f>sumifs('Hoa Hồng'!L:L,'Hoa Hồng'!A:A,B102)</f>
        <v>0</v>
      </c>
      <c r="J102" s="340">
        <v>0.0</v>
      </c>
      <c r="K102" s="333" t="s">
        <v>1211</v>
      </c>
      <c r="L102" s="320"/>
      <c r="M102" s="320"/>
      <c r="N102" s="320"/>
      <c r="O102" s="320"/>
      <c r="P102" s="320"/>
      <c r="Q102" s="320"/>
      <c r="R102" s="320"/>
      <c r="S102" s="320"/>
      <c r="T102" s="320"/>
      <c r="U102" s="320"/>
      <c r="V102" s="320"/>
      <c r="W102" s="320"/>
      <c r="X102" s="320"/>
      <c r="Y102" s="320"/>
      <c r="Z102" s="320"/>
      <c r="AA102" s="320"/>
      <c r="AB102" s="320"/>
      <c r="AC102" s="320"/>
      <c r="AD102" s="320"/>
    </row>
    <row r="103" ht="16.5" customHeight="1">
      <c r="A103" s="335">
        <v>75.0</v>
      </c>
      <c r="B103" s="336" t="str">
        <f>IFERROR(__xludf.DUMMYFUNCTION("""COMPUTED_VALUE"""),"INFHUONG005")</f>
        <v>INFHUONG005</v>
      </c>
      <c r="C103" s="336" t="s">
        <v>1342</v>
      </c>
      <c r="D103" s="337">
        <v>1.27530367E8</v>
      </c>
      <c r="E103" s="338" t="s">
        <v>57</v>
      </c>
      <c r="F103" s="338" t="s">
        <v>44</v>
      </c>
      <c r="G103" s="338">
        <f>iferror(sumifs('Hợp tác'!G:G,'Hợp tác'!A:A,B103,'Hợp tác'!H:H,$G$2,'Hợp tác'!I:I,$I$2),"")</f>
        <v>0</v>
      </c>
      <c r="H103" s="339">
        <f>SUMIFS(View!J:J,View!B:B,B103)</f>
        <v>0</v>
      </c>
      <c r="I103" s="339">
        <f>sumifs('Hoa Hồng'!L:L,'Hoa Hồng'!A:A,B103)</f>
        <v>0</v>
      </c>
      <c r="J103" s="340">
        <v>0.0</v>
      </c>
      <c r="K103" s="333" t="s">
        <v>1211</v>
      </c>
      <c r="L103" s="320"/>
      <c r="M103" s="320"/>
      <c r="N103" s="320"/>
      <c r="O103" s="320"/>
      <c r="P103" s="320"/>
      <c r="Q103" s="320"/>
      <c r="R103" s="320"/>
      <c r="S103" s="320"/>
      <c r="T103" s="320"/>
      <c r="U103" s="320"/>
      <c r="V103" s="320"/>
      <c r="W103" s="320"/>
      <c r="X103" s="320"/>
      <c r="Y103" s="320"/>
      <c r="Z103" s="320"/>
      <c r="AA103" s="320"/>
      <c r="AB103" s="320"/>
      <c r="AC103" s="320"/>
      <c r="AD103" s="320"/>
    </row>
    <row r="104" ht="16.5" customHeight="1">
      <c r="A104" s="335">
        <v>76.0</v>
      </c>
      <c r="B104" s="336" t="str">
        <f>IFERROR(__xludf.DUMMYFUNCTION("""COMPUTED_VALUE"""),"INFHIEN866")</f>
        <v>INFHIEN866</v>
      </c>
      <c r="C104" s="336" t="s">
        <v>1343</v>
      </c>
      <c r="D104" s="337">
        <v>1.27530367E8</v>
      </c>
      <c r="E104" s="338" t="s">
        <v>57</v>
      </c>
      <c r="F104" s="338" t="s">
        <v>44</v>
      </c>
      <c r="G104" s="338">
        <f>iferror(sumifs('Hợp tác'!G:G,'Hợp tác'!A:A,B104,'Hợp tác'!H:H,$G$2,'Hợp tác'!I:I,$I$2),"")</f>
        <v>0</v>
      </c>
      <c r="H104" s="339">
        <f>SUMIFS(View!J:J,View!B:B,B104)</f>
        <v>0</v>
      </c>
      <c r="I104" s="339">
        <f>sumifs('Hoa Hồng'!L:L,'Hoa Hồng'!A:A,B104)</f>
        <v>0</v>
      </c>
      <c r="J104" s="340">
        <v>0.0</v>
      </c>
      <c r="K104" s="333" t="s">
        <v>1211</v>
      </c>
      <c r="L104" s="320"/>
      <c r="M104" s="320"/>
      <c r="N104" s="320"/>
      <c r="O104" s="320"/>
      <c r="P104" s="320"/>
      <c r="Q104" s="320"/>
      <c r="R104" s="320"/>
      <c r="S104" s="320"/>
      <c r="T104" s="320"/>
      <c r="U104" s="320"/>
      <c r="V104" s="320"/>
      <c r="W104" s="320"/>
      <c r="X104" s="320"/>
      <c r="Y104" s="320"/>
      <c r="Z104" s="320"/>
      <c r="AA104" s="320"/>
      <c r="AB104" s="320"/>
      <c r="AC104" s="320"/>
      <c r="AD104" s="320"/>
    </row>
    <row r="105" ht="16.5" customHeight="1">
      <c r="A105" s="329"/>
      <c r="B105" s="329" t="str">
        <f>IFERROR(__xludf.DUMMYFUNCTION("""COMPUTED_VALUE"""),"INFHUYEN889")</f>
        <v>INFHUYEN889</v>
      </c>
      <c r="C105" s="329" t="s">
        <v>321</v>
      </c>
      <c r="D105" s="331">
        <v>1.9032361721888E13</v>
      </c>
      <c r="E105" s="331" t="s">
        <v>1344</v>
      </c>
      <c r="F105" s="331" t="s">
        <v>48</v>
      </c>
      <c r="G105" s="331">
        <f>iferror(sumifs('Hợp tác'!G:G,'Hợp tác'!A:A,B105,'Hợp tác'!H:H,$G$2,'Hợp tác'!I:I,$I$2),"")</f>
        <v>1000000</v>
      </c>
      <c r="H105" s="332">
        <f>SUMIFS(View!J:J,View!B:B,B105)</f>
        <v>0</v>
      </c>
      <c r="I105" s="332">
        <f>sumifs('Hoa Hồng'!L:L,'Hoa Hồng'!A:A,B105)</f>
        <v>0</v>
      </c>
      <c r="J105" s="332">
        <v>1000000.0</v>
      </c>
      <c r="K105" s="333" t="s">
        <v>1211</v>
      </c>
      <c r="L105" s="334"/>
      <c r="M105" s="334"/>
      <c r="N105" s="334"/>
      <c r="O105" s="334"/>
      <c r="P105" s="334"/>
      <c r="Q105" s="334"/>
      <c r="R105" s="334"/>
      <c r="S105" s="334"/>
      <c r="T105" s="334"/>
      <c r="U105" s="334"/>
      <c r="V105" s="334"/>
      <c r="W105" s="334"/>
      <c r="X105" s="334"/>
      <c r="Y105" s="334"/>
      <c r="Z105" s="334"/>
      <c r="AA105" s="334"/>
      <c r="AB105" s="334"/>
      <c r="AC105" s="334"/>
      <c r="AD105" s="334"/>
    </row>
    <row r="106" ht="16.5" customHeight="1">
      <c r="A106" s="335">
        <v>77.0</v>
      </c>
      <c r="B106" s="336" t="str">
        <f>IFERROR(__xludf.DUMMYFUNCTION("""COMPUTED_VALUE"""),"INFDUC356")</f>
        <v>INFDUC356</v>
      </c>
      <c r="C106" s="336" t="s">
        <v>1345</v>
      </c>
      <c r="D106" s="337">
        <v>1.9032465811889E13</v>
      </c>
      <c r="E106" s="338" t="s">
        <v>1346</v>
      </c>
      <c r="F106" s="338" t="s">
        <v>1347</v>
      </c>
      <c r="G106" s="338">
        <f>iferror(sumifs('Hợp tác'!G:G,'Hợp tác'!A:A,B106,'Hợp tác'!H:H,$G$2,'Hợp tác'!I:I,$I$2),"")</f>
        <v>500000</v>
      </c>
      <c r="H106" s="339">
        <f>SUMIFS(View!J:J,View!B:B,B106)</f>
        <v>0</v>
      </c>
      <c r="I106" s="339">
        <f>sumifs('Hoa Hồng'!L:L,'Hoa Hồng'!A:A,B106)</f>
        <v>0</v>
      </c>
      <c r="J106" s="340">
        <v>500000.0</v>
      </c>
      <c r="K106" s="333" t="s">
        <v>1211</v>
      </c>
      <c r="L106" s="320"/>
      <c r="M106" s="320"/>
      <c r="N106" s="320"/>
      <c r="O106" s="320"/>
      <c r="P106" s="320"/>
      <c r="Q106" s="320"/>
      <c r="R106" s="320"/>
      <c r="S106" s="320"/>
      <c r="T106" s="320"/>
      <c r="U106" s="320"/>
      <c r="V106" s="320"/>
      <c r="W106" s="320"/>
      <c r="X106" s="320"/>
      <c r="Y106" s="320"/>
      <c r="Z106" s="320"/>
      <c r="AA106" s="320"/>
      <c r="AB106" s="320"/>
      <c r="AC106" s="320"/>
      <c r="AD106" s="320"/>
    </row>
    <row r="107" ht="16.5" customHeight="1">
      <c r="A107" s="335">
        <v>78.0</v>
      </c>
      <c r="B107" s="336" t="str">
        <f>IFERROR(__xludf.DUMMYFUNCTION("""COMPUTED_VALUE"""),"INFTRANG994")</f>
        <v>INFTRANG994</v>
      </c>
      <c r="C107" s="336" t="s">
        <v>1348</v>
      </c>
      <c r="D107" s="337">
        <v>2.29331345E8</v>
      </c>
      <c r="E107" s="338" t="s">
        <v>1349</v>
      </c>
      <c r="F107" s="338" t="s">
        <v>1350</v>
      </c>
      <c r="G107" s="338">
        <f>iferror(sumifs('Hợp tác'!G:G,'Hợp tác'!A:A,B107,'Hợp tác'!H:H,$G$2,'Hợp tác'!I:I,$I$2),"")</f>
        <v>1000000</v>
      </c>
      <c r="H107" s="339">
        <f>SUMIFS(View!J:J,View!B:B,B107)</f>
        <v>17500000</v>
      </c>
      <c r="I107" s="339">
        <f>sumifs('Hoa Hồng'!L:L,'Hoa Hồng'!A:A,B107)</f>
        <v>0</v>
      </c>
      <c r="J107" s="340">
        <v>1.85E7</v>
      </c>
      <c r="K107" s="333" t="s">
        <v>1211</v>
      </c>
      <c r="L107" s="320"/>
      <c r="M107" s="320"/>
      <c r="N107" s="320"/>
      <c r="O107" s="320"/>
      <c r="P107" s="320"/>
      <c r="Q107" s="320"/>
      <c r="R107" s="320"/>
      <c r="S107" s="320"/>
      <c r="T107" s="320"/>
      <c r="U107" s="320"/>
      <c r="V107" s="320"/>
      <c r="W107" s="320"/>
      <c r="X107" s="320"/>
      <c r="Y107" s="320"/>
      <c r="Z107" s="320"/>
      <c r="AA107" s="320"/>
      <c r="AB107" s="320"/>
      <c r="AC107" s="320"/>
      <c r="AD107" s="320"/>
    </row>
    <row r="108" ht="16.5" customHeight="1">
      <c r="A108" s="335">
        <v>79.0</v>
      </c>
      <c r="B108" s="336" t="str">
        <f>IFERROR(__xludf.DUMMYFUNCTION("""COMPUTED_VALUE"""),"INFTHU885")</f>
        <v>INFTHU885</v>
      </c>
      <c r="C108" s="336" t="s">
        <v>1351</v>
      </c>
      <c r="D108" s="337">
        <v>4.711000158292E13</v>
      </c>
      <c r="E108" s="338" t="s">
        <v>1352</v>
      </c>
      <c r="F108" s="338" t="s">
        <v>1353</v>
      </c>
      <c r="G108" s="338">
        <f>iferror(sumifs('Hợp tác'!G:G,'Hợp tác'!A:A,B108,'Hợp tác'!H:H,$G$2,'Hợp tác'!I:I,$I$2),"")</f>
        <v>1000000</v>
      </c>
      <c r="H108" s="339">
        <f>SUMIFS(View!J:J,View!B:B,B108)</f>
        <v>500000</v>
      </c>
      <c r="I108" s="339">
        <f>sumifs('Hoa Hồng'!L:L,'Hoa Hồng'!A:A,B108)</f>
        <v>0</v>
      </c>
      <c r="J108" s="340">
        <v>1500000.0</v>
      </c>
      <c r="K108" s="333" t="s">
        <v>1211</v>
      </c>
      <c r="L108" s="320"/>
      <c r="M108" s="320"/>
      <c r="N108" s="320"/>
      <c r="O108" s="320"/>
      <c r="P108" s="320"/>
      <c r="Q108" s="320"/>
      <c r="R108" s="320"/>
      <c r="S108" s="320"/>
      <c r="T108" s="320"/>
      <c r="U108" s="320"/>
      <c r="V108" s="320"/>
      <c r="W108" s="320"/>
      <c r="X108" s="320"/>
      <c r="Y108" s="320"/>
      <c r="Z108" s="320"/>
      <c r="AA108" s="320"/>
      <c r="AB108" s="320"/>
      <c r="AC108" s="320"/>
      <c r="AD108" s="320"/>
    </row>
    <row r="109" ht="16.5" customHeight="1">
      <c r="A109" s="335">
        <v>80.0</v>
      </c>
      <c r="B109" s="336" t="str">
        <f>IFERROR(__xludf.DUMMYFUNCTION("""COMPUTED_VALUE"""),"INFPHONG346")</f>
        <v>INFPHONG346</v>
      </c>
      <c r="C109" s="336" t="s">
        <v>1354</v>
      </c>
      <c r="D109" s="337">
        <v>1.9033482702011E13</v>
      </c>
      <c r="E109" s="338" t="s">
        <v>1355</v>
      </c>
      <c r="F109" s="338" t="s">
        <v>48</v>
      </c>
      <c r="G109" s="338">
        <f>iferror(sumifs('Hợp tác'!G:G,'Hợp tác'!A:A,B109,'Hợp tác'!H:H,$G$2,'Hợp tác'!I:I,$I$2),"")</f>
        <v>0</v>
      </c>
      <c r="H109" s="339">
        <f>SUMIFS(View!J:J,View!B:B,B109)</f>
        <v>0</v>
      </c>
      <c r="I109" s="339">
        <f>sumifs('Hoa Hồng'!L:L,'Hoa Hồng'!A:A,B109)</f>
        <v>0</v>
      </c>
      <c r="J109" s="340">
        <v>0.0</v>
      </c>
      <c r="K109" s="333" t="s">
        <v>1211</v>
      </c>
      <c r="L109" s="320"/>
      <c r="M109" s="320"/>
      <c r="N109" s="320"/>
      <c r="O109" s="320"/>
      <c r="P109" s="320"/>
      <c r="Q109" s="320"/>
      <c r="R109" s="320"/>
      <c r="S109" s="320"/>
      <c r="T109" s="320"/>
      <c r="U109" s="320"/>
      <c r="V109" s="320"/>
      <c r="W109" s="320"/>
      <c r="X109" s="320"/>
      <c r="Y109" s="320"/>
      <c r="Z109" s="320"/>
      <c r="AA109" s="320"/>
      <c r="AB109" s="320"/>
      <c r="AC109" s="320"/>
      <c r="AD109" s="320"/>
    </row>
    <row r="110" ht="16.5" customHeight="1">
      <c r="A110" s="335">
        <v>81.0</v>
      </c>
      <c r="B110" s="336" t="str">
        <f>IFERROR(__xludf.DUMMYFUNCTION("""COMPUTED_VALUE"""),"INFTHY605")</f>
        <v>INFTHY605</v>
      </c>
      <c r="C110" s="336" t="s">
        <v>1356</v>
      </c>
      <c r="D110" s="337">
        <v>7.76613042003E11</v>
      </c>
      <c r="E110" s="338" t="s">
        <v>1357</v>
      </c>
      <c r="F110" s="338" t="s">
        <v>1358</v>
      </c>
      <c r="G110" s="338">
        <f>iferror(sumifs('Hợp tác'!G:G,'Hợp tác'!A:A,B110,'Hợp tác'!H:H,$G$2,'Hợp tác'!I:I,$I$2),"")</f>
        <v>1000000</v>
      </c>
      <c r="H110" s="339">
        <f>SUMIFS(View!J:J,View!B:B,B110)</f>
        <v>0</v>
      </c>
      <c r="I110" s="339">
        <f>sumifs('Hoa Hồng'!L:L,'Hoa Hồng'!A:A,B110)</f>
        <v>0</v>
      </c>
      <c r="J110" s="340">
        <v>1000000.0</v>
      </c>
      <c r="K110" s="333" t="s">
        <v>1211</v>
      </c>
      <c r="L110" s="320"/>
      <c r="M110" s="320"/>
      <c r="N110" s="320"/>
      <c r="O110" s="320"/>
      <c r="P110" s="320"/>
      <c r="Q110" s="320"/>
      <c r="R110" s="320"/>
      <c r="S110" s="320"/>
      <c r="T110" s="320"/>
      <c r="U110" s="320"/>
      <c r="V110" s="320"/>
      <c r="W110" s="320"/>
      <c r="X110" s="320"/>
      <c r="Y110" s="320"/>
      <c r="Z110" s="320"/>
      <c r="AA110" s="320"/>
      <c r="AB110" s="320"/>
      <c r="AC110" s="320"/>
      <c r="AD110" s="320"/>
    </row>
    <row r="111" ht="16.5" customHeight="1">
      <c r="A111" s="329"/>
      <c r="B111" s="329" t="str">
        <f>IFERROR(__xludf.DUMMYFUNCTION("""COMPUTED_VALUE"""),"INFVI950")</f>
        <v>INFVI950</v>
      </c>
      <c r="C111" s="329" t="s">
        <v>1359</v>
      </c>
      <c r="D111" s="331" t="s">
        <v>1360</v>
      </c>
      <c r="E111" s="331" t="s">
        <v>1361</v>
      </c>
      <c r="F111" s="331" t="s">
        <v>1362</v>
      </c>
      <c r="G111" s="331">
        <f>iferror(sumifs('Hợp tác'!G:G,'Hợp tác'!A:A,B111,'Hợp tác'!H:H,$G$2,'Hợp tác'!I:I,$I$2),"")</f>
        <v>1000000</v>
      </c>
      <c r="H111" s="332">
        <f>SUMIFS(View!J:J,View!B:B,B111)</f>
        <v>4000000</v>
      </c>
      <c r="I111" s="332">
        <f>sumifs('Hoa Hồng'!L:L,'Hoa Hồng'!A:A,B111)</f>
        <v>0</v>
      </c>
      <c r="J111" s="332">
        <v>5000000.0</v>
      </c>
      <c r="K111" s="333" t="s">
        <v>1211</v>
      </c>
      <c r="L111" s="334"/>
      <c r="M111" s="334"/>
      <c r="N111" s="334"/>
      <c r="O111" s="334"/>
      <c r="P111" s="334"/>
      <c r="Q111" s="334"/>
      <c r="R111" s="334"/>
      <c r="S111" s="334"/>
      <c r="T111" s="334"/>
      <c r="U111" s="334"/>
      <c r="V111" s="334"/>
      <c r="W111" s="334"/>
      <c r="X111" s="334"/>
      <c r="Y111" s="334"/>
      <c r="Z111" s="334"/>
      <c r="AA111" s="334"/>
      <c r="AB111" s="334"/>
      <c r="AC111" s="334"/>
      <c r="AD111" s="334"/>
    </row>
    <row r="112" ht="16.5" customHeight="1">
      <c r="A112" s="335">
        <v>82.0</v>
      </c>
      <c r="B112" s="336" t="str">
        <f>IFERROR(__xludf.DUMMYFUNCTION("""COMPUTED_VALUE"""),"INFTHU737")</f>
        <v>INFTHU737</v>
      </c>
      <c r="C112" s="336" t="s">
        <v>1363</v>
      </c>
      <c r="D112" s="337">
        <v>1.02872834131E11</v>
      </c>
      <c r="E112" s="338" t="s">
        <v>1364</v>
      </c>
      <c r="F112" s="338" t="s">
        <v>1365</v>
      </c>
      <c r="G112" s="338">
        <f>iferror(sumifs('Hợp tác'!G:G,'Hợp tác'!A:A,B112,'Hợp tác'!H:H,$G$2,'Hợp tác'!I:I,$I$2),"")</f>
        <v>500000</v>
      </c>
      <c r="H112" s="339">
        <f>SUMIFS(View!J:J,View!B:B,B112)</f>
        <v>0</v>
      </c>
      <c r="I112" s="339">
        <f>sumifs('Hoa Hồng'!L:L,'Hoa Hồng'!A:A,B112)</f>
        <v>0</v>
      </c>
      <c r="J112" s="340">
        <v>500000.0</v>
      </c>
      <c r="K112" s="333" t="s">
        <v>1211</v>
      </c>
      <c r="L112" s="320"/>
      <c r="M112" s="320"/>
      <c r="N112" s="320"/>
      <c r="O112" s="320"/>
      <c r="P112" s="320"/>
      <c r="Q112" s="320"/>
      <c r="R112" s="320"/>
      <c r="S112" s="320"/>
      <c r="T112" s="320"/>
      <c r="U112" s="320"/>
      <c r="V112" s="320"/>
      <c r="W112" s="320"/>
      <c r="X112" s="320"/>
      <c r="Y112" s="320"/>
      <c r="Z112" s="320"/>
      <c r="AA112" s="320"/>
      <c r="AB112" s="320"/>
      <c r="AC112" s="320"/>
      <c r="AD112" s="320"/>
    </row>
    <row r="113" ht="16.5" customHeight="1">
      <c r="A113" s="329"/>
      <c r="B113" s="329" t="str">
        <f>IFERROR(__xludf.DUMMYFUNCTION("""COMPUTED_VALUE"""),"INFTHAO312")</f>
        <v>INFTHAO312</v>
      </c>
      <c r="C113" s="329" t="s">
        <v>1366</v>
      </c>
      <c r="D113" s="331">
        <v>1.903503852401E13</v>
      </c>
      <c r="E113" s="331" t="s">
        <v>1367</v>
      </c>
      <c r="F113" s="331" t="s">
        <v>48</v>
      </c>
      <c r="G113" s="331">
        <f>iferror(sumifs('Hợp tác'!G:G,'Hợp tác'!A:A,B113,'Hợp tác'!H:H,$G$2,'Hợp tác'!I:I,$I$2),"")</f>
        <v>1000000</v>
      </c>
      <c r="H113" s="332">
        <f>SUMIFS(View!J:J,View!B:B,B113)</f>
        <v>500000</v>
      </c>
      <c r="I113" s="332">
        <f>sumifs('Hoa Hồng'!L:L,'Hoa Hồng'!A:A,B113)</f>
        <v>0</v>
      </c>
      <c r="J113" s="332">
        <v>1500000.0</v>
      </c>
      <c r="K113" s="333" t="s">
        <v>1211</v>
      </c>
      <c r="L113" s="334"/>
      <c r="M113" s="334"/>
      <c r="N113" s="334"/>
      <c r="O113" s="334"/>
      <c r="P113" s="334"/>
      <c r="Q113" s="334"/>
      <c r="R113" s="334"/>
      <c r="S113" s="334"/>
      <c r="T113" s="334"/>
      <c r="U113" s="334"/>
      <c r="V113" s="334"/>
      <c r="W113" s="334"/>
      <c r="X113" s="334"/>
      <c r="Y113" s="334"/>
      <c r="Z113" s="334"/>
      <c r="AA113" s="334"/>
      <c r="AB113" s="334"/>
      <c r="AC113" s="334"/>
      <c r="AD113" s="334"/>
    </row>
    <row r="114" ht="16.5" customHeight="1">
      <c r="A114" s="329"/>
      <c r="B114" s="329" t="str">
        <f>IFERROR(__xludf.DUMMYFUNCTION("""COMPUTED_VALUE"""),"INFVI930")</f>
        <v>INFVI930</v>
      </c>
      <c r="C114" s="329" t="s">
        <v>1368</v>
      </c>
      <c r="D114" s="331">
        <v>9.8443193E8</v>
      </c>
      <c r="E114" s="331" t="s">
        <v>1368</v>
      </c>
      <c r="F114" s="331" t="s">
        <v>1369</v>
      </c>
      <c r="G114" s="331">
        <f>iferror(sumifs('Hợp tác'!G:G,'Hợp tác'!A:A,B114,'Hợp tác'!H:H,$G$2,'Hợp tác'!I:I,$I$2),"")</f>
        <v>1000000</v>
      </c>
      <c r="H114" s="332">
        <f>SUMIFS(View!J:J,View!B:B,B114)</f>
        <v>50000000</v>
      </c>
      <c r="I114" s="332">
        <f>sumifs('Hoa Hồng'!L:L,'Hoa Hồng'!A:A,B114)</f>
        <v>0</v>
      </c>
      <c r="J114" s="332">
        <v>5.1E7</v>
      </c>
      <c r="K114" s="333" t="s">
        <v>1211</v>
      </c>
      <c r="L114" s="334"/>
      <c r="M114" s="334"/>
      <c r="N114" s="334"/>
      <c r="O114" s="334"/>
      <c r="P114" s="334"/>
      <c r="Q114" s="334"/>
      <c r="R114" s="334"/>
      <c r="S114" s="334"/>
      <c r="T114" s="334"/>
      <c r="U114" s="334"/>
      <c r="V114" s="334"/>
      <c r="W114" s="334"/>
      <c r="X114" s="334"/>
      <c r="Y114" s="334"/>
      <c r="Z114" s="334"/>
      <c r="AA114" s="334"/>
      <c r="AB114" s="334"/>
      <c r="AC114" s="334"/>
      <c r="AD114" s="334"/>
    </row>
    <row r="115" ht="16.5" customHeight="1">
      <c r="A115" s="329"/>
      <c r="B115" s="329" t="str">
        <f>IFERROR(__xludf.DUMMYFUNCTION("""COMPUTED_VALUE"""),"INFTRUNG517")</f>
        <v>INFTRUNG517</v>
      </c>
      <c r="C115" s="329" t="s">
        <v>1370</v>
      </c>
      <c r="D115" s="331">
        <v>1.05873079029E11</v>
      </c>
      <c r="E115" s="331" t="s">
        <v>1371</v>
      </c>
      <c r="F115" s="331" t="s">
        <v>101</v>
      </c>
      <c r="G115" s="331">
        <f>iferror(sumifs('Hợp tác'!G:G,'Hợp tác'!A:A,B115,'Hợp tác'!H:H,$G$2,'Hợp tác'!I:I,$I$2),"")</f>
        <v>0</v>
      </c>
      <c r="H115" s="332">
        <f>SUMIFS(View!J:J,View!B:B,B115)</f>
        <v>0</v>
      </c>
      <c r="I115" s="332">
        <f>sumifs('Hoa Hồng'!L:L,'Hoa Hồng'!A:A,B115)</f>
        <v>0</v>
      </c>
      <c r="J115" s="332">
        <v>0.0</v>
      </c>
      <c r="K115" s="333" t="s">
        <v>1211</v>
      </c>
      <c r="L115" s="334"/>
      <c r="M115" s="334"/>
      <c r="N115" s="334"/>
      <c r="O115" s="334"/>
      <c r="P115" s="334"/>
      <c r="Q115" s="334"/>
      <c r="R115" s="334"/>
      <c r="S115" s="334"/>
      <c r="T115" s="334"/>
      <c r="U115" s="334"/>
      <c r="V115" s="334"/>
      <c r="W115" s="334"/>
      <c r="X115" s="334"/>
      <c r="Y115" s="334"/>
      <c r="Z115" s="334"/>
      <c r="AA115" s="334"/>
      <c r="AB115" s="334"/>
      <c r="AC115" s="334"/>
      <c r="AD115" s="334"/>
    </row>
    <row r="116" ht="16.5" customHeight="1">
      <c r="A116" s="335">
        <v>83.0</v>
      </c>
      <c r="B116" s="336" t="str">
        <f>IFERROR(__xludf.DUMMYFUNCTION("""COMPUTED_VALUE"""),"INFANH454")</f>
        <v>INFANH454</v>
      </c>
      <c r="C116" s="336" t="s">
        <v>1372</v>
      </c>
      <c r="D116" s="337">
        <v>4.502205172782E12</v>
      </c>
      <c r="E116" s="338" t="s">
        <v>1373</v>
      </c>
      <c r="F116" s="338" t="s">
        <v>106</v>
      </c>
      <c r="G116" s="338">
        <f>iferror(sumifs('Hợp tác'!G:G,'Hợp tác'!A:A,B116,'Hợp tác'!H:H,$G$2,'Hợp tác'!I:I,$I$2),"")</f>
        <v>500000</v>
      </c>
      <c r="H116" s="339">
        <f>SUMIFS(View!J:J,View!B:B,B116)</f>
        <v>0</v>
      </c>
      <c r="I116" s="339">
        <f>sumifs('Hoa Hồng'!L:L,'Hoa Hồng'!A:A,B116)</f>
        <v>0</v>
      </c>
      <c r="J116" s="340">
        <v>500000.0</v>
      </c>
      <c r="K116" s="333" t="s">
        <v>1211</v>
      </c>
      <c r="L116" s="320"/>
      <c r="M116" s="320"/>
      <c r="N116" s="320"/>
      <c r="O116" s="320"/>
      <c r="P116" s="320"/>
      <c r="Q116" s="320"/>
      <c r="R116" s="320"/>
      <c r="S116" s="320"/>
      <c r="T116" s="320"/>
      <c r="U116" s="320"/>
      <c r="V116" s="320"/>
      <c r="W116" s="320"/>
      <c r="X116" s="320"/>
      <c r="Y116" s="320"/>
      <c r="Z116" s="320"/>
      <c r="AA116" s="320"/>
      <c r="AB116" s="320"/>
      <c r="AC116" s="320"/>
      <c r="AD116" s="320"/>
    </row>
    <row r="117" ht="16.5" customHeight="1">
      <c r="A117" s="329"/>
      <c r="B117" s="329" t="str">
        <f>IFERROR(__xludf.DUMMYFUNCTION("""COMPUTED_VALUE"""),"INFNGUYEN444")</f>
        <v>INFNGUYEN444</v>
      </c>
      <c r="C117" s="329" t="s">
        <v>1374</v>
      </c>
      <c r="D117" s="331">
        <v>1.4078107E7</v>
      </c>
      <c r="E117" s="331" t="s">
        <v>1375</v>
      </c>
      <c r="F117" s="331" t="s">
        <v>112</v>
      </c>
      <c r="G117" s="331">
        <f>iferror(sumifs('Hợp tác'!G:G,'Hợp tác'!A:A,B117,'Hợp tác'!H:H,$G$2,'Hợp tác'!I:I,$I$2),"")</f>
        <v>0</v>
      </c>
      <c r="H117" s="332">
        <f>SUMIFS(View!J:J,View!B:B,B117)</f>
        <v>0</v>
      </c>
      <c r="I117" s="332">
        <f>sumifs('Hoa Hồng'!L:L,'Hoa Hồng'!A:A,B117)</f>
        <v>0</v>
      </c>
      <c r="J117" s="332">
        <v>0.0</v>
      </c>
      <c r="K117" s="333" t="s">
        <v>1211</v>
      </c>
      <c r="L117" s="334"/>
      <c r="M117" s="334"/>
      <c r="N117" s="334"/>
      <c r="O117" s="334"/>
      <c r="P117" s="334"/>
      <c r="Q117" s="334"/>
      <c r="R117" s="334"/>
      <c r="S117" s="334"/>
      <c r="T117" s="334"/>
      <c r="U117" s="334"/>
      <c r="V117" s="334"/>
      <c r="W117" s="334"/>
      <c r="X117" s="334"/>
      <c r="Y117" s="334"/>
      <c r="Z117" s="334"/>
      <c r="AA117" s="334"/>
      <c r="AB117" s="334"/>
      <c r="AC117" s="334"/>
      <c r="AD117" s="334"/>
    </row>
    <row r="118" ht="16.5" customHeight="1">
      <c r="A118" s="329"/>
      <c r="B118" s="329" t="str">
        <f>IFERROR(__xludf.DUMMYFUNCTION("""COMPUTED_VALUE"""),"INFYEN691")</f>
        <v>INFYEN691</v>
      </c>
      <c r="C118" s="329" t="s">
        <v>1376</v>
      </c>
      <c r="D118" s="331">
        <v>1.03869757302E11</v>
      </c>
      <c r="E118" s="331" t="s">
        <v>1377</v>
      </c>
      <c r="F118" s="331" t="s">
        <v>101</v>
      </c>
      <c r="G118" s="331">
        <f>iferror(sumifs('Hợp tác'!G:G,'Hợp tác'!A:A,B118,'Hợp tác'!H:H,$G$2,'Hợp tác'!I:I,$I$2),"")</f>
        <v>0</v>
      </c>
      <c r="H118" s="332">
        <f>SUMIFS(View!J:J,View!B:B,B118)</f>
        <v>0</v>
      </c>
      <c r="I118" s="332">
        <f>sumifs('Hoa Hồng'!L:L,'Hoa Hồng'!A:A,B118)</f>
        <v>0</v>
      </c>
      <c r="J118" s="332">
        <v>0.0</v>
      </c>
      <c r="K118" s="333" t="s">
        <v>1211</v>
      </c>
      <c r="L118" s="334"/>
      <c r="M118" s="334"/>
      <c r="N118" s="334"/>
      <c r="O118" s="334"/>
      <c r="P118" s="334"/>
      <c r="Q118" s="334"/>
      <c r="R118" s="334"/>
      <c r="S118" s="334"/>
      <c r="T118" s="334"/>
      <c r="U118" s="334"/>
      <c r="V118" s="334"/>
      <c r="W118" s="334"/>
      <c r="X118" s="334"/>
      <c r="Y118" s="334"/>
      <c r="Z118" s="334"/>
      <c r="AA118" s="334"/>
      <c r="AB118" s="334"/>
      <c r="AC118" s="334"/>
      <c r="AD118" s="334"/>
    </row>
    <row r="119" ht="16.5" customHeight="1">
      <c r="A119" s="329"/>
      <c r="B119" s="329" t="str">
        <f>IFERROR(__xludf.DUMMYFUNCTION("""COMPUTED_VALUE"""),"INFMY943")</f>
        <v>INFMY943</v>
      </c>
      <c r="C119" s="329" t="s">
        <v>1378</v>
      </c>
      <c r="D119" s="331"/>
      <c r="E119" s="331"/>
      <c r="F119" s="331"/>
      <c r="G119" s="331">
        <f>iferror(sumifs('Hợp tác'!G:G,'Hợp tác'!A:A,B119,'Hợp tác'!H:H,$G$2,'Hợp tác'!I:I,$I$2),"")</f>
        <v>0</v>
      </c>
      <c r="H119" s="332">
        <f>SUMIFS(View!J:J,View!B:B,B119)</f>
        <v>0</v>
      </c>
      <c r="I119" s="332">
        <f>sumifs('Hoa Hồng'!L:L,'Hoa Hồng'!A:A,B119)</f>
        <v>0</v>
      </c>
      <c r="J119" s="332">
        <v>0.0</v>
      </c>
      <c r="K119" s="333" t="s">
        <v>1211</v>
      </c>
      <c r="L119" s="334"/>
      <c r="M119" s="334"/>
      <c r="N119" s="334"/>
      <c r="O119" s="334"/>
      <c r="P119" s="334"/>
      <c r="Q119" s="334"/>
      <c r="R119" s="334"/>
      <c r="S119" s="334"/>
      <c r="T119" s="334"/>
      <c r="U119" s="334"/>
      <c r="V119" s="334"/>
      <c r="W119" s="334"/>
      <c r="X119" s="334"/>
      <c r="Y119" s="334"/>
      <c r="Z119" s="334"/>
      <c r="AA119" s="334"/>
      <c r="AB119" s="334"/>
      <c r="AC119" s="334"/>
      <c r="AD119" s="334"/>
    </row>
    <row r="120" ht="16.5" customHeight="1">
      <c r="A120" s="329"/>
      <c r="B120" s="329" t="str">
        <f>IFERROR(__xludf.DUMMYFUNCTION("""COMPUTED_VALUE"""),"INFTHAO257")</f>
        <v>INFTHAO257</v>
      </c>
      <c r="C120" s="329" t="s">
        <v>1379</v>
      </c>
      <c r="D120" s="331">
        <v>4.8310000710707E13</v>
      </c>
      <c r="E120" s="331" t="s">
        <v>1380</v>
      </c>
      <c r="F120" s="331" t="s">
        <v>90</v>
      </c>
      <c r="G120" s="331">
        <f>iferror(sumifs('Hợp tác'!G:G,'Hợp tác'!A:A,B120,'Hợp tác'!H:H,$G$2,'Hợp tác'!I:I,$I$2),"")</f>
        <v>3000000</v>
      </c>
      <c r="H120" s="332">
        <f>SUMIFS(View!J:J,View!B:B,B120)</f>
        <v>49500000</v>
      </c>
      <c r="I120" s="332">
        <f>sumifs('Hoa Hồng'!L:L,'Hoa Hồng'!A:A,B120)</f>
        <v>0</v>
      </c>
      <c r="J120" s="332">
        <v>5.25E7</v>
      </c>
      <c r="K120" s="333" t="s">
        <v>1211</v>
      </c>
      <c r="L120" s="334"/>
      <c r="M120" s="334"/>
      <c r="N120" s="334"/>
      <c r="O120" s="334"/>
      <c r="P120" s="334"/>
      <c r="Q120" s="334"/>
      <c r="R120" s="334"/>
      <c r="S120" s="334"/>
      <c r="T120" s="334"/>
      <c r="U120" s="334"/>
      <c r="V120" s="334"/>
      <c r="W120" s="334"/>
      <c r="X120" s="334"/>
      <c r="Y120" s="334"/>
      <c r="Z120" s="334"/>
      <c r="AA120" s="334"/>
      <c r="AB120" s="334"/>
      <c r="AC120" s="334"/>
      <c r="AD120" s="334"/>
    </row>
    <row r="121" ht="16.5" customHeight="1">
      <c r="A121" s="329"/>
      <c r="B121" s="329" t="str">
        <f>IFERROR(__xludf.DUMMYFUNCTION("""COMPUTED_VALUE"""),"INFANH172")</f>
        <v>INFANH172</v>
      </c>
      <c r="C121" s="329" t="s">
        <v>1381</v>
      </c>
      <c r="D121" s="331">
        <v>1.9036731761014E13</v>
      </c>
      <c r="E121" s="331" t="s">
        <v>1381</v>
      </c>
      <c r="F121" s="331" t="s">
        <v>48</v>
      </c>
      <c r="G121" s="331">
        <f>iferror(sumifs('Hợp tác'!G:G,'Hợp tác'!A:A,B121,'Hợp tác'!H:H,$G$2,'Hợp tác'!I:I,$I$2),"")</f>
        <v>0</v>
      </c>
      <c r="H121" s="332">
        <f>SUMIFS(View!J:J,View!B:B,B121)</f>
        <v>0</v>
      </c>
      <c r="I121" s="332">
        <f>sumifs('Hoa Hồng'!L:L,'Hoa Hồng'!A:A,B121)</f>
        <v>0</v>
      </c>
      <c r="J121" s="332">
        <v>0.0</v>
      </c>
      <c r="K121" s="333" t="s">
        <v>1211</v>
      </c>
      <c r="L121" s="334"/>
      <c r="M121" s="334"/>
      <c r="N121" s="334"/>
      <c r="O121" s="334"/>
      <c r="P121" s="334"/>
      <c r="Q121" s="334"/>
      <c r="R121" s="334"/>
      <c r="S121" s="334"/>
      <c r="T121" s="334"/>
      <c r="U121" s="334"/>
      <c r="V121" s="334"/>
      <c r="W121" s="334"/>
      <c r="X121" s="334"/>
      <c r="Y121" s="334"/>
      <c r="Z121" s="334"/>
      <c r="AA121" s="334"/>
      <c r="AB121" s="334"/>
      <c r="AC121" s="334"/>
      <c r="AD121" s="334"/>
    </row>
    <row r="122" ht="16.5" customHeight="1">
      <c r="A122" s="329"/>
      <c r="B122" s="329" t="str">
        <f>IFERROR(__xludf.DUMMYFUNCTION("""COMPUTED_VALUE"""),"INFHUONG7035")</f>
        <v>INFHUONG7035</v>
      </c>
      <c r="C122" s="329" t="s">
        <v>1382</v>
      </c>
      <c r="D122" s="331"/>
      <c r="E122" s="331"/>
      <c r="F122" s="331"/>
      <c r="G122" s="331">
        <f>iferror(sumifs('Hợp tác'!G:G,'Hợp tác'!A:A,B122,'Hợp tác'!H:H,$G$2,'Hợp tác'!I:I,$I$2),"")</f>
        <v>0</v>
      </c>
      <c r="H122" s="332">
        <f>SUMIFS(View!J:J,View!B:B,B122)</f>
        <v>0</v>
      </c>
      <c r="I122" s="332">
        <f>sumifs('Hoa Hồng'!L:L,'Hoa Hồng'!A:A,B122)</f>
        <v>0</v>
      </c>
      <c r="J122" s="332">
        <v>0.0</v>
      </c>
      <c r="K122" s="333" t="s">
        <v>1211</v>
      </c>
      <c r="L122" s="334"/>
      <c r="M122" s="334"/>
      <c r="N122" s="334"/>
      <c r="O122" s="334"/>
      <c r="P122" s="334"/>
      <c r="Q122" s="334"/>
      <c r="R122" s="334"/>
      <c r="S122" s="334"/>
      <c r="T122" s="334"/>
      <c r="U122" s="334"/>
      <c r="V122" s="334"/>
      <c r="W122" s="334"/>
      <c r="X122" s="334"/>
      <c r="Y122" s="334"/>
      <c r="Z122" s="334"/>
      <c r="AA122" s="334"/>
      <c r="AB122" s="334"/>
      <c r="AC122" s="334"/>
      <c r="AD122" s="334"/>
    </row>
    <row r="123" ht="16.5" customHeight="1">
      <c r="A123" s="329"/>
      <c r="B123" s="329" t="str">
        <f>IFERROR(__xludf.DUMMYFUNCTION("""COMPUTED_VALUE"""),"INFHIEP766")</f>
        <v>INFHIEP766</v>
      </c>
      <c r="C123" s="329" t="s">
        <v>1383</v>
      </c>
      <c r="D123" s="331"/>
      <c r="E123" s="331"/>
      <c r="F123" s="331"/>
      <c r="G123" s="331">
        <f>iferror(sumifs('Hợp tác'!G:G,'Hợp tác'!A:A,B123,'Hợp tác'!H:H,$G$2,'Hợp tác'!I:I,$I$2),"")</f>
        <v>0</v>
      </c>
      <c r="H123" s="332">
        <f>SUMIFS(View!J:J,View!B:B,B123)</f>
        <v>0</v>
      </c>
      <c r="I123" s="332">
        <f>sumifs('Hoa Hồng'!L:L,'Hoa Hồng'!A:A,B123)</f>
        <v>0</v>
      </c>
      <c r="J123" s="332">
        <v>0.0</v>
      </c>
      <c r="K123" s="333" t="s">
        <v>1211</v>
      </c>
      <c r="L123" s="334"/>
      <c r="M123" s="334"/>
      <c r="N123" s="334"/>
      <c r="O123" s="334"/>
      <c r="P123" s="334"/>
      <c r="Q123" s="334"/>
      <c r="R123" s="334"/>
      <c r="S123" s="334"/>
      <c r="T123" s="334"/>
      <c r="U123" s="334"/>
      <c r="V123" s="334"/>
      <c r="W123" s="334"/>
      <c r="X123" s="334"/>
      <c r="Y123" s="334"/>
      <c r="Z123" s="334"/>
      <c r="AA123" s="334"/>
      <c r="AB123" s="334"/>
      <c r="AC123" s="334"/>
      <c r="AD123" s="334"/>
    </row>
    <row r="124" ht="16.5" customHeight="1">
      <c r="A124" s="329"/>
      <c r="B124" s="329" t="str">
        <f>IFERROR(__xludf.DUMMYFUNCTION("""COMPUTED_VALUE"""),"INFTRANG665")</f>
        <v>INFTRANG665</v>
      </c>
      <c r="C124" s="329" t="s">
        <v>1384</v>
      </c>
      <c r="D124" s="331"/>
      <c r="E124" s="331"/>
      <c r="F124" s="331"/>
      <c r="G124" s="331">
        <f>iferror(sumifs('Hợp tác'!G:G,'Hợp tác'!A:A,B124,'Hợp tác'!H:H,$G$2,'Hợp tác'!I:I,$I$2),"")</f>
        <v>0</v>
      </c>
      <c r="H124" s="332">
        <f>SUMIFS(View!J:J,View!B:B,B124)</f>
        <v>0</v>
      </c>
      <c r="I124" s="332">
        <f>sumifs('Hoa Hồng'!L:L,'Hoa Hồng'!A:A,B124)</f>
        <v>0</v>
      </c>
      <c r="J124" s="332">
        <v>0.0</v>
      </c>
      <c r="K124" s="333" t="s">
        <v>1211</v>
      </c>
      <c r="L124" s="334"/>
      <c r="M124" s="334"/>
      <c r="N124" s="334"/>
      <c r="O124" s="334"/>
      <c r="P124" s="334"/>
      <c r="Q124" s="334"/>
      <c r="R124" s="334"/>
      <c r="S124" s="334"/>
      <c r="T124" s="334"/>
      <c r="U124" s="334"/>
      <c r="V124" s="334"/>
      <c r="W124" s="334"/>
      <c r="X124" s="334"/>
      <c r="Y124" s="334"/>
      <c r="Z124" s="334"/>
      <c r="AA124" s="334"/>
      <c r="AB124" s="334"/>
      <c r="AC124" s="334"/>
      <c r="AD124" s="334"/>
    </row>
    <row r="125" ht="16.5" customHeight="1">
      <c r="A125" s="329"/>
      <c r="B125" s="329" t="str">
        <f>IFERROR(__xludf.DUMMYFUNCTION("""COMPUTED_VALUE"""),"INFQUYEN540")</f>
        <v>INFQUYEN540</v>
      </c>
      <c r="C125" s="329" t="s">
        <v>1385</v>
      </c>
      <c r="D125" s="331"/>
      <c r="E125" s="331"/>
      <c r="F125" s="331"/>
      <c r="G125" s="331">
        <f>iferror(sumifs('Hợp tác'!G:G,'Hợp tác'!A:A,B125,'Hợp tác'!H:H,$G$2,'Hợp tác'!I:I,$I$2),"")</f>
        <v>0</v>
      </c>
      <c r="H125" s="332">
        <f>SUMIFS(View!J:J,View!B:B,B125)</f>
        <v>0</v>
      </c>
      <c r="I125" s="332">
        <f>sumifs('Hoa Hồng'!L:L,'Hoa Hồng'!A:A,B125)</f>
        <v>0</v>
      </c>
      <c r="J125" s="332">
        <v>0.0</v>
      </c>
      <c r="K125" s="333" t="s">
        <v>1211</v>
      </c>
      <c r="L125" s="334"/>
      <c r="M125" s="334"/>
      <c r="N125" s="334"/>
      <c r="O125" s="334"/>
      <c r="P125" s="334"/>
      <c r="Q125" s="334"/>
      <c r="R125" s="334"/>
      <c r="S125" s="334"/>
      <c r="T125" s="334"/>
      <c r="U125" s="334"/>
      <c r="V125" s="334"/>
      <c r="W125" s="334"/>
      <c r="X125" s="334"/>
      <c r="Y125" s="334"/>
      <c r="Z125" s="334"/>
      <c r="AA125" s="334"/>
      <c r="AB125" s="334"/>
      <c r="AC125" s="334"/>
      <c r="AD125" s="334"/>
    </row>
    <row r="126" ht="16.5" customHeight="1">
      <c r="A126" s="329"/>
      <c r="B126" s="329" t="str">
        <f>IFERROR(__xludf.DUMMYFUNCTION("""COMPUTED_VALUE"""),"INFDUYEN931")</f>
        <v>INFDUYEN931</v>
      </c>
      <c r="C126" s="329" t="s">
        <v>1386</v>
      </c>
      <c r="D126" s="331"/>
      <c r="E126" s="331"/>
      <c r="F126" s="331"/>
      <c r="G126" s="331">
        <f>iferror(sumifs('Hợp tác'!G:G,'Hợp tác'!A:A,B126,'Hợp tác'!H:H,$G$2,'Hợp tác'!I:I,$I$2),"")</f>
        <v>0</v>
      </c>
      <c r="H126" s="332">
        <f>SUMIFS(View!J:J,View!B:B,B126)</f>
        <v>0</v>
      </c>
      <c r="I126" s="332">
        <f>sumifs('Hoa Hồng'!L:L,'Hoa Hồng'!A:A,B126)</f>
        <v>0</v>
      </c>
      <c r="J126" s="332">
        <v>0.0</v>
      </c>
      <c r="K126" s="333" t="s">
        <v>1211</v>
      </c>
      <c r="L126" s="334"/>
      <c r="M126" s="334"/>
      <c r="N126" s="334"/>
      <c r="O126" s="334"/>
      <c r="P126" s="334"/>
      <c r="Q126" s="334"/>
      <c r="R126" s="334"/>
      <c r="S126" s="334"/>
      <c r="T126" s="334"/>
      <c r="U126" s="334"/>
      <c r="V126" s="334"/>
      <c r="W126" s="334"/>
      <c r="X126" s="334"/>
      <c r="Y126" s="334"/>
      <c r="Z126" s="334"/>
      <c r="AA126" s="334"/>
      <c r="AB126" s="334"/>
      <c r="AC126" s="334"/>
      <c r="AD126" s="334"/>
    </row>
    <row r="127" ht="16.5" customHeight="1">
      <c r="A127" s="329"/>
      <c r="B127" s="329" t="str">
        <f>IFERROR(__xludf.DUMMYFUNCTION("""COMPUTED_VALUE"""),"INFLIEM753")</f>
        <v>INFLIEM753</v>
      </c>
      <c r="C127" s="329" t="s">
        <v>1387</v>
      </c>
      <c r="D127" s="331"/>
      <c r="E127" s="331"/>
      <c r="F127" s="331"/>
      <c r="G127" s="331">
        <f>iferror(sumifs('Hợp tác'!G:G,'Hợp tác'!A:A,B127,'Hợp tác'!H:H,$G$2,'Hợp tác'!I:I,$I$2),"")</f>
        <v>0</v>
      </c>
      <c r="H127" s="332">
        <f>SUMIFS(View!J:J,View!B:B,B127)</f>
        <v>0</v>
      </c>
      <c r="I127" s="332">
        <f>sumifs('Hoa Hồng'!L:L,'Hoa Hồng'!A:A,B127)</f>
        <v>0</v>
      </c>
      <c r="J127" s="332">
        <v>0.0</v>
      </c>
      <c r="K127" s="333" t="s">
        <v>1211</v>
      </c>
      <c r="L127" s="334"/>
      <c r="M127" s="334"/>
      <c r="N127" s="334"/>
      <c r="O127" s="334"/>
      <c r="P127" s="334"/>
      <c r="Q127" s="334"/>
      <c r="R127" s="334"/>
      <c r="S127" s="334"/>
      <c r="T127" s="334"/>
      <c r="U127" s="334"/>
      <c r="V127" s="334"/>
      <c r="W127" s="334"/>
      <c r="X127" s="334"/>
      <c r="Y127" s="334"/>
      <c r="Z127" s="334"/>
      <c r="AA127" s="334"/>
      <c r="AB127" s="334"/>
      <c r="AC127" s="334"/>
      <c r="AD127" s="334"/>
    </row>
    <row r="128" ht="16.5" customHeight="1">
      <c r="A128" s="329"/>
      <c r="B128" s="329" t="str">
        <f>IFERROR(__xludf.DUMMYFUNCTION("""COMPUTED_VALUE"""),"INFHONG042")</f>
        <v>INFHONG042</v>
      </c>
      <c r="C128" s="329" t="s">
        <v>1388</v>
      </c>
      <c r="D128" s="331"/>
      <c r="E128" s="331"/>
      <c r="F128" s="331"/>
      <c r="G128" s="331">
        <f>iferror(sumifs('Hợp tác'!G:G,'Hợp tác'!A:A,B128,'Hợp tác'!H:H,$G$2,'Hợp tác'!I:I,$I$2),"")</f>
        <v>0</v>
      </c>
      <c r="H128" s="332">
        <f>SUMIFS(View!J:J,View!B:B,B128)</f>
        <v>0</v>
      </c>
      <c r="I128" s="332">
        <f>sumifs('Hoa Hồng'!L:L,'Hoa Hồng'!A:A,B128)</f>
        <v>0</v>
      </c>
      <c r="J128" s="332">
        <v>0.0</v>
      </c>
      <c r="K128" s="333" t="s">
        <v>1211</v>
      </c>
      <c r="L128" s="334"/>
      <c r="M128" s="334"/>
      <c r="N128" s="334"/>
      <c r="O128" s="334"/>
      <c r="P128" s="334"/>
      <c r="Q128" s="334"/>
      <c r="R128" s="334"/>
      <c r="S128" s="334"/>
      <c r="T128" s="334"/>
      <c r="U128" s="334"/>
      <c r="V128" s="334"/>
      <c r="W128" s="334"/>
      <c r="X128" s="334"/>
      <c r="Y128" s="334"/>
      <c r="Z128" s="334"/>
      <c r="AA128" s="334"/>
      <c r="AB128" s="334"/>
      <c r="AC128" s="334"/>
      <c r="AD128" s="334"/>
    </row>
    <row r="129" ht="16.5" customHeight="1">
      <c r="A129" s="329"/>
      <c r="B129" s="329" t="str">
        <f>IFERROR(__xludf.DUMMYFUNCTION("""COMPUTED_VALUE"""),"INFKHANG589")</f>
        <v>INFKHANG589</v>
      </c>
      <c r="C129" s="329" t="s">
        <v>1389</v>
      </c>
      <c r="D129" s="331"/>
      <c r="E129" s="331"/>
      <c r="F129" s="331"/>
      <c r="G129" s="331">
        <f>iferror(sumifs('Hợp tác'!G:G,'Hợp tác'!A:A,B129,'Hợp tác'!H:H,$G$2,'Hợp tác'!I:I,$I$2),"")</f>
        <v>0</v>
      </c>
      <c r="H129" s="332">
        <f>SUMIFS(View!J:J,View!B:B,B129)</f>
        <v>0</v>
      </c>
      <c r="I129" s="332">
        <f>sumifs('Hoa Hồng'!L:L,'Hoa Hồng'!A:A,B129)</f>
        <v>0</v>
      </c>
      <c r="J129" s="332">
        <v>0.0</v>
      </c>
      <c r="K129" s="333" t="s">
        <v>1211</v>
      </c>
      <c r="L129" s="334"/>
      <c r="M129" s="334"/>
      <c r="N129" s="334"/>
      <c r="O129" s="334"/>
      <c r="P129" s="334"/>
      <c r="Q129" s="334"/>
      <c r="R129" s="334"/>
      <c r="S129" s="334"/>
      <c r="T129" s="334"/>
      <c r="U129" s="334"/>
      <c r="V129" s="334"/>
      <c r="W129" s="334"/>
      <c r="X129" s="334"/>
      <c r="Y129" s="334"/>
      <c r="Z129" s="334"/>
      <c r="AA129" s="334"/>
      <c r="AB129" s="334"/>
      <c r="AC129" s="334"/>
      <c r="AD129" s="334"/>
    </row>
    <row r="130" ht="16.5" customHeight="1">
      <c r="A130" s="329"/>
      <c r="B130" s="329" t="str">
        <f>IFERROR(__xludf.DUMMYFUNCTION("""COMPUTED_VALUE"""),"INFCHUNG245")</f>
        <v>INFCHUNG245</v>
      </c>
      <c r="C130" s="329" t="s">
        <v>1390</v>
      </c>
      <c r="D130" s="331"/>
      <c r="E130" s="331"/>
      <c r="F130" s="331"/>
      <c r="G130" s="331">
        <f>iferror(sumifs('Hợp tác'!G:G,'Hợp tác'!A:A,B130,'Hợp tác'!H:H,$G$2,'Hợp tác'!I:I,$I$2),"")</f>
        <v>0</v>
      </c>
      <c r="H130" s="332">
        <f>SUMIFS(View!J:J,View!B:B,B130)</f>
        <v>0</v>
      </c>
      <c r="I130" s="332">
        <f>sumifs('Hoa Hồng'!L:L,'Hoa Hồng'!A:A,B130)</f>
        <v>0</v>
      </c>
      <c r="J130" s="332">
        <v>0.0</v>
      </c>
      <c r="K130" s="333" t="s">
        <v>1211</v>
      </c>
      <c r="L130" s="334"/>
      <c r="M130" s="334"/>
      <c r="N130" s="334"/>
      <c r="O130" s="334"/>
      <c r="P130" s="334"/>
      <c r="Q130" s="334"/>
      <c r="R130" s="334"/>
      <c r="S130" s="334"/>
      <c r="T130" s="334"/>
      <c r="U130" s="334"/>
      <c r="V130" s="334"/>
      <c r="W130" s="334"/>
      <c r="X130" s="334"/>
      <c r="Y130" s="334"/>
      <c r="Z130" s="334"/>
      <c r="AA130" s="334"/>
      <c r="AB130" s="334"/>
      <c r="AC130" s="334"/>
      <c r="AD130" s="334"/>
    </row>
    <row r="131" ht="16.5" customHeight="1">
      <c r="A131" s="329"/>
      <c r="B131" s="329" t="str">
        <f>IFERROR(__xludf.DUMMYFUNCTION("""COMPUTED_VALUE"""),"INFCHI434")</f>
        <v>INFCHI434</v>
      </c>
      <c r="C131" s="329" t="s">
        <v>1391</v>
      </c>
      <c r="D131" s="331"/>
      <c r="E131" s="331"/>
      <c r="F131" s="331"/>
      <c r="G131" s="331">
        <f>iferror(sumifs('Hợp tác'!G:G,'Hợp tác'!A:A,B131,'Hợp tác'!H:H,$G$2,'Hợp tác'!I:I,$I$2),"")</f>
        <v>0</v>
      </c>
      <c r="H131" s="332">
        <f>SUMIFS(View!J:J,View!B:B,B131)</f>
        <v>0</v>
      </c>
      <c r="I131" s="332">
        <f>sumifs('Hoa Hồng'!L:L,'Hoa Hồng'!A:A,B131)</f>
        <v>0</v>
      </c>
      <c r="J131" s="332">
        <v>0.0</v>
      </c>
      <c r="K131" s="333" t="s">
        <v>1211</v>
      </c>
      <c r="L131" s="334"/>
      <c r="M131" s="334"/>
      <c r="N131" s="334"/>
      <c r="O131" s="334"/>
      <c r="P131" s="334"/>
      <c r="Q131" s="334"/>
      <c r="R131" s="334"/>
      <c r="S131" s="334"/>
      <c r="T131" s="334"/>
      <c r="U131" s="334"/>
      <c r="V131" s="334"/>
      <c r="W131" s="334"/>
      <c r="X131" s="334"/>
      <c r="Y131" s="334"/>
      <c r="Z131" s="334"/>
      <c r="AA131" s="334"/>
      <c r="AB131" s="334"/>
      <c r="AC131" s="334"/>
      <c r="AD131" s="334"/>
    </row>
    <row r="132" ht="16.5" customHeight="1">
      <c r="A132" s="329"/>
      <c r="B132" s="329" t="str">
        <f>IFERROR(__xludf.DUMMYFUNCTION("""COMPUTED_VALUE"""),"INFLYS047")</f>
        <v>INFLYS047</v>
      </c>
      <c r="C132" s="329" t="s">
        <v>1392</v>
      </c>
      <c r="D132" s="331"/>
      <c r="E132" s="331"/>
      <c r="F132" s="331"/>
      <c r="G132" s="331">
        <f>iferror(sumifs('Hợp tác'!G:G,'Hợp tác'!A:A,B132,'Hợp tác'!H:H,$G$2,'Hợp tác'!I:I,$I$2),"")</f>
        <v>0</v>
      </c>
      <c r="H132" s="332">
        <f>SUMIFS(View!J:J,View!B:B,B132)</f>
        <v>0</v>
      </c>
      <c r="I132" s="332">
        <f>sumifs('Hoa Hồng'!L:L,'Hoa Hồng'!A:A,B132)</f>
        <v>0</v>
      </c>
      <c r="J132" s="332">
        <v>0.0</v>
      </c>
      <c r="K132" s="333" t="s">
        <v>1211</v>
      </c>
      <c r="L132" s="334"/>
      <c r="M132" s="334"/>
      <c r="N132" s="334"/>
      <c r="O132" s="334"/>
      <c r="P132" s="334"/>
      <c r="Q132" s="334"/>
      <c r="R132" s="334"/>
      <c r="S132" s="334"/>
      <c r="T132" s="334"/>
      <c r="U132" s="334"/>
      <c r="V132" s="334"/>
      <c r="W132" s="334"/>
      <c r="X132" s="334"/>
      <c r="Y132" s="334"/>
      <c r="Z132" s="334"/>
      <c r="AA132" s="334"/>
      <c r="AB132" s="334"/>
      <c r="AC132" s="334"/>
      <c r="AD132" s="334"/>
    </row>
    <row r="133" ht="16.5" customHeight="1">
      <c r="A133" s="329"/>
      <c r="B133" s="329" t="str">
        <f>IFERROR(__xludf.DUMMYFUNCTION("""COMPUTED_VALUE"""),"INFDUNG942")</f>
        <v>INFDUNG942</v>
      </c>
      <c r="C133" s="329" t="s">
        <v>1393</v>
      </c>
      <c r="D133" s="331"/>
      <c r="E133" s="331"/>
      <c r="F133" s="331"/>
      <c r="G133" s="331">
        <f>iferror(sumifs('Hợp tác'!G:G,'Hợp tác'!A:A,B133,'Hợp tác'!H:H,$G$2,'Hợp tác'!I:I,$I$2),"")</f>
        <v>0</v>
      </c>
      <c r="H133" s="332">
        <f>SUMIFS(View!J:J,View!B:B,B133)</f>
        <v>0</v>
      </c>
      <c r="I133" s="332">
        <f>sumifs('Hoa Hồng'!L:L,'Hoa Hồng'!A:A,B133)</f>
        <v>0</v>
      </c>
      <c r="J133" s="332">
        <v>0.0</v>
      </c>
      <c r="K133" s="333" t="s">
        <v>1211</v>
      </c>
      <c r="L133" s="334"/>
      <c r="M133" s="334"/>
      <c r="N133" s="334"/>
      <c r="O133" s="334"/>
      <c r="P133" s="334"/>
      <c r="Q133" s="334"/>
      <c r="R133" s="334"/>
      <c r="S133" s="334"/>
      <c r="T133" s="334"/>
      <c r="U133" s="334"/>
      <c r="V133" s="334"/>
      <c r="W133" s="334"/>
      <c r="X133" s="334"/>
      <c r="Y133" s="334"/>
      <c r="Z133" s="334"/>
      <c r="AA133" s="334"/>
      <c r="AB133" s="334"/>
      <c r="AC133" s="334"/>
      <c r="AD133" s="334"/>
    </row>
    <row r="134" ht="16.5" customHeight="1">
      <c r="A134" s="329"/>
      <c r="B134" s="329" t="str">
        <f>IFERROR(__xludf.DUMMYFUNCTION("""COMPUTED_VALUE"""),"INFNHI427")</f>
        <v>INFNHI427</v>
      </c>
      <c r="C134" s="329" t="s">
        <v>1394</v>
      </c>
      <c r="D134" s="331"/>
      <c r="E134" s="331"/>
      <c r="F134" s="331"/>
      <c r="G134" s="331">
        <f>iferror(sumifs('Hợp tác'!G:G,'Hợp tác'!A:A,B134,'Hợp tác'!H:H,$G$2,'Hợp tác'!I:I,$I$2),"")</f>
        <v>0</v>
      </c>
      <c r="H134" s="332">
        <f>SUMIFS(View!J:J,View!B:B,B134)</f>
        <v>0</v>
      </c>
      <c r="I134" s="332">
        <f>sumifs('Hoa Hồng'!L:L,'Hoa Hồng'!A:A,B134)</f>
        <v>0</v>
      </c>
      <c r="J134" s="332">
        <v>0.0</v>
      </c>
      <c r="K134" s="333" t="s">
        <v>1211</v>
      </c>
      <c r="L134" s="334"/>
      <c r="M134" s="334"/>
      <c r="N134" s="334"/>
      <c r="O134" s="334"/>
      <c r="P134" s="334"/>
      <c r="Q134" s="334"/>
      <c r="R134" s="334"/>
      <c r="S134" s="334"/>
      <c r="T134" s="334"/>
      <c r="U134" s="334"/>
      <c r="V134" s="334"/>
      <c r="W134" s="334"/>
      <c r="X134" s="334"/>
      <c r="Y134" s="334"/>
      <c r="Z134" s="334"/>
      <c r="AA134" s="334"/>
      <c r="AB134" s="334"/>
      <c r="AC134" s="334"/>
      <c r="AD134" s="334"/>
    </row>
    <row r="135" ht="16.5" customHeight="1">
      <c r="A135" s="329"/>
      <c r="B135" s="329" t="str">
        <f>IFERROR(__xludf.DUMMYFUNCTION("""COMPUTED_VALUE"""),"INFTHINH066")</f>
        <v>INFTHINH066</v>
      </c>
      <c r="C135" s="329" t="s">
        <v>1395</v>
      </c>
      <c r="D135" s="331"/>
      <c r="E135" s="331"/>
      <c r="F135" s="331"/>
      <c r="G135" s="331">
        <f>iferror(sumifs('Hợp tác'!G:G,'Hợp tác'!A:A,B135,'Hợp tác'!H:H,$G$2,'Hợp tác'!I:I,$I$2),"")</f>
        <v>0</v>
      </c>
      <c r="H135" s="332">
        <f>SUMIFS(View!J:J,View!B:B,B135)</f>
        <v>0</v>
      </c>
      <c r="I135" s="332">
        <f>sumifs('Hoa Hồng'!L:L,'Hoa Hồng'!A:A,B135)</f>
        <v>0</v>
      </c>
      <c r="J135" s="332">
        <v>0.0</v>
      </c>
      <c r="K135" s="333" t="s">
        <v>1211</v>
      </c>
      <c r="L135" s="334"/>
      <c r="M135" s="334"/>
      <c r="N135" s="334"/>
      <c r="O135" s="334"/>
      <c r="P135" s="334"/>
      <c r="Q135" s="334"/>
      <c r="R135" s="334"/>
      <c r="S135" s="334"/>
      <c r="T135" s="334"/>
      <c r="U135" s="334"/>
      <c r="V135" s="334"/>
      <c r="W135" s="334"/>
      <c r="X135" s="334"/>
      <c r="Y135" s="334"/>
      <c r="Z135" s="334"/>
      <c r="AA135" s="334"/>
      <c r="AB135" s="334"/>
      <c r="AC135" s="334"/>
      <c r="AD135" s="334"/>
    </row>
    <row r="136" ht="16.5" customHeight="1">
      <c r="A136" s="329"/>
      <c r="B136" s="329" t="str">
        <f>IFERROR(__xludf.DUMMYFUNCTION("""COMPUTED_VALUE"""),"INFLY143")</f>
        <v>INFLY143</v>
      </c>
      <c r="C136" s="329" t="s">
        <v>1396</v>
      </c>
      <c r="D136" s="331"/>
      <c r="E136" s="331"/>
      <c r="F136" s="331"/>
      <c r="G136" s="331">
        <f>iferror(sumifs('Hợp tác'!G:G,'Hợp tác'!A:A,B136,'Hợp tác'!H:H,$G$2,'Hợp tác'!I:I,$I$2),"")</f>
        <v>0</v>
      </c>
      <c r="H136" s="332">
        <f>SUMIFS(View!J:J,View!B:B,B136)</f>
        <v>0</v>
      </c>
      <c r="I136" s="332">
        <f>sumifs('Hoa Hồng'!L:L,'Hoa Hồng'!A:A,B136)</f>
        <v>0</v>
      </c>
      <c r="J136" s="332">
        <v>0.0</v>
      </c>
      <c r="K136" s="333" t="s">
        <v>1211</v>
      </c>
      <c r="L136" s="334"/>
      <c r="M136" s="334"/>
      <c r="N136" s="334"/>
      <c r="O136" s="334"/>
      <c r="P136" s="334"/>
      <c r="Q136" s="334"/>
      <c r="R136" s="334"/>
      <c r="S136" s="334"/>
      <c r="T136" s="334"/>
      <c r="U136" s="334"/>
      <c r="V136" s="334"/>
      <c r="W136" s="334"/>
      <c r="X136" s="334"/>
      <c r="Y136" s="334"/>
      <c r="Z136" s="334"/>
      <c r="AA136" s="334"/>
      <c r="AB136" s="334"/>
      <c r="AC136" s="334"/>
      <c r="AD136" s="334"/>
    </row>
    <row r="137" ht="16.5" customHeight="1">
      <c r="A137" s="329"/>
      <c r="B137" s="329" t="str">
        <f>IFERROR(__xludf.DUMMYFUNCTION("""COMPUTED_VALUE"""),"INFNHUNG475")</f>
        <v>INFNHUNG475</v>
      </c>
      <c r="C137" s="329" t="s">
        <v>1397</v>
      </c>
      <c r="D137" s="331"/>
      <c r="E137" s="331"/>
      <c r="F137" s="331"/>
      <c r="G137" s="331">
        <f>iferror(sumifs('Hợp tác'!G:G,'Hợp tác'!A:A,B137,'Hợp tác'!H:H,$G$2,'Hợp tác'!I:I,$I$2),"")</f>
        <v>0</v>
      </c>
      <c r="H137" s="332">
        <f>SUMIFS(View!J:J,View!B:B,B137)</f>
        <v>0</v>
      </c>
      <c r="I137" s="332">
        <f>sumifs('Hoa Hồng'!L:L,'Hoa Hồng'!A:A,B137)</f>
        <v>0</v>
      </c>
      <c r="J137" s="332">
        <v>0.0</v>
      </c>
      <c r="K137" s="333" t="s">
        <v>1211</v>
      </c>
      <c r="L137" s="334"/>
      <c r="M137" s="334"/>
      <c r="N137" s="334"/>
      <c r="O137" s="334"/>
      <c r="P137" s="334"/>
      <c r="Q137" s="334"/>
      <c r="R137" s="334"/>
      <c r="S137" s="334"/>
      <c r="T137" s="334"/>
      <c r="U137" s="334"/>
      <c r="V137" s="334"/>
      <c r="W137" s="334"/>
      <c r="X137" s="334"/>
      <c r="Y137" s="334"/>
      <c r="Z137" s="334"/>
      <c r="AA137" s="334"/>
      <c r="AB137" s="334"/>
      <c r="AC137" s="334"/>
      <c r="AD137" s="334"/>
    </row>
    <row r="138" ht="16.5" customHeight="1">
      <c r="A138" s="329"/>
      <c r="B138" s="329" t="str">
        <f>IFERROR(__xludf.DUMMYFUNCTION("""COMPUTED_VALUE"""),"INFTRAN484")</f>
        <v>INFTRAN484</v>
      </c>
      <c r="C138" s="329" t="s">
        <v>1398</v>
      </c>
      <c r="D138" s="331"/>
      <c r="E138" s="331"/>
      <c r="F138" s="331"/>
      <c r="G138" s="331">
        <f>iferror(sumifs('Hợp tác'!G:G,'Hợp tác'!A:A,B138,'Hợp tác'!H:H,$G$2,'Hợp tác'!I:I,$I$2),"")</f>
        <v>0</v>
      </c>
      <c r="H138" s="332">
        <f>SUMIFS(View!J:J,View!B:B,B138)</f>
        <v>0</v>
      </c>
      <c r="I138" s="332">
        <f>sumifs('Hoa Hồng'!L:L,'Hoa Hồng'!A:A,B138)</f>
        <v>0</v>
      </c>
      <c r="J138" s="332">
        <v>0.0</v>
      </c>
      <c r="K138" s="333" t="s">
        <v>1211</v>
      </c>
      <c r="L138" s="334"/>
      <c r="M138" s="334"/>
      <c r="N138" s="334"/>
      <c r="O138" s="334"/>
      <c r="P138" s="334"/>
      <c r="Q138" s="334"/>
      <c r="R138" s="334"/>
      <c r="S138" s="334"/>
      <c r="T138" s="334"/>
      <c r="U138" s="334"/>
      <c r="V138" s="334"/>
      <c r="W138" s="334"/>
      <c r="X138" s="334"/>
      <c r="Y138" s="334"/>
      <c r="Z138" s="334"/>
      <c r="AA138" s="334"/>
      <c r="AB138" s="334"/>
      <c r="AC138" s="334"/>
      <c r="AD138" s="334"/>
    </row>
    <row r="139" ht="16.5" customHeight="1">
      <c r="A139" s="329"/>
      <c r="B139" s="329" t="str">
        <f>IFERROR(__xludf.DUMMYFUNCTION("""COMPUTED_VALUE"""),"INFTRANG743")</f>
        <v>INFTRANG743</v>
      </c>
      <c r="C139" s="329" t="s">
        <v>1399</v>
      </c>
      <c r="D139" s="331"/>
      <c r="E139" s="331"/>
      <c r="F139" s="331"/>
      <c r="G139" s="331">
        <f>iferror(sumifs('Hợp tác'!G:G,'Hợp tác'!A:A,B139,'Hợp tác'!H:H,$G$2,'Hợp tác'!I:I,$I$2),"")</f>
        <v>0</v>
      </c>
      <c r="H139" s="332">
        <f>SUMIFS(View!J:J,View!B:B,B139)</f>
        <v>0</v>
      </c>
      <c r="I139" s="332">
        <f>sumifs('Hoa Hồng'!L:L,'Hoa Hồng'!A:A,B139)</f>
        <v>0</v>
      </c>
      <c r="J139" s="332">
        <v>0.0</v>
      </c>
      <c r="K139" s="333" t="s">
        <v>1211</v>
      </c>
      <c r="L139" s="334"/>
      <c r="M139" s="334"/>
      <c r="N139" s="334"/>
      <c r="O139" s="334"/>
      <c r="P139" s="334"/>
      <c r="Q139" s="334"/>
      <c r="R139" s="334"/>
      <c r="S139" s="334"/>
      <c r="T139" s="334"/>
      <c r="U139" s="334"/>
      <c r="V139" s="334"/>
      <c r="W139" s="334"/>
      <c r="X139" s="334"/>
      <c r="Y139" s="334"/>
      <c r="Z139" s="334"/>
      <c r="AA139" s="334"/>
      <c r="AB139" s="334"/>
      <c r="AC139" s="334"/>
      <c r="AD139" s="334"/>
    </row>
    <row r="140" ht="16.5" customHeight="1">
      <c r="A140" s="329"/>
      <c r="B140" s="329" t="str">
        <f>IFERROR(__xludf.DUMMYFUNCTION("""COMPUTED_VALUE"""),"INFNHUNG798")</f>
        <v>INFNHUNG798</v>
      </c>
      <c r="C140" s="329" t="s">
        <v>1400</v>
      </c>
      <c r="D140" s="331"/>
      <c r="E140" s="331"/>
      <c r="F140" s="331"/>
      <c r="G140" s="331">
        <f>iferror(sumifs('Hợp tác'!G:G,'Hợp tác'!A:A,B140,'Hợp tác'!H:H,$G$2,'Hợp tác'!I:I,$I$2),"")</f>
        <v>0</v>
      </c>
      <c r="H140" s="332">
        <f>SUMIFS(View!J:J,View!B:B,B140)</f>
        <v>0</v>
      </c>
      <c r="I140" s="332">
        <f>sumifs('Hoa Hồng'!L:L,'Hoa Hồng'!A:A,B140)</f>
        <v>0</v>
      </c>
      <c r="J140" s="332">
        <v>0.0</v>
      </c>
      <c r="K140" s="333" t="s">
        <v>1211</v>
      </c>
      <c r="L140" s="334"/>
      <c r="M140" s="334"/>
      <c r="N140" s="334"/>
      <c r="O140" s="334"/>
      <c r="P140" s="334"/>
      <c r="Q140" s="334"/>
      <c r="R140" s="334"/>
      <c r="S140" s="334"/>
      <c r="T140" s="334"/>
      <c r="U140" s="334"/>
      <c r="V140" s="334"/>
      <c r="W140" s="334"/>
      <c r="X140" s="334"/>
      <c r="Y140" s="334"/>
      <c r="Z140" s="334"/>
      <c r="AA140" s="334"/>
      <c r="AB140" s="334"/>
      <c r="AC140" s="334"/>
      <c r="AD140" s="334"/>
    </row>
    <row r="141" ht="16.5" customHeight="1">
      <c r="A141" s="329"/>
      <c r="B141" s="329" t="str">
        <f>IFERROR(__xludf.DUMMYFUNCTION("""COMPUTED_VALUE"""),"INF_BANHKEMNHATRANG")</f>
        <v>INF_BANHKEMNHATRANG</v>
      </c>
      <c r="C141" s="329" t="s">
        <v>1401</v>
      </c>
      <c r="D141" s="331"/>
      <c r="E141" s="331"/>
      <c r="F141" s="331"/>
      <c r="G141" s="331">
        <f>iferror(sumifs('Hợp tác'!G:G,'Hợp tác'!A:A,B141,'Hợp tác'!H:H,$G$2,'Hợp tác'!I:I,$I$2),"")</f>
        <v>0</v>
      </c>
      <c r="H141" s="332">
        <f>SUMIFS(View!J:J,View!B:B,B141)</f>
        <v>0</v>
      </c>
      <c r="I141" s="332">
        <f>sumifs('Hoa Hồng'!L:L,'Hoa Hồng'!A:A,B141)</f>
        <v>0</v>
      </c>
      <c r="J141" s="332">
        <v>0.0</v>
      </c>
      <c r="K141" s="333" t="s">
        <v>1211</v>
      </c>
      <c r="L141" s="334"/>
      <c r="M141" s="334"/>
      <c r="N141" s="334"/>
      <c r="O141" s="334"/>
      <c r="P141" s="334"/>
      <c r="Q141" s="334"/>
      <c r="R141" s="334"/>
      <c r="S141" s="334"/>
      <c r="T141" s="334"/>
      <c r="U141" s="334"/>
      <c r="V141" s="334"/>
      <c r="W141" s="334"/>
      <c r="X141" s="334"/>
      <c r="Y141" s="334"/>
      <c r="Z141" s="334"/>
      <c r="AA141" s="334"/>
      <c r="AB141" s="334"/>
      <c r="AC141" s="334"/>
      <c r="AD141" s="334"/>
    </row>
    <row r="142" ht="16.5" customHeight="1">
      <c r="A142" s="335">
        <v>84.0</v>
      </c>
      <c r="B142" s="336" t="str">
        <f>IFERROR(__xludf.DUMMYFUNCTION("""COMPUTED_VALUE"""),"INFANH121")</f>
        <v>INFANH121</v>
      </c>
      <c r="C142" s="336" t="s">
        <v>1402</v>
      </c>
      <c r="D142" s="337"/>
      <c r="E142" s="338"/>
      <c r="F142" s="338"/>
      <c r="G142" s="338">
        <f>iferror(sumifs('Hợp tác'!G:G,'Hợp tác'!A:A,B142,'Hợp tác'!H:H,$G$2,'Hợp tác'!I:I,$I$2),"")</f>
        <v>0</v>
      </c>
      <c r="H142" s="339">
        <f>SUMIFS(View!J:J,View!B:B,B142)</f>
        <v>0</v>
      </c>
      <c r="I142" s="339">
        <f>sumifs('Hoa Hồng'!L:L,'Hoa Hồng'!A:A,B142)</f>
        <v>0</v>
      </c>
      <c r="J142" s="340">
        <v>0.0</v>
      </c>
      <c r="K142" s="333" t="s">
        <v>1211</v>
      </c>
      <c r="L142" s="320"/>
      <c r="M142" s="320"/>
      <c r="N142" s="320"/>
      <c r="O142" s="320"/>
      <c r="P142" s="320"/>
      <c r="Q142" s="320"/>
      <c r="R142" s="320"/>
      <c r="S142" s="320"/>
      <c r="T142" s="320"/>
      <c r="U142" s="320"/>
      <c r="V142" s="320"/>
      <c r="W142" s="320"/>
      <c r="X142" s="320"/>
      <c r="Y142" s="320"/>
      <c r="Z142" s="320"/>
      <c r="AA142" s="320"/>
      <c r="AB142" s="320"/>
      <c r="AC142" s="320"/>
      <c r="AD142" s="320"/>
    </row>
    <row r="143" ht="16.5" customHeight="1">
      <c r="A143" s="335">
        <v>85.0</v>
      </c>
      <c r="B143" s="336" t="str">
        <f>IFERROR(__xludf.DUMMYFUNCTION("""COMPUTED_VALUE"""),"INFTRANG693")</f>
        <v>INFTRANG693</v>
      </c>
      <c r="C143" s="336" t="s">
        <v>1403</v>
      </c>
      <c r="D143" s="337"/>
      <c r="E143" s="338"/>
      <c r="F143" s="338"/>
      <c r="G143" s="338">
        <f>iferror(sumifs('Hợp tác'!G:G,'Hợp tác'!A:A,B143,'Hợp tác'!H:H,$G$2,'Hợp tác'!I:I,$I$2),"")</f>
        <v>0</v>
      </c>
      <c r="H143" s="339">
        <f>SUMIFS(View!J:J,View!B:B,B143)</f>
        <v>0</v>
      </c>
      <c r="I143" s="339">
        <f>sumifs('Hoa Hồng'!L:L,'Hoa Hồng'!A:A,B143)</f>
        <v>0</v>
      </c>
      <c r="J143" s="340">
        <v>0.0</v>
      </c>
      <c r="K143" s="333" t="s">
        <v>1211</v>
      </c>
      <c r="L143" s="320"/>
      <c r="M143" s="320"/>
      <c r="N143" s="320"/>
      <c r="O143" s="320"/>
      <c r="P143" s="320"/>
      <c r="Q143" s="320"/>
      <c r="R143" s="320"/>
      <c r="S143" s="320"/>
      <c r="T143" s="320"/>
      <c r="U143" s="320"/>
      <c r="V143" s="320"/>
      <c r="W143" s="320"/>
      <c r="X143" s="320"/>
      <c r="Y143" s="320"/>
      <c r="Z143" s="320"/>
      <c r="AA143" s="320"/>
      <c r="AB143" s="320"/>
      <c r="AC143" s="320"/>
      <c r="AD143" s="320"/>
    </row>
    <row r="144" ht="16.5" customHeight="1">
      <c r="A144" s="329"/>
      <c r="B144" s="329" t="str">
        <f>IFERROR(__xludf.DUMMYFUNCTION("""COMPUTED_VALUE"""),"INFBANG369")</f>
        <v>INFBANG369</v>
      </c>
      <c r="C144" s="329" t="s">
        <v>1404</v>
      </c>
      <c r="D144" s="331"/>
      <c r="E144" s="331"/>
      <c r="F144" s="331"/>
      <c r="G144" s="331">
        <f>iferror(sumifs('Hợp tác'!G:G,'Hợp tác'!A:A,B144,'Hợp tác'!H:H,$G$2,'Hợp tác'!I:I,$I$2),"")</f>
        <v>0</v>
      </c>
      <c r="H144" s="332">
        <f>SUMIFS(View!J:J,View!B:B,B144)</f>
        <v>0</v>
      </c>
      <c r="I144" s="332">
        <f>sumifs('Hoa Hồng'!L:L,'Hoa Hồng'!A:A,B144)</f>
        <v>0</v>
      </c>
      <c r="J144" s="332">
        <v>0.0</v>
      </c>
      <c r="K144" s="333" t="s">
        <v>1211</v>
      </c>
      <c r="L144" s="334"/>
      <c r="M144" s="334"/>
      <c r="N144" s="334"/>
      <c r="O144" s="334"/>
      <c r="P144" s="334"/>
      <c r="Q144" s="334"/>
      <c r="R144" s="334"/>
      <c r="S144" s="334"/>
      <c r="T144" s="334"/>
      <c r="U144" s="334"/>
      <c r="V144" s="334"/>
      <c r="W144" s="334"/>
      <c r="X144" s="334"/>
      <c r="Y144" s="334"/>
      <c r="Z144" s="334"/>
      <c r="AA144" s="334"/>
      <c r="AB144" s="334"/>
      <c r="AC144" s="334"/>
      <c r="AD144" s="334"/>
    </row>
    <row r="145" ht="16.5" customHeight="1">
      <c r="A145" s="329"/>
      <c r="B145" s="329" t="str">
        <f>IFERROR(__xludf.DUMMYFUNCTION("""COMPUTED_VALUE"""),"INFMY812")</f>
        <v>INFMY812</v>
      </c>
      <c r="C145" s="329" t="s">
        <v>1405</v>
      </c>
      <c r="D145" s="331"/>
      <c r="E145" s="331"/>
      <c r="F145" s="331"/>
      <c r="G145" s="331">
        <f>iferror(sumifs('Hợp tác'!G:G,'Hợp tác'!A:A,B145,'Hợp tác'!H:H,$G$2,'Hợp tác'!I:I,$I$2),"")</f>
        <v>0</v>
      </c>
      <c r="H145" s="332">
        <f>SUMIFS(View!J:J,View!B:B,B145)</f>
        <v>0</v>
      </c>
      <c r="I145" s="332">
        <f>sumifs('Hoa Hồng'!L:L,'Hoa Hồng'!A:A,B145)</f>
        <v>0</v>
      </c>
      <c r="J145" s="332">
        <v>0.0</v>
      </c>
      <c r="K145" s="333" t="s">
        <v>1211</v>
      </c>
      <c r="L145" s="334"/>
      <c r="M145" s="334"/>
      <c r="N145" s="334"/>
      <c r="O145" s="334"/>
      <c r="P145" s="334"/>
      <c r="Q145" s="334"/>
      <c r="R145" s="334"/>
      <c r="S145" s="334"/>
      <c r="T145" s="334"/>
      <c r="U145" s="334"/>
      <c r="V145" s="334"/>
      <c r="W145" s="334"/>
      <c r="X145" s="334"/>
      <c r="Y145" s="334"/>
      <c r="Z145" s="334"/>
      <c r="AA145" s="334"/>
      <c r="AB145" s="334"/>
      <c r="AC145" s="334"/>
      <c r="AD145" s="334"/>
    </row>
    <row r="146" ht="16.5" customHeight="1">
      <c r="A146" s="329"/>
      <c r="B146" s="329" t="str">
        <f>IFERROR(__xludf.DUMMYFUNCTION("""COMPUTED_VALUE"""),"INFTRUNG761")</f>
        <v>INFTRUNG761</v>
      </c>
      <c r="C146" s="329" t="s">
        <v>1406</v>
      </c>
      <c r="D146" s="331">
        <v>1.9035561160014E13</v>
      </c>
      <c r="E146" s="331" t="s">
        <v>1407</v>
      </c>
      <c r="F146" s="331" t="s">
        <v>122</v>
      </c>
      <c r="G146" s="331">
        <f>iferror(sumifs('Hợp tác'!G:G,'Hợp tác'!A:A,B146,'Hợp tác'!H:H,$G$2,'Hợp tác'!I:I,$I$2),"")</f>
        <v>500000</v>
      </c>
      <c r="H146" s="332">
        <f>SUMIFS(View!J:J,View!B:B,B146)</f>
        <v>0</v>
      </c>
      <c r="I146" s="332">
        <f>sumifs('Hoa Hồng'!L:L,'Hoa Hồng'!A:A,B146)</f>
        <v>0</v>
      </c>
      <c r="J146" s="332">
        <v>500000.0</v>
      </c>
      <c r="K146" s="333" t="s">
        <v>1211</v>
      </c>
      <c r="L146" s="334"/>
      <c r="M146" s="334"/>
      <c r="N146" s="334"/>
      <c r="O146" s="334"/>
      <c r="P146" s="334"/>
      <c r="Q146" s="334"/>
      <c r="R146" s="334"/>
      <c r="S146" s="334"/>
      <c r="T146" s="334"/>
      <c r="U146" s="334"/>
      <c r="V146" s="334"/>
      <c r="W146" s="334"/>
      <c r="X146" s="334"/>
      <c r="Y146" s="334"/>
      <c r="Z146" s="334"/>
      <c r="AA146" s="334"/>
      <c r="AB146" s="334"/>
      <c r="AC146" s="334"/>
      <c r="AD146" s="334"/>
    </row>
    <row r="147" ht="16.5" customHeight="1">
      <c r="A147" s="329"/>
      <c r="B147" s="329" t="str">
        <f>IFERROR(__xludf.DUMMYFUNCTION("""COMPUTED_VALUE"""),"INFPHONG828")</f>
        <v>INFPHONG828</v>
      </c>
      <c r="C147" s="329" t="s">
        <v>49</v>
      </c>
      <c r="D147" s="331" t="s">
        <v>1408</v>
      </c>
      <c r="E147" s="331" t="s">
        <v>54</v>
      </c>
      <c r="F147" s="331" t="s">
        <v>182</v>
      </c>
      <c r="G147" s="331">
        <f>iferror(sumifs('Hợp tác'!G:G,'Hợp tác'!A:A,B147,'Hợp tác'!H:H,$G$2,'Hợp tác'!I:I,$I$2),"")</f>
        <v>1000000</v>
      </c>
      <c r="H147" s="332">
        <f>SUMIFS(View!J:J,View!B:B,B147)</f>
        <v>8000000</v>
      </c>
      <c r="I147" s="332">
        <f>sumifs('Hoa Hồng'!L:L,'Hoa Hồng'!A:A,B147)</f>
        <v>0</v>
      </c>
      <c r="J147" s="332">
        <v>9000000.0</v>
      </c>
      <c r="K147" s="333" t="s">
        <v>1211</v>
      </c>
      <c r="L147" s="334"/>
      <c r="M147" s="334"/>
      <c r="N147" s="334"/>
      <c r="O147" s="334"/>
      <c r="P147" s="334"/>
      <c r="Q147" s="334"/>
      <c r="R147" s="334"/>
      <c r="S147" s="334"/>
      <c r="T147" s="334"/>
      <c r="U147" s="334"/>
      <c r="V147" s="334"/>
      <c r="W147" s="334"/>
      <c r="X147" s="334"/>
      <c r="Y147" s="334"/>
      <c r="Z147" s="334"/>
      <c r="AA147" s="334"/>
      <c r="AB147" s="334"/>
      <c r="AC147" s="334"/>
      <c r="AD147" s="334"/>
    </row>
    <row r="148" ht="16.5" customHeight="1">
      <c r="A148" s="329"/>
      <c r="B148" s="329" t="str">
        <f>IFERROR(__xludf.DUMMYFUNCTION("""COMPUTED_VALUE"""),"INFLY357")</f>
        <v>INFLY357</v>
      </c>
      <c r="C148" s="329" t="s">
        <v>1409</v>
      </c>
      <c r="D148" s="331" t="s">
        <v>1410</v>
      </c>
      <c r="E148" s="331" t="s">
        <v>1411</v>
      </c>
      <c r="F148" s="331" t="s">
        <v>187</v>
      </c>
      <c r="G148" s="331">
        <f>iferror(sumifs('Hợp tác'!G:G,'Hợp tác'!A:A,B148,'Hợp tác'!H:H,$G$2,'Hợp tác'!I:I,$I$2),"")</f>
        <v>0</v>
      </c>
      <c r="H148" s="332">
        <f>SUMIFS(View!J:J,View!B:B,B148)</f>
        <v>0</v>
      </c>
      <c r="I148" s="332">
        <f>sumifs('Hoa Hồng'!L:L,'Hoa Hồng'!A:A,B148)</f>
        <v>0</v>
      </c>
      <c r="J148" s="332">
        <v>0.0</v>
      </c>
      <c r="K148" s="333" t="s">
        <v>1211</v>
      </c>
      <c r="L148" s="334"/>
      <c r="M148" s="334"/>
      <c r="N148" s="334"/>
      <c r="O148" s="334"/>
      <c r="P148" s="334"/>
      <c r="Q148" s="334"/>
      <c r="R148" s="334"/>
      <c r="S148" s="334"/>
      <c r="T148" s="334"/>
      <c r="U148" s="334"/>
      <c r="V148" s="334"/>
      <c r="W148" s="334"/>
      <c r="X148" s="334"/>
      <c r="Y148" s="334"/>
      <c r="Z148" s="334"/>
      <c r="AA148" s="334"/>
      <c r="AB148" s="334"/>
      <c r="AC148" s="334"/>
      <c r="AD148" s="334"/>
    </row>
    <row r="149" ht="16.5" customHeight="1">
      <c r="A149" s="335">
        <v>86.0</v>
      </c>
      <c r="B149" s="336" t="str">
        <f>IFERROR(__xludf.DUMMYFUNCTION("""COMPUTED_VALUE"""),"INFNHI342")</f>
        <v>INFNHI342</v>
      </c>
      <c r="C149" s="336" t="s">
        <v>1412</v>
      </c>
      <c r="D149" s="337" t="s">
        <v>1413</v>
      </c>
      <c r="E149" s="338" t="s">
        <v>1414</v>
      </c>
      <c r="F149" s="338" t="s">
        <v>1415</v>
      </c>
      <c r="G149" s="338">
        <f>iferror(sumifs('Hợp tác'!G:G,'Hợp tác'!A:A,B149,'Hợp tác'!H:H,$G$2,'Hợp tác'!I:I,$I$2),"")</f>
        <v>0</v>
      </c>
      <c r="H149" s="339">
        <f>SUMIFS(View!J:J,View!B:B,B149)</f>
        <v>0</v>
      </c>
      <c r="I149" s="339">
        <f>sumifs('Hoa Hồng'!L:L,'Hoa Hồng'!A:A,B149)</f>
        <v>0</v>
      </c>
      <c r="J149" s="340">
        <v>0.0</v>
      </c>
      <c r="K149" s="333" t="s">
        <v>1211</v>
      </c>
      <c r="L149" s="320"/>
      <c r="M149" s="320"/>
      <c r="N149" s="320"/>
      <c r="O149" s="320"/>
      <c r="P149" s="320"/>
      <c r="Q149" s="320"/>
      <c r="R149" s="320"/>
      <c r="S149" s="320"/>
      <c r="T149" s="320"/>
      <c r="U149" s="320"/>
      <c r="V149" s="320"/>
      <c r="W149" s="320"/>
      <c r="X149" s="320"/>
      <c r="Y149" s="320"/>
      <c r="Z149" s="320"/>
      <c r="AA149" s="320"/>
      <c r="AB149" s="320"/>
      <c r="AC149" s="320"/>
      <c r="AD149" s="320"/>
    </row>
    <row r="150" ht="16.5" customHeight="1">
      <c r="A150" s="329"/>
      <c r="B150" s="329" t="str">
        <f>IFERROR(__xludf.DUMMYFUNCTION("""COMPUTED_VALUE"""),"INFHAN236")</f>
        <v>INFHAN236</v>
      </c>
      <c r="C150" s="329" t="s">
        <v>1416</v>
      </c>
      <c r="D150" s="331" t="s">
        <v>1417</v>
      </c>
      <c r="E150" s="331" t="s">
        <v>1418</v>
      </c>
      <c r="F150" s="331" t="s">
        <v>1419</v>
      </c>
      <c r="G150" s="331">
        <f>iferror(sumifs('Hợp tác'!G:G,'Hợp tác'!A:A,B150,'Hợp tác'!H:H,$G$2,'Hợp tác'!I:I,$I$2),"")</f>
        <v>1000000</v>
      </c>
      <c r="H150" s="332">
        <f>SUMIFS(View!J:J,View!B:B,B150)</f>
        <v>0</v>
      </c>
      <c r="I150" s="332">
        <f>sumifs('Hoa Hồng'!L:L,'Hoa Hồng'!A:A,B150)</f>
        <v>0</v>
      </c>
      <c r="J150" s="332">
        <v>1000000.0</v>
      </c>
      <c r="K150" s="333" t="s">
        <v>1211</v>
      </c>
      <c r="L150" s="334"/>
      <c r="M150" s="334"/>
      <c r="N150" s="334"/>
      <c r="O150" s="334"/>
      <c r="P150" s="334"/>
      <c r="Q150" s="334"/>
      <c r="R150" s="334"/>
      <c r="S150" s="334"/>
      <c r="T150" s="334"/>
      <c r="U150" s="334"/>
      <c r="V150" s="334"/>
      <c r="W150" s="334"/>
      <c r="X150" s="334"/>
      <c r="Y150" s="334"/>
      <c r="Z150" s="334"/>
      <c r="AA150" s="334"/>
      <c r="AB150" s="334"/>
      <c r="AC150" s="334"/>
      <c r="AD150" s="334"/>
    </row>
    <row r="151" ht="16.5" customHeight="1">
      <c r="A151" s="329"/>
      <c r="B151" s="329" t="str">
        <f>IFERROR(__xludf.DUMMYFUNCTION("""COMPUTED_VALUE"""),"INFCUONG506")</f>
        <v>INFCUONG506</v>
      </c>
      <c r="C151" s="329" t="s">
        <v>1420</v>
      </c>
      <c r="D151" s="331" t="s">
        <v>1421</v>
      </c>
      <c r="E151" s="331" t="s">
        <v>1418</v>
      </c>
      <c r="F151" s="331" t="s">
        <v>1419</v>
      </c>
      <c r="G151" s="331">
        <f>iferror(sumifs('Hợp tác'!G:G,'Hợp tác'!A:A,B151,'Hợp tác'!H:H,$G$2,'Hợp tác'!I:I,$I$2),"")</f>
        <v>3000000</v>
      </c>
      <c r="H151" s="332">
        <f>SUMIFS(View!J:J,View!B:B,B151)</f>
        <v>0</v>
      </c>
      <c r="I151" s="332">
        <f>sumifs('Hoa Hồng'!L:L,'Hoa Hồng'!A:A,B151)</f>
        <v>0</v>
      </c>
      <c r="J151" s="332">
        <v>3000000.0</v>
      </c>
      <c r="K151" s="333" t="s">
        <v>1211</v>
      </c>
      <c r="L151" s="334"/>
      <c r="M151" s="334"/>
      <c r="N151" s="334"/>
      <c r="O151" s="334"/>
      <c r="P151" s="334"/>
      <c r="Q151" s="334"/>
      <c r="R151" s="334"/>
      <c r="S151" s="334"/>
      <c r="T151" s="334"/>
      <c r="U151" s="334"/>
      <c r="V151" s="334"/>
      <c r="W151" s="334"/>
      <c r="X151" s="334"/>
      <c r="Y151" s="334"/>
      <c r="Z151" s="334"/>
      <c r="AA151" s="334"/>
      <c r="AB151" s="334"/>
      <c r="AC151" s="334"/>
      <c r="AD151" s="334"/>
    </row>
    <row r="152" ht="16.5" customHeight="1">
      <c r="A152" s="329"/>
      <c r="B152" s="329" t="str">
        <f>IFERROR(__xludf.DUMMYFUNCTION("""COMPUTED_VALUE"""),"INFNGUYEN507")</f>
        <v>INFNGUYEN507</v>
      </c>
      <c r="C152" s="329" t="s">
        <v>1422</v>
      </c>
      <c r="D152" s="331">
        <v>1.05870667226E11</v>
      </c>
      <c r="E152" s="331" t="s">
        <v>1422</v>
      </c>
      <c r="F152" s="331" t="s">
        <v>1423</v>
      </c>
      <c r="G152" s="331">
        <f>iferror(sumifs('Hợp tác'!G:G,'Hợp tác'!A:A,B152,'Hợp tác'!H:H,$G$2,'Hợp tác'!I:I,$I$2),"")</f>
        <v>0</v>
      </c>
      <c r="H152" s="332">
        <f>SUMIFS(View!J:J,View!B:B,B152)</f>
        <v>0</v>
      </c>
      <c r="I152" s="332">
        <f>sumifs('Hoa Hồng'!L:L,'Hoa Hồng'!A:A,B152)</f>
        <v>0</v>
      </c>
      <c r="J152" s="332">
        <v>0.0</v>
      </c>
      <c r="K152" s="333" t="s">
        <v>1211</v>
      </c>
      <c r="L152" s="334"/>
      <c r="M152" s="334"/>
      <c r="N152" s="334"/>
      <c r="O152" s="334"/>
      <c r="P152" s="334"/>
      <c r="Q152" s="334"/>
      <c r="R152" s="334"/>
      <c r="S152" s="334"/>
      <c r="T152" s="334"/>
      <c r="U152" s="334"/>
      <c r="V152" s="334"/>
      <c r="W152" s="334"/>
      <c r="X152" s="334"/>
      <c r="Y152" s="334"/>
      <c r="Z152" s="334"/>
      <c r="AA152" s="334"/>
      <c r="AB152" s="334"/>
      <c r="AC152" s="334"/>
      <c r="AD152" s="334"/>
    </row>
    <row r="153" ht="16.5" customHeight="1">
      <c r="A153" s="329"/>
      <c r="B153" s="329" t="str">
        <f>IFERROR(__xludf.DUMMYFUNCTION("""COMPUTED_VALUE"""),"INFKIET968")</f>
        <v>INFKIET968</v>
      </c>
      <c r="C153" s="329" t="s">
        <v>77</v>
      </c>
      <c r="D153" s="331">
        <v>6939917.0</v>
      </c>
      <c r="E153" s="331" t="s">
        <v>1424</v>
      </c>
      <c r="F153" s="331" t="s">
        <v>1425</v>
      </c>
      <c r="G153" s="331">
        <f>iferror(sumifs('Hợp tác'!G:G,'Hợp tác'!A:A,B153,'Hợp tác'!H:H,$G$2,'Hợp tác'!I:I,$I$2),"")</f>
        <v>1000000</v>
      </c>
      <c r="H153" s="332">
        <f>SUMIFS(View!J:J,View!B:B,B153)</f>
        <v>0</v>
      </c>
      <c r="I153" s="332">
        <f>sumifs('Hoa Hồng'!L:L,'Hoa Hồng'!A:A,B153)</f>
        <v>0</v>
      </c>
      <c r="J153" s="332">
        <v>1000000.0</v>
      </c>
      <c r="K153" s="333" t="s">
        <v>1211</v>
      </c>
      <c r="L153" s="334"/>
      <c r="M153" s="334"/>
      <c r="N153" s="334"/>
      <c r="O153" s="334"/>
      <c r="P153" s="334"/>
      <c r="Q153" s="334"/>
      <c r="R153" s="334"/>
      <c r="S153" s="334"/>
      <c r="T153" s="334"/>
      <c r="U153" s="334"/>
      <c r="V153" s="334"/>
      <c r="W153" s="334"/>
      <c r="X153" s="334"/>
      <c r="Y153" s="334"/>
      <c r="Z153" s="334"/>
      <c r="AA153" s="334"/>
      <c r="AB153" s="334"/>
      <c r="AC153" s="334"/>
      <c r="AD153" s="334"/>
    </row>
    <row r="154" ht="16.5" customHeight="1">
      <c r="A154" s="329"/>
      <c r="B154" s="329" t="str">
        <f>IFERROR(__xludf.DUMMYFUNCTION("""COMPUTED_VALUE"""),"INFTINH041")</f>
        <v>INFTINH041</v>
      </c>
      <c r="C154" s="329" t="s">
        <v>1426</v>
      </c>
      <c r="D154" s="331" t="s">
        <v>1427</v>
      </c>
      <c r="E154" s="331"/>
      <c r="F154" s="331"/>
      <c r="G154" s="331">
        <f>iferror(sumifs('Hợp tác'!G:G,'Hợp tác'!A:A,B154,'Hợp tác'!H:H,$G$2,'Hợp tác'!I:I,$I$2),"")</f>
        <v>0</v>
      </c>
      <c r="H154" s="332">
        <f>SUMIFS(View!J:J,View!B:B,B154)</f>
        <v>0</v>
      </c>
      <c r="I154" s="332">
        <f>sumifs('Hoa Hồng'!L:L,'Hoa Hồng'!A:A,B154)</f>
        <v>0</v>
      </c>
      <c r="J154" s="332">
        <v>0.0</v>
      </c>
      <c r="K154" s="333" t="s">
        <v>1211</v>
      </c>
      <c r="L154" s="334"/>
      <c r="M154" s="334"/>
      <c r="N154" s="334"/>
      <c r="O154" s="334"/>
      <c r="P154" s="334"/>
      <c r="Q154" s="334"/>
      <c r="R154" s="334"/>
      <c r="S154" s="334"/>
      <c r="T154" s="334"/>
      <c r="U154" s="334"/>
      <c r="V154" s="334"/>
      <c r="W154" s="334"/>
      <c r="X154" s="334"/>
      <c r="Y154" s="334"/>
      <c r="Z154" s="334"/>
      <c r="AA154" s="334"/>
      <c r="AB154" s="334"/>
      <c r="AC154" s="334"/>
      <c r="AD154" s="334"/>
    </row>
    <row r="155" ht="16.5" customHeight="1">
      <c r="A155" s="329"/>
      <c r="B155" s="329" t="str">
        <f>IFERROR(__xludf.DUMMYFUNCTION("""COMPUTED_VALUE"""),"INFTRONG402")</f>
        <v>INFTRONG402</v>
      </c>
      <c r="C155" s="329" t="s">
        <v>1428</v>
      </c>
      <c r="D155" s="331">
        <v>1.0087011103E11</v>
      </c>
      <c r="E155" s="331" t="s">
        <v>1429</v>
      </c>
      <c r="F155" s="331" t="s">
        <v>101</v>
      </c>
      <c r="G155" s="331">
        <f>iferror(sumifs('Hợp tác'!G:G,'Hợp tác'!A:A,B155,'Hợp tác'!H:H,$G$2,'Hợp tác'!I:I,$I$2),"")</f>
        <v>0</v>
      </c>
      <c r="H155" s="332">
        <f>SUMIFS(View!J:J,View!B:B,B155)</f>
        <v>0</v>
      </c>
      <c r="I155" s="332">
        <f>sumifs('Hoa Hồng'!L:L,'Hoa Hồng'!A:A,B155)</f>
        <v>0</v>
      </c>
      <c r="J155" s="332">
        <v>0.0</v>
      </c>
      <c r="K155" s="333" t="s">
        <v>1211</v>
      </c>
      <c r="L155" s="334"/>
      <c r="M155" s="334"/>
      <c r="N155" s="334"/>
      <c r="O155" s="334"/>
      <c r="P155" s="334"/>
      <c r="Q155" s="334"/>
      <c r="R155" s="334"/>
      <c r="S155" s="334"/>
      <c r="T155" s="334"/>
      <c r="U155" s="334"/>
      <c r="V155" s="334"/>
      <c r="W155" s="334"/>
      <c r="X155" s="334"/>
      <c r="Y155" s="334"/>
      <c r="Z155" s="334"/>
      <c r="AA155" s="334"/>
      <c r="AB155" s="334"/>
      <c r="AC155" s="334"/>
      <c r="AD155" s="334"/>
    </row>
    <row r="156" ht="16.5" customHeight="1">
      <c r="A156" s="329"/>
      <c r="B156" s="329" t="str">
        <f>IFERROR(__xludf.DUMMYFUNCTION("""COMPUTED_VALUE"""),"INFTHANH903")</f>
        <v>INFTHANH903</v>
      </c>
      <c r="C156" s="329" t="s">
        <v>1430</v>
      </c>
      <c r="D156" s="331" t="s">
        <v>1431</v>
      </c>
      <c r="E156" s="331" t="s">
        <v>1432</v>
      </c>
      <c r="F156" s="331" t="s">
        <v>19</v>
      </c>
      <c r="G156" s="331">
        <f>iferror(sumifs('Hợp tác'!G:G,'Hợp tác'!A:A,B156,'Hợp tác'!H:H,$G$2,'Hợp tác'!I:I,$I$2),"")</f>
        <v>1000000</v>
      </c>
      <c r="H156" s="332">
        <f>SUMIFS(View!J:J,View!B:B,B156)</f>
        <v>0</v>
      </c>
      <c r="I156" s="332">
        <f>sumifs('Hoa Hồng'!L:L,'Hoa Hồng'!A:A,B156)</f>
        <v>0</v>
      </c>
      <c r="J156" s="332">
        <v>1000000.0</v>
      </c>
      <c r="K156" s="333" t="s">
        <v>1211</v>
      </c>
      <c r="L156" s="334"/>
      <c r="M156" s="334"/>
      <c r="N156" s="334"/>
      <c r="O156" s="334"/>
      <c r="P156" s="334"/>
      <c r="Q156" s="334"/>
      <c r="R156" s="334"/>
      <c r="S156" s="334"/>
      <c r="T156" s="334"/>
      <c r="U156" s="334"/>
      <c r="V156" s="334"/>
      <c r="W156" s="334"/>
      <c r="X156" s="334"/>
      <c r="Y156" s="334"/>
      <c r="Z156" s="334"/>
      <c r="AA156" s="334"/>
      <c r="AB156" s="334"/>
      <c r="AC156" s="334"/>
      <c r="AD156" s="334"/>
    </row>
    <row r="157" ht="16.5" customHeight="1">
      <c r="A157" s="329"/>
      <c r="B157" s="329" t="str">
        <f>IFERROR(__xludf.DUMMYFUNCTION("""COMPUTED_VALUE"""),"INFTU672")</f>
        <v>INFTU672</v>
      </c>
      <c r="C157" s="329" t="s">
        <v>1433</v>
      </c>
      <c r="D157" s="331" t="s">
        <v>1434</v>
      </c>
      <c r="E157" s="331" t="s">
        <v>1435</v>
      </c>
      <c r="F157" s="331" t="s">
        <v>19</v>
      </c>
      <c r="G157" s="331">
        <f>iferror(sumifs('Hợp tác'!G:G,'Hợp tác'!A:A,B157,'Hợp tác'!H:H,$G$2,'Hợp tác'!I:I,$I$2),"")</f>
        <v>1000000</v>
      </c>
      <c r="H157" s="332">
        <f>SUMIFS(View!J:J,View!B:B,B157)</f>
        <v>0</v>
      </c>
      <c r="I157" s="332">
        <f>sumifs('Hoa Hồng'!L:L,'Hoa Hồng'!A:A,B157)</f>
        <v>0</v>
      </c>
      <c r="J157" s="332">
        <v>1000000.0</v>
      </c>
      <c r="K157" s="333" t="s">
        <v>1211</v>
      </c>
      <c r="L157" s="334"/>
      <c r="M157" s="334"/>
      <c r="N157" s="334"/>
      <c r="O157" s="334"/>
      <c r="P157" s="334"/>
      <c r="Q157" s="334"/>
      <c r="R157" s="334"/>
      <c r="S157" s="334"/>
      <c r="T157" s="334"/>
      <c r="U157" s="334"/>
      <c r="V157" s="334"/>
      <c r="W157" s="334"/>
      <c r="X157" s="334"/>
      <c r="Y157" s="334"/>
      <c r="Z157" s="334"/>
      <c r="AA157" s="334"/>
      <c r="AB157" s="334"/>
      <c r="AC157" s="334"/>
      <c r="AD157" s="334"/>
    </row>
    <row r="158" ht="16.5" customHeight="1">
      <c r="A158" s="329"/>
      <c r="B158" s="329" t="str">
        <f>IFERROR(__xludf.DUMMYFUNCTION("""COMPUTED_VALUE"""),"INFHANH352")</f>
        <v>INFHANH352</v>
      </c>
      <c r="C158" s="329" t="s">
        <v>1436</v>
      </c>
      <c r="D158" s="331">
        <v>1.903552406201E13</v>
      </c>
      <c r="E158" s="331" t="s">
        <v>1437</v>
      </c>
      <c r="F158" s="331" t="s">
        <v>48</v>
      </c>
      <c r="G158" s="331">
        <f>iferror(sumifs('Hợp tác'!G:G,'Hợp tác'!A:A,B158,'Hợp tác'!H:H,$G$2,'Hợp tác'!I:I,$I$2),"")</f>
        <v>0</v>
      </c>
      <c r="H158" s="332">
        <f>SUMIFS(View!J:J,View!B:B,B158)</f>
        <v>0</v>
      </c>
      <c r="I158" s="332">
        <f>sumifs('Hoa Hồng'!L:L,'Hoa Hồng'!A:A,B158)</f>
        <v>0</v>
      </c>
      <c r="J158" s="332">
        <v>0.0</v>
      </c>
      <c r="K158" s="333" t="s">
        <v>1211</v>
      </c>
      <c r="L158" s="334"/>
      <c r="M158" s="334"/>
      <c r="N158" s="334"/>
      <c r="O158" s="334"/>
      <c r="P158" s="334"/>
      <c r="Q158" s="334"/>
      <c r="R158" s="334"/>
      <c r="S158" s="334"/>
      <c r="T158" s="334"/>
      <c r="U158" s="334"/>
      <c r="V158" s="334"/>
      <c r="W158" s="334"/>
      <c r="X158" s="334"/>
      <c r="Y158" s="334"/>
      <c r="Z158" s="334"/>
      <c r="AA158" s="334"/>
      <c r="AB158" s="334"/>
      <c r="AC158" s="334"/>
      <c r="AD158" s="334"/>
    </row>
    <row r="159" ht="16.5" customHeight="1">
      <c r="A159" s="329"/>
      <c r="B159" s="329" t="str">
        <f>IFERROR(__xludf.DUMMYFUNCTION("""COMPUTED_VALUE"""),"INFVAN909")</f>
        <v>INFVAN909</v>
      </c>
      <c r="C159" s="329" t="s">
        <v>1438</v>
      </c>
      <c r="D159" s="331">
        <v>1.903558423801E13</v>
      </c>
      <c r="E159" s="331" t="s">
        <v>1439</v>
      </c>
      <c r="F159" s="331" t="s">
        <v>122</v>
      </c>
      <c r="G159" s="331">
        <f>iferror(sumifs('Hợp tác'!G:G,'Hợp tác'!A:A,B159,'Hợp tác'!H:H,$G$2,'Hợp tác'!I:I,$I$2),"")</f>
        <v>0</v>
      </c>
      <c r="H159" s="332">
        <f>SUMIFS(View!J:J,View!B:B,B159)</f>
        <v>0</v>
      </c>
      <c r="I159" s="332">
        <f>sumifs('Hoa Hồng'!L:L,'Hoa Hồng'!A:A,B159)</f>
        <v>0</v>
      </c>
      <c r="J159" s="332">
        <v>0.0</v>
      </c>
      <c r="K159" s="333" t="s">
        <v>1211</v>
      </c>
      <c r="L159" s="334"/>
      <c r="M159" s="334"/>
      <c r="N159" s="334"/>
      <c r="O159" s="334"/>
      <c r="P159" s="334"/>
      <c r="Q159" s="334"/>
      <c r="R159" s="334"/>
      <c r="S159" s="334"/>
      <c r="T159" s="334"/>
      <c r="U159" s="334"/>
      <c r="V159" s="334"/>
      <c r="W159" s="334"/>
      <c r="X159" s="334"/>
      <c r="Y159" s="334"/>
      <c r="Z159" s="334"/>
      <c r="AA159" s="334"/>
      <c r="AB159" s="334"/>
      <c r="AC159" s="334"/>
      <c r="AD159" s="334"/>
    </row>
    <row r="160" ht="16.5" customHeight="1">
      <c r="A160" s="335">
        <v>87.0</v>
      </c>
      <c r="B160" s="336" t="str">
        <f>IFERROR(__xludf.DUMMYFUNCTION("""COMPUTED_VALUE"""),"INFBAO888")</f>
        <v>INFBAO888</v>
      </c>
      <c r="C160" s="336" t="s">
        <v>1440</v>
      </c>
      <c r="D160" s="337">
        <v>3.647547501E9</v>
      </c>
      <c r="E160" s="338" t="s">
        <v>1441</v>
      </c>
      <c r="F160" s="338" t="s">
        <v>1314</v>
      </c>
      <c r="G160" s="338">
        <f>iferror(sumifs('Hợp tác'!G:G,'Hợp tác'!A:A,B160,'Hợp tác'!H:H,$G$2,'Hợp tác'!I:I,$I$2),"")</f>
        <v>0</v>
      </c>
      <c r="H160" s="339">
        <f>SUMIFS(View!J:J,View!B:B,B160)</f>
        <v>0</v>
      </c>
      <c r="I160" s="339">
        <f>sumifs('Hoa Hồng'!L:L,'Hoa Hồng'!A:A,B160)</f>
        <v>0</v>
      </c>
      <c r="J160" s="340">
        <v>0.0</v>
      </c>
      <c r="K160" s="333" t="s">
        <v>1211</v>
      </c>
      <c r="L160" s="320"/>
      <c r="M160" s="320"/>
      <c r="N160" s="320"/>
      <c r="O160" s="320"/>
      <c r="P160" s="320"/>
      <c r="Q160" s="320"/>
      <c r="R160" s="320"/>
      <c r="S160" s="320"/>
      <c r="T160" s="320"/>
      <c r="U160" s="320"/>
      <c r="V160" s="320"/>
      <c r="W160" s="320"/>
      <c r="X160" s="320"/>
      <c r="Y160" s="320"/>
      <c r="Z160" s="320"/>
      <c r="AA160" s="320"/>
      <c r="AB160" s="320"/>
      <c r="AC160" s="320"/>
      <c r="AD160" s="320"/>
    </row>
    <row r="161" ht="16.5" customHeight="1">
      <c r="A161" s="329"/>
      <c r="B161" s="329" t="str">
        <f>IFERROR(__xludf.DUMMYFUNCTION("""COMPUTED_VALUE"""),"INFNGAN562")</f>
        <v>INFNGAN562</v>
      </c>
      <c r="C161" s="329" t="s">
        <v>1442</v>
      </c>
      <c r="D161" s="331">
        <v>3.40520530772E12</v>
      </c>
      <c r="E161" s="331"/>
      <c r="F161" s="331" t="s">
        <v>1443</v>
      </c>
      <c r="G161" s="331">
        <f>iferror(sumifs('Hợp tác'!G:G,'Hợp tác'!A:A,B161,'Hợp tác'!H:H,$G$2,'Hợp tác'!I:I,$I$2),"")</f>
        <v>1000000</v>
      </c>
      <c r="H161" s="332">
        <f>SUMIFS(View!J:J,View!B:B,B161)</f>
        <v>0</v>
      </c>
      <c r="I161" s="332">
        <f>sumifs('Hoa Hồng'!L:L,'Hoa Hồng'!A:A,B161)</f>
        <v>0</v>
      </c>
      <c r="J161" s="332">
        <v>1000000.0</v>
      </c>
      <c r="K161" s="333" t="s">
        <v>1211</v>
      </c>
      <c r="L161" s="334"/>
      <c r="M161" s="334"/>
      <c r="N161" s="334"/>
      <c r="O161" s="334"/>
      <c r="P161" s="334"/>
      <c r="Q161" s="334"/>
      <c r="R161" s="334"/>
      <c r="S161" s="334"/>
      <c r="T161" s="334"/>
      <c r="U161" s="334"/>
      <c r="V161" s="334"/>
      <c r="W161" s="334"/>
      <c r="X161" s="334"/>
      <c r="Y161" s="334"/>
      <c r="Z161" s="334"/>
      <c r="AA161" s="334"/>
      <c r="AB161" s="334"/>
      <c r="AC161" s="334"/>
      <c r="AD161" s="334"/>
    </row>
    <row r="162" ht="16.5" customHeight="1">
      <c r="A162" s="329"/>
      <c r="B162" s="329" t="str">
        <f>IFERROR(__xludf.DUMMYFUNCTION("""COMPUTED_VALUE"""),"INFHUYEN911")</f>
        <v>INFHUYEN911</v>
      </c>
      <c r="C162" s="329" t="s">
        <v>329</v>
      </c>
      <c r="D162" s="331" t="s">
        <v>1444</v>
      </c>
      <c r="E162" s="331" t="s">
        <v>1445</v>
      </c>
      <c r="F162" s="331" t="s">
        <v>1446</v>
      </c>
      <c r="G162" s="331">
        <f>iferror(sumifs('Hợp tác'!G:G,'Hợp tác'!A:A,B162,'Hợp tác'!H:H,$G$2,'Hợp tác'!I:I,$I$2),"")</f>
        <v>0</v>
      </c>
      <c r="H162" s="332">
        <f>SUMIFS(View!J:J,View!B:B,B162)</f>
        <v>0</v>
      </c>
      <c r="I162" s="332">
        <f>sumifs('Hoa Hồng'!L:L,'Hoa Hồng'!A:A,B162)</f>
        <v>0</v>
      </c>
      <c r="J162" s="332">
        <v>0.0</v>
      </c>
      <c r="K162" s="333" t="s">
        <v>1211</v>
      </c>
      <c r="L162" s="334"/>
      <c r="M162" s="334"/>
      <c r="N162" s="334"/>
      <c r="O162" s="334"/>
      <c r="P162" s="334"/>
      <c r="Q162" s="334"/>
      <c r="R162" s="334"/>
      <c r="S162" s="334"/>
      <c r="T162" s="334"/>
      <c r="U162" s="334"/>
      <c r="V162" s="334"/>
      <c r="W162" s="334"/>
      <c r="X162" s="334"/>
      <c r="Y162" s="334"/>
      <c r="Z162" s="334"/>
      <c r="AA162" s="334"/>
      <c r="AB162" s="334"/>
      <c r="AC162" s="334"/>
      <c r="AD162" s="334"/>
    </row>
    <row r="163" ht="16.5" customHeight="1">
      <c r="A163" s="335">
        <v>88.0</v>
      </c>
      <c r="B163" s="336" t="str">
        <f>IFERROR(__xludf.DUMMYFUNCTION("""COMPUTED_VALUE"""),"INFTRUONG497")</f>
        <v>INFTRUONG497</v>
      </c>
      <c r="C163" s="336" t="s">
        <v>1447</v>
      </c>
      <c r="D163" s="337" t="s">
        <v>1448</v>
      </c>
      <c r="E163" s="338" t="s">
        <v>1449</v>
      </c>
      <c r="F163" s="338" t="s">
        <v>187</v>
      </c>
      <c r="G163" s="338">
        <f>iferror(sumifs('Hợp tác'!G:G,'Hợp tác'!A:A,B163,'Hợp tác'!H:H,$G$2,'Hợp tác'!I:I,$I$2),"")</f>
        <v>0</v>
      </c>
      <c r="H163" s="339">
        <f>SUMIFS(View!J:J,View!B:B,B163)</f>
        <v>0</v>
      </c>
      <c r="I163" s="339">
        <f>sumifs('Hoa Hồng'!L:L,'Hoa Hồng'!A:A,B163)</f>
        <v>0</v>
      </c>
      <c r="J163" s="340">
        <v>0.0</v>
      </c>
      <c r="K163" s="333" t="s">
        <v>1211</v>
      </c>
      <c r="L163" s="320"/>
      <c r="M163" s="320"/>
      <c r="N163" s="320"/>
      <c r="O163" s="320"/>
      <c r="P163" s="320"/>
      <c r="Q163" s="320"/>
      <c r="R163" s="320"/>
      <c r="S163" s="320"/>
      <c r="T163" s="320"/>
      <c r="U163" s="320"/>
      <c r="V163" s="320"/>
      <c r="W163" s="320"/>
      <c r="X163" s="320"/>
      <c r="Y163" s="320"/>
      <c r="Z163" s="320"/>
      <c r="AA163" s="320"/>
      <c r="AB163" s="320"/>
      <c r="AC163" s="320"/>
      <c r="AD163" s="320"/>
    </row>
    <row r="164" ht="16.5" customHeight="1">
      <c r="A164" s="329"/>
      <c r="B164" s="329" t="str">
        <f>IFERROR(__xludf.DUMMYFUNCTION("""COMPUTED_VALUE"""),"INFHUYEN055")</f>
        <v>INFHUYEN055</v>
      </c>
      <c r="C164" s="329" t="s">
        <v>1450</v>
      </c>
      <c r="D164" s="331">
        <v>1.9127032774661E13</v>
      </c>
      <c r="E164" s="331" t="s">
        <v>1451</v>
      </c>
      <c r="F164" s="331" t="s">
        <v>48</v>
      </c>
      <c r="G164" s="331">
        <f>iferror(sumifs('Hợp tác'!G:G,'Hợp tác'!A:A,B164,'Hợp tác'!H:H,$G$2,'Hợp tác'!I:I,$I$2),"")</f>
        <v>1000000</v>
      </c>
      <c r="H164" s="332">
        <f>SUMIFS(View!J:J,View!B:B,B164)</f>
        <v>0</v>
      </c>
      <c r="I164" s="332">
        <f>sumifs('Hoa Hồng'!L:L,'Hoa Hồng'!A:A,B164)</f>
        <v>0</v>
      </c>
      <c r="J164" s="332">
        <v>1000000.0</v>
      </c>
      <c r="K164" s="333" t="s">
        <v>1211</v>
      </c>
      <c r="L164" s="334"/>
      <c r="M164" s="334"/>
      <c r="N164" s="334"/>
      <c r="O164" s="334"/>
      <c r="P164" s="334"/>
      <c r="Q164" s="334"/>
      <c r="R164" s="334"/>
      <c r="S164" s="334"/>
      <c r="T164" s="334"/>
      <c r="U164" s="334"/>
      <c r="V164" s="334"/>
      <c r="W164" s="334"/>
      <c r="X164" s="334"/>
      <c r="Y164" s="334"/>
      <c r="Z164" s="334"/>
      <c r="AA164" s="334"/>
      <c r="AB164" s="334"/>
      <c r="AC164" s="334"/>
      <c r="AD164" s="334"/>
    </row>
    <row r="165">
      <c r="A165" s="335">
        <v>89.0</v>
      </c>
      <c r="B165" s="336" t="str">
        <f>IFERROR(__xludf.DUMMYFUNCTION("""COMPUTED_VALUE"""),"INFHANG498")</f>
        <v>INFHANG498</v>
      </c>
      <c r="C165" s="336" t="s">
        <v>1452</v>
      </c>
      <c r="D165" s="337">
        <v>2.81000547396E11</v>
      </c>
      <c r="E165" s="338" t="s">
        <v>1452</v>
      </c>
      <c r="F165" s="338" t="s">
        <v>19</v>
      </c>
      <c r="G165" s="338">
        <f>iferror(sumifs('Hợp tác'!G:G,'Hợp tác'!A:A,B165,'Hợp tác'!H:H,$G$2,'Hợp tác'!I:I,$I$2),"")</f>
        <v>0</v>
      </c>
      <c r="H165" s="339">
        <f>SUMIFS(View!J:J,View!B:B,B165)</f>
        <v>0</v>
      </c>
      <c r="I165" s="339">
        <f>sumifs('Hoa Hồng'!L:L,'Hoa Hồng'!A:A,B165)</f>
        <v>0</v>
      </c>
      <c r="J165" s="340">
        <v>0.0</v>
      </c>
      <c r="K165" s="333" t="s">
        <v>1211</v>
      </c>
      <c r="L165" s="320"/>
      <c r="M165" s="320"/>
      <c r="N165" s="320"/>
      <c r="O165" s="320"/>
      <c r="P165" s="320"/>
      <c r="Q165" s="320"/>
      <c r="R165" s="320"/>
      <c r="S165" s="320"/>
      <c r="T165" s="320"/>
      <c r="U165" s="320"/>
      <c r="V165" s="320"/>
      <c r="W165" s="320"/>
      <c r="X165" s="320"/>
      <c r="Y165" s="320"/>
      <c r="Z165" s="320"/>
      <c r="AA165" s="320"/>
      <c r="AB165" s="320"/>
      <c r="AC165" s="320"/>
      <c r="AD165" s="320"/>
    </row>
    <row r="166" ht="16.5" customHeight="1">
      <c r="A166" s="329"/>
      <c r="B166" s="329" t="str">
        <f>IFERROR(__xludf.DUMMYFUNCTION("""COMPUTED_VALUE"""),"INFCUON129")</f>
        <v>INFCUON129</v>
      </c>
      <c r="C166" s="329" t="s">
        <v>1453</v>
      </c>
      <c r="D166" s="331">
        <v>4.301205182758E12</v>
      </c>
      <c r="E166" s="331" t="s">
        <v>1454</v>
      </c>
      <c r="F166" s="331" t="s">
        <v>106</v>
      </c>
      <c r="G166" s="331">
        <f>iferror(sumifs('Hợp tác'!G:G,'Hợp tác'!A:A,B166,'Hợp tác'!H:H,$G$2,'Hợp tác'!I:I,$I$2),"")</f>
        <v>0</v>
      </c>
      <c r="H166" s="332">
        <f>SUMIFS(View!J:J,View!B:B,B166)</f>
        <v>0</v>
      </c>
      <c r="I166" s="332">
        <f>sumifs('Hoa Hồng'!L:L,'Hoa Hồng'!A:A,B166)</f>
        <v>0</v>
      </c>
      <c r="J166" s="332">
        <v>0.0</v>
      </c>
      <c r="K166" s="333" t="s">
        <v>1211</v>
      </c>
      <c r="L166" s="334"/>
      <c r="M166" s="334"/>
      <c r="N166" s="334"/>
      <c r="O166" s="334"/>
      <c r="P166" s="334"/>
      <c r="Q166" s="334"/>
      <c r="R166" s="334"/>
      <c r="S166" s="334"/>
      <c r="T166" s="334"/>
      <c r="U166" s="334"/>
      <c r="V166" s="334"/>
      <c r="W166" s="334"/>
      <c r="X166" s="334"/>
      <c r="Y166" s="334"/>
      <c r="Z166" s="334"/>
      <c r="AA166" s="334"/>
      <c r="AB166" s="334"/>
      <c r="AC166" s="334"/>
      <c r="AD166" s="334"/>
    </row>
    <row r="167" ht="16.5" customHeight="1">
      <c r="A167" s="329"/>
      <c r="B167" s="329" t="str">
        <f>IFERROR(__xludf.DUMMYFUNCTION("""COMPUTED_VALUE"""),"INFHUYEN136")</f>
        <v>INFHUYEN136</v>
      </c>
      <c r="C167" s="329" t="s">
        <v>73</v>
      </c>
      <c r="D167" s="331">
        <v>1.9033560450016E13</v>
      </c>
      <c r="E167" s="331" t="s">
        <v>1455</v>
      </c>
      <c r="F167" s="331" t="s">
        <v>48</v>
      </c>
      <c r="G167" s="331">
        <f>iferror(sumifs('Hợp tác'!G:G,'Hợp tác'!A:A,B167,'Hợp tác'!H:H,$G$2,'Hợp tác'!I:I,$I$2),"")</f>
        <v>1000000</v>
      </c>
      <c r="H167" s="332">
        <f>SUMIFS(View!J:J,View!B:B,B167)</f>
        <v>0</v>
      </c>
      <c r="I167" s="332">
        <f>sumifs('Hoa Hồng'!L:L,'Hoa Hồng'!A:A,B167)</f>
        <v>0</v>
      </c>
      <c r="J167" s="332">
        <v>1000000.0</v>
      </c>
      <c r="K167" s="333" t="s">
        <v>1211</v>
      </c>
      <c r="L167" s="334"/>
      <c r="M167" s="334"/>
      <c r="N167" s="334"/>
      <c r="O167" s="334"/>
      <c r="P167" s="334"/>
      <c r="Q167" s="334"/>
      <c r="R167" s="334"/>
      <c r="S167" s="334"/>
      <c r="T167" s="334"/>
      <c r="U167" s="334"/>
      <c r="V167" s="334"/>
      <c r="W167" s="334"/>
      <c r="X167" s="334"/>
      <c r="Y167" s="334"/>
      <c r="Z167" s="334"/>
      <c r="AA167" s="334"/>
      <c r="AB167" s="334"/>
      <c r="AC167" s="334"/>
      <c r="AD167" s="334"/>
    </row>
    <row r="168" ht="16.5" customHeight="1">
      <c r="A168" s="329"/>
      <c r="B168" s="329" t="str">
        <f>IFERROR(__xludf.DUMMYFUNCTION("""COMPUTED_VALUE"""),"INFHUONG161")</f>
        <v>INFHUONG161</v>
      </c>
      <c r="C168" s="329" t="s">
        <v>1456</v>
      </c>
      <c r="D168" s="331">
        <v>1.9029279339011E13</v>
      </c>
      <c r="E168" s="331" t="s">
        <v>1457</v>
      </c>
      <c r="F168" s="331" t="s">
        <v>48</v>
      </c>
      <c r="G168" s="331">
        <f>iferror(sumifs('Hợp tác'!G:G,'Hợp tác'!A:A,B168,'Hợp tác'!H:H,$G$2,'Hợp tác'!I:I,$I$2),"")</f>
        <v>0</v>
      </c>
      <c r="H168" s="332">
        <f>SUMIFS(View!J:J,View!B:B,B168)</f>
        <v>0</v>
      </c>
      <c r="I168" s="332">
        <f>sumifs('Hoa Hồng'!L:L,'Hoa Hồng'!A:A,B168)</f>
        <v>0</v>
      </c>
      <c r="J168" s="332">
        <v>0.0</v>
      </c>
      <c r="K168" s="333" t="s">
        <v>1211</v>
      </c>
      <c r="L168" s="334"/>
      <c r="M168" s="334"/>
      <c r="N168" s="334"/>
      <c r="O168" s="334"/>
      <c r="P168" s="334"/>
      <c r="Q168" s="334"/>
      <c r="R168" s="334"/>
      <c r="S168" s="334"/>
      <c r="T168" s="334"/>
      <c r="U168" s="334"/>
      <c r="V168" s="334"/>
      <c r="W168" s="334"/>
      <c r="X168" s="334"/>
      <c r="Y168" s="334"/>
      <c r="Z168" s="334"/>
      <c r="AA168" s="334"/>
      <c r="AB168" s="334"/>
      <c r="AC168" s="334"/>
      <c r="AD168" s="334"/>
    </row>
    <row r="169" ht="16.5" customHeight="1">
      <c r="A169" s="329"/>
      <c r="B169" s="329" t="str">
        <f>IFERROR(__xludf.DUMMYFUNCTION("""COMPUTED_VALUE"""),"INFPHUONG582")</f>
        <v>INFPHUONG582</v>
      </c>
      <c r="C169" s="329" t="s">
        <v>84</v>
      </c>
      <c r="D169" s="331">
        <v>1.9034695106011E13</v>
      </c>
      <c r="E169" s="331" t="s">
        <v>86</v>
      </c>
      <c r="F169" s="331" t="s">
        <v>48</v>
      </c>
      <c r="G169" s="331">
        <f>iferror(sumifs('Hợp tác'!G:G,'Hợp tác'!A:A,B169,'Hợp tác'!H:H,$G$2,'Hợp tác'!I:I,$I$2),"")</f>
        <v>1000000</v>
      </c>
      <c r="H169" s="332">
        <f>SUMIFS(View!J:J,View!B:B,B169)</f>
        <v>0</v>
      </c>
      <c r="I169" s="332">
        <f>sumifs('Hoa Hồng'!L:L,'Hoa Hồng'!A:A,B169)</f>
        <v>0</v>
      </c>
      <c r="J169" s="332">
        <v>1000000.0</v>
      </c>
      <c r="K169" s="333" t="s">
        <v>1211</v>
      </c>
      <c r="L169" s="334"/>
      <c r="M169" s="334"/>
      <c r="N169" s="334"/>
      <c r="O169" s="334"/>
      <c r="P169" s="334"/>
      <c r="Q169" s="334"/>
      <c r="R169" s="334"/>
      <c r="S169" s="334"/>
      <c r="T169" s="334"/>
      <c r="U169" s="334"/>
      <c r="V169" s="334"/>
      <c r="W169" s="334"/>
      <c r="X169" s="334"/>
      <c r="Y169" s="334"/>
      <c r="Z169" s="334"/>
      <c r="AA169" s="334"/>
      <c r="AB169" s="334"/>
      <c r="AC169" s="334"/>
      <c r="AD169" s="334"/>
    </row>
    <row r="170" ht="16.5" customHeight="1">
      <c r="A170" s="329"/>
      <c r="B170" s="329" t="str">
        <f>IFERROR(__xludf.DUMMYFUNCTION("""COMPUTED_VALUE"""),"INFCHAM266")</f>
        <v>INFCHAM266</v>
      </c>
      <c r="C170" s="329" t="s">
        <v>1458</v>
      </c>
      <c r="D170" s="331">
        <v>1.310149121216E12</v>
      </c>
      <c r="E170" s="331" t="s">
        <v>1459</v>
      </c>
      <c r="F170" s="331" t="s">
        <v>182</v>
      </c>
      <c r="G170" s="331">
        <f>iferror(sumifs('Hợp tác'!G:G,'Hợp tác'!A:A,B170,'Hợp tác'!H:H,$G$2,'Hợp tác'!I:I,$I$2),"")</f>
        <v>0</v>
      </c>
      <c r="H170" s="332">
        <f>SUMIFS(View!J:J,View!B:B,B170)</f>
        <v>0</v>
      </c>
      <c r="I170" s="332">
        <f>sumifs('Hoa Hồng'!L:L,'Hoa Hồng'!A:A,B170)</f>
        <v>0</v>
      </c>
      <c r="J170" s="332">
        <v>0.0</v>
      </c>
      <c r="K170" s="333" t="s">
        <v>1211</v>
      </c>
      <c r="L170" s="334"/>
      <c r="M170" s="334"/>
      <c r="N170" s="334"/>
      <c r="O170" s="334"/>
      <c r="P170" s="334"/>
      <c r="Q170" s="334"/>
      <c r="R170" s="334"/>
      <c r="S170" s="334"/>
      <c r="T170" s="334"/>
      <c r="U170" s="334"/>
      <c r="V170" s="334"/>
      <c r="W170" s="334"/>
      <c r="X170" s="334"/>
      <c r="Y170" s="334"/>
      <c r="Z170" s="334"/>
      <c r="AA170" s="334"/>
      <c r="AB170" s="334"/>
      <c r="AC170" s="334"/>
      <c r="AD170" s="334"/>
    </row>
    <row r="171" ht="16.5" customHeight="1">
      <c r="A171" s="329"/>
      <c r="B171" s="329" t="str">
        <f>IFERROR(__xludf.DUMMYFUNCTION("""COMPUTED_VALUE"""),"INFHUE673")</f>
        <v>INFHUE673</v>
      </c>
      <c r="C171" s="329" t="s">
        <v>1460</v>
      </c>
      <c r="D171" s="331">
        <v>1.9036476601016E13</v>
      </c>
      <c r="E171" s="331" t="s">
        <v>1461</v>
      </c>
      <c r="F171" s="331" t="s">
        <v>48</v>
      </c>
      <c r="G171" s="331">
        <f>iferror(sumifs('Hợp tác'!G:G,'Hợp tác'!A:A,B171,'Hợp tác'!H:H,$G$2,'Hợp tác'!I:I,$I$2),"")</f>
        <v>1000000</v>
      </c>
      <c r="H171" s="332">
        <f>SUMIFS(View!J:J,View!B:B,B171)</f>
        <v>0</v>
      </c>
      <c r="I171" s="332">
        <f>sumifs('Hoa Hồng'!L:L,'Hoa Hồng'!A:A,B171)</f>
        <v>0</v>
      </c>
      <c r="J171" s="332">
        <v>1000000.0</v>
      </c>
      <c r="K171" s="333" t="s">
        <v>1211</v>
      </c>
      <c r="L171" s="334"/>
      <c r="M171" s="334"/>
      <c r="N171" s="334"/>
      <c r="O171" s="334"/>
      <c r="P171" s="334"/>
      <c r="Q171" s="334"/>
      <c r="R171" s="334"/>
      <c r="S171" s="334"/>
      <c r="T171" s="334"/>
      <c r="U171" s="334"/>
      <c r="V171" s="334"/>
      <c r="W171" s="334"/>
      <c r="X171" s="334"/>
      <c r="Y171" s="334"/>
      <c r="Z171" s="334"/>
      <c r="AA171" s="334"/>
      <c r="AB171" s="334"/>
      <c r="AC171" s="334"/>
      <c r="AD171" s="334"/>
    </row>
    <row r="172" ht="16.5" customHeight="1">
      <c r="A172" s="329"/>
      <c r="B172" s="329" t="str">
        <f>IFERROR(__xludf.DUMMYFUNCTION("""COMPUTED_VALUE"""),"INFTU191")</f>
        <v>INFTU191</v>
      </c>
      <c r="C172" s="329" t="s">
        <v>1462</v>
      </c>
      <c r="D172" s="331">
        <v>1.9037012113015E13</v>
      </c>
      <c r="E172" s="331" t="s">
        <v>1463</v>
      </c>
      <c r="F172" s="331" t="s">
        <v>122</v>
      </c>
      <c r="G172" s="331">
        <f>iferror(sumifs('Hợp tác'!G:G,'Hợp tác'!A:A,B172,'Hợp tác'!H:H,$G$2,'Hợp tác'!I:I,$I$2),"")</f>
        <v>1000000</v>
      </c>
      <c r="H172" s="332">
        <f>SUMIFS(View!J:J,View!B:B,B172)</f>
        <v>0</v>
      </c>
      <c r="I172" s="332">
        <f>sumifs('Hoa Hồng'!L:L,'Hoa Hồng'!A:A,B172)</f>
        <v>0</v>
      </c>
      <c r="J172" s="332">
        <v>1000000.0</v>
      </c>
      <c r="K172" s="333" t="s">
        <v>1211</v>
      </c>
      <c r="L172" s="334"/>
      <c r="M172" s="334"/>
      <c r="N172" s="334"/>
      <c r="O172" s="334"/>
      <c r="P172" s="334"/>
      <c r="Q172" s="334"/>
      <c r="R172" s="334"/>
      <c r="S172" s="334"/>
      <c r="T172" s="334"/>
      <c r="U172" s="334"/>
      <c r="V172" s="334"/>
      <c r="W172" s="334"/>
      <c r="X172" s="334"/>
      <c r="Y172" s="334"/>
      <c r="Z172" s="334"/>
      <c r="AA172" s="334"/>
      <c r="AB172" s="334"/>
      <c r="AC172" s="334"/>
      <c r="AD172" s="334"/>
    </row>
    <row r="173" ht="16.5" customHeight="1">
      <c r="A173" s="329"/>
      <c r="B173" s="329" t="str">
        <f>IFERROR(__xludf.DUMMYFUNCTION("""COMPUTED_VALUE"""),"INFVAN967")</f>
        <v>INFVAN967</v>
      </c>
      <c r="C173" s="329" t="s">
        <v>55</v>
      </c>
      <c r="D173" s="331">
        <v>1.9024723549016E13</v>
      </c>
      <c r="E173" s="331" t="s">
        <v>1464</v>
      </c>
      <c r="F173" s="331" t="s">
        <v>75</v>
      </c>
      <c r="G173" s="331">
        <f>iferror(sumifs('Hợp tác'!G:G,'Hợp tác'!A:A,B173,'Hợp tác'!H:H,$G$2,'Hợp tác'!I:I,$I$2),"")</f>
        <v>0</v>
      </c>
      <c r="H173" s="332">
        <f>SUMIFS(View!J:J,View!B:B,B173)</f>
        <v>0</v>
      </c>
      <c r="I173" s="332">
        <f>sumifs('Hoa Hồng'!L:L,'Hoa Hồng'!A:A,B173)</f>
        <v>0</v>
      </c>
      <c r="J173" s="332">
        <v>0.0</v>
      </c>
      <c r="K173" s="333" t="s">
        <v>1211</v>
      </c>
      <c r="L173" s="334"/>
      <c r="M173" s="334"/>
      <c r="N173" s="334"/>
      <c r="O173" s="334"/>
      <c r="P173" s="334"/>
      <c r="Q173" s="334"/>
      <c r="R173" s="334"/>
      <c r="S173" s="334"/>
      <c r="T173" s="334"/>
      <c r="U173" s="334"/>
      <c r="V173" s="334"/>
      <c r="W173" s="334"/>
      <c r="X173" s="334"/>
      <c r="Y173" s="334"/>
      <c r="Z173" s="334"/>
      <c r="AA173" s="334"/>
      <c r="AB173" s="334"/>
      <c r="AC173" s="334"/>
      <c r="AD173" s="334"/>
    </row>
    <row r="174">
      <c r="A174" s="335">
        <v>90.0</v>
      </c>
      <c r="B174" s="336" t="str">
        <f>IFERROR(__xludf.DUMMYFUNCTION("""COMPUTED_VALUE"""),"INFNUONG666")</f>
        <v>INFNUONG666</v>
      </c>
      <c r="C174" s="336" t="s">
        <v>1465</v>
      </c>
      <c r="D174" s="337">
        <v>5.334457666E9</v>
      </c>
      <c r="E174" s="338" t="s">
        <v>1466</v>
      </c>
      <c r="F174" s="338" t="s">
        <v>44</v>
      </c>
      <c r="G174" s="338">
        <f>iferror(sumifs('Hợp tác'!G:G,'Hợp tác'!A:A,B174,'Hợp tác'!H:H,$G$2,'Hợp tác'!I:I,$I$2),"")</f>
        <v>0</v>
      </c>
      <c r="H174" s="339">
        <f>SUMIFS(View!J:J,View!B:B,B174)</f>
        <v>0</v>
      </c>
      <c r="I174" s="339">
        <f>sumifs('Hoa Hồng'!L:L,'Hoa Hồng'!A:A,B174)</f>
        <v>0</v>
      </c>
      <c r="J174" s="340">
        <v>0.0</v>
      </c>
      <c r="K174" s="333" t="s">
        <v>1211</v>
      </c>
      <c r="L174" s="320"/>
      <c r="M174" s="320"/>
      <c r="N174" s="320"/>
      <c r="O174" s="320"/>
      <c r="P174" s="320"/>
      <c r="Q174" s="320"/>
      <c r="R174" s="320"/>
      <c r="S174" s="320"/>
      <c r="T174" s="320"/>
      <c r="U174" s="320"/>
      <c r="V174" s="320"/>
      <c r="W174" s="320"/>
      <c r="X174" s="320"/>
      <c r="Y174" s="320"/>
      <c r="Z174" s="320"/>
      <c r="AA174" s="320"/>
      <c r="AB174" s="320"/>
      <c r="AC174" s="320"/>
      <c r="AD174" s="320"/>
    </row>
    <row r="175" ht="16.5" customHeight="1">
      <c r="A175" s="329"/>
      <c r="B175" s="329" t="str">
        <f>IFERROR(__xludf.DUMMYFUNCTION("""COMPUTED_VALUE"""),"INFQUYNH598")</f>
        <v>INFQUYNH598</v>
      </c>
      <c r="C175" s="329" t="s">
        <v>1467</v>
      </c>
      <c r="D175" s="331">
        <v>1.9034143737015E13</v>
      </c>
      <c r="E175" s="331" t="s">
        <v>1468</v>
      </c>
      <c r="F175" s="331" t="s">
        <v>48</v>
      </c>
      <c r="G175" s="331">
        <f>iferror(sumifs('Hợp tác'!G:G,'Hợp tác'!A:A,B175,'Hợp tác'!H:H,$G$2,'Hợp tác'!I:I,$I$2),"")</f>
        <v>0</v>
      </c>
      <c r="H175" s="332">
        <f>SUMIFS(View!J:J,View!B:B,B175)</f>
        <v>0</v>
      </c>
      <c r="I175" s="332">
        <f>sumifs('Hoa Hồng'!L:L,'Hoa Hồng'!A:A,B175)</f>
        <v>0</v>
      </c>
      <c r="J175" s="332">
        <v>0.0</v>
      </c>
      <c r="K175" s="333" t="s">
        <v>1211</v>
      </c>
      <c r="L175" s="334"/>
      <c r="M175" s="334"/>
      <c r="N175" s="334"/>
      <c r="O175" s="334"/>
      <c r="P175" s="334"/>
      <c r="Q175" s="334"/>
      <c r="R175" s="334"/>
      <c r="S175" s="334"/>
      <c r="T175" s="334"/>
      <c r="U175" s="334"/>
      <c r="V175" s="334"/>
      <c r="W175" s="334"/>
      <c r="X175" s="334"/>
      <c r="Y175" s="334"/>
      <c r="Z175" s="334"/>
      <c r="AA175" s="334"/>
      <c r="AB175" s="334"/>
      <c r="AC175" s="334"/>
      <c r="AD175" s="334"/>
    </row>
    <row r="176" ht="16.5" customHeight="1">
      <c r="A176" s="329"/>
      <c r="B176" s="329" t="str">
        <f>IFERROR(__xludf.DUMMYFUNCTION("""COMPUTED_VALUE"""),"INFHOA917")</f>
        <v>INFHOA917</v>
      </c>
      <c r="C176" s="329" t="s">
        <v>1469</v>
      </c>
      <c r="D176" s="331" t="s">
        <v>1470</v>
      </c>
      <c r="E176" s="331" t="s">
        <v>1471</v>
      </c>
      <c r="F176" s="331" t="s">
        <v>1472</v>
      </c>
      <c r="G176" s="331">
        <f>iferror(sumifs('Hợp tác'!G:G,'Hợp tác'!A:A,B176,'Hợp tác'!H:H,$G$2,'Hợp tác'!I:I,$I$2),"")</f>
        <v>1000000</v>
      </c>
      <c r="H176" s="332">
        <f>SUMIFS(View!J:J,View!B:B,B176)</f>
        <v>0</v>
      </c>
      <c r="I176" s="332">
        <f>sumifs('Hoa Hồng'!L:L,'Hoa Hồng'!A:A,B176)</f>
        <v>0</v>
      </c>
      <c r="J176" s="332">
        <v>1000000.0</v>
      </c>
      <c r="K176" s="333" t="s">
        <v>1211</v>
      </c>
      <c r="L176" s="334"/>
      <c r="M176" s="334"/>
      <c r="N176" s="334"/>
      <c r="O176" s="334"/>
      <c r="P176" s="334"/>
      <c r="Q176" s="334"/>
      <c r="R176" s="334"/>
      <c r="S176" s="334"/>
      <c r="T176" s="334"/>
      <c r="U176" s="334"/>
      <c r="V176" s="334"/>
      <c r="W176" s="334"/>
      <c r="X176" s="334"/>
      <c r="Y176" s="334"/>
      <c r="Z176" s="334"/>
      <c r="AA176" s="334"/>
      <c r="AB176" s="334"/>
      <c r="AC176" s="334"/>
      <c r="AD176" s="334"/>
    </row>
    <row r="177" ht="16.5" customHeight="1">
      <c r="A177" s="329"/>
      <c r="B177" s="329" t="str">
        <f>IFERROR(__xludf.DUMMYFUNCTION("""COMPUTED_VALUE"""),"INFHAO366")</f>
        <v>INFHAO366</v>
      </c>
      <c r="C177" s="329" t="s">
        <v>1473</v>
      </c>
      <c r="D177" s="331">
        <v>1.9032213429019E13</v>
      </c>
      <c r="E177" s="331" t="s">
        <v>1473</v>
      </c>
      <c r="F177" s="331" t="s">
        <v>1347</v>
      </c>
      <c r="G177" s="331">
        <f>iferror(sumifs('Hợp tác'!G:G,'Hợp tác'!A:A,B177,'Hợp tác'!H:H,$G$2,'Hợp tác'!I:I,$I$2),"")</f>
        <v>0</v>
      </c>
      <c r="H177" s="332">
        <f>SUMIFS(View!J:J,View!B:B,B177)</f>
        <v>0</v>
      </c>
      <c r="I177" s="332">
        <f>sumifs('Hoa Hồng'!L:L,'Hoa Hồng'!A:A,B177)</f>
        <v>0</v>
      </c>
      <c r="J177" s="332">
        <v>0.0</v>
      </c>
      <c r="K177" s="333" t="s">
        <v>1211</v>
      </c>
      <c r="L177" s="334"/>
      <c r="M177" s="334"/>
      <c r="N177" s="334"/>
      <c r="O177" s="334"/>
      <c r="P177" s="334"/>
      <c r="Q177" s="334"/>
      <c r="R177" s="334"/>
      <c r="S177" s="334"/>
      <c r="T177" s="334"/>
      <c r="U177" s="334"/>
      <c r="V177" s="334"/>
      <c r="W177" s="334"/>
      <c r="X177" s="334"/>
      <c r="Y177" s="334"/>
      <c r="Z177" s="334"/>
      <c r="AA177" s="334"/>
      <c r="AB177" s="334"/>
      <c r="AC177" s="334"/>
      <c r="AD177" s="334"/>
    </row>
    <row r="178" ht="16.5" customHeight="1">
      <c r="A178" s="329"/>
      <c r="B178" s="329" t="str">
        <f>IFERROR(__xludf.DUMMYFUNCTION("""COMPUTED_VALUE"""),"INFANH073")</f>
        <v>INFANH073</v>
      </c>
      <c r="C178" s="329" t="s">
        <v>269</v>
      </c>
      <c r="D178" s="331">
        <v>3.4110001129745E13</v>
      </c>
      <c r="E178" s="331" t="s">
        <v>269</v>
      </c>
      <c r="F178" s="331" t="s">
        <v>1474</v>
      </c>
      <c r="G178" s="331">
        <f>iferror(sumifs('Hợp tác'!G:G,'Hợp tác'!A:A,B178,'Hợp tác'!H:H,$G$2,'Hợp tác'!I:I,$I$2),"")</f>
        <v>1000000</v>
      </c>
      <c r="H178" s="332">
        <f>SUMIFS(View!J:J,View!B:B,B178)</f>
        <v>0</v>
      </c>
      <c r="I178" s="332">
        <f>sumifs('Hoa Hồng'!L:L,'Hoa Hồng'!A:A,B178)</f>
        <v>0</v>
      </c>
      <c r="J178" s="332">
        <v>1000000.0</v>
      </c>
      <c r="K178" s="333" t="s">
        <v>1211</v>
      </c>
      <c r="L178" s="334"/>
      <c r="M178" s="334"/>
      <c r="N178" s="334"/>
      <c r="O178" s="334"/>
      <c r="P178" s="334"/>
      <c r="Q178" s="334"/>
      <c r="R178" s="334"/>
      <c r="S178" s="334"/>
      <c r="T178" s="334"/>
      <c r="U178" s="334"/>
      <c r="V178" s="334"/>
      <c r="W178" s="334"/>
      <c r="X178" s="334"/>
      <c r="Y178" s="334"/>
      <c r="Z178" s="334"/>
      <c r="AA178" s="334"/>
      <c r="AB178" s="334"/>
      <c r="AC178" s="334"/>
      <c r="AD178" s="334"/>
    </row>
    <row r="179" ht="16.5" customHeight="1">
      <c r="A179" s="329"/>
      <c r="B179" s="329" t="str">
        <f>IFERROR(__xludf.DUMMYFUNCTION("""COMPUTED_VALUE"""),"INFLAN691")</f>
        <v>INFLAN691</v>
      </c>
      <c r="C179" s="329" t="s">
        <v>1475</v>
      </c>
      <c r="D179" s="331">
        <v>1.1004236992E10</v>
      </c>
      <c r="E179" s="331" t="s">
        <v>1476</v>
      </c>
      <c r="F179" s="331" t="s">
        <v>1477</v>
      </c>
      <c r="G179" s="331">
        <f>iferror(sumifs('Hợp tác'!G:G,'Hợp tác'!A:A,B179,'Hợp tác'!H:H,$G$2,'Hợp tác'!I:I,$I$2),"")</f>
        <v>0</v>
      </c>
      <c r="H179" s="332">
        <f>SUMIFS(View!J:J,View!B:B,B179)</f>
        <v>0</v>
      </c>
      <c r="I179" s="332">
        <f>sumifs('Hoa Hồng'!L:L,'Hoa Hồng'!A:A,B179)</f>
        <v>0</v>
      </c>
      <c r="J179" s="332">
        <v>0.0</v>
      </c>
      <c r="K179" s="333" t="s">
        <v>1211</v>
      </c>
      <c r="L179" s="334"/>
      <c r="M179" s="334"/>
      <c r="N179" s="334"/>
      <c r="O179" s="334"/>
      <c r="P179" s="334"/>
      <c r="Q179" s="334"/>
      <c r="R179" s="334"/>
      <c r="S179" s="334"/>
      <c r="T179" s="334"/>
      <c r="U179" s="334"/>
      <c r="V179" s="334"/>
      <c r="W179" s="334"/>
      <c r="X179" s="334"/>
      <c r="Y179" s="334"/>
      <c r="Z179" s="334"/>
      <c r="AA179" s="334"/>
      <c r="AB179" s="334"/>
      <c r="AC179" s="334"/>
      <c r="AD179" s="334"/>
    </row>
    <row r="180" ht="16.5" customHeight="1">
      <c r="A180" s="329"/>
      <c r="B180" s="329" t="str">
        <f>IFERROR(__xludf.DUMMYFUNCTION("""COMPUTED_VALUE"""),"INFPHUONG399")</f>
        <v>INFPHUONG399</v>
      </c>
      <c r="C180" s="329" t="s">
        <v>1478</v>
      </c>
      <c r="D180" s="331">
        <v>5.20133885009E11</v>
      </c>
      <c r="E180" s="331" t="s">
        <v>1478</v>
      </c>
      <c r="F180" s="331" t="s">
        <v>53</v>
      </c>
      <c r="G180" s="331">
        <f>iferror(sumifs('Hợp tác'!G:G,'Hợp tác'!A:A,B180,'Hợp tác'!H:H,$G$2,'Hợp tác'!I:I,$I$2),"")</f>
        <v>0</v>
      </c>
      <c r="H180" s="332">
        <f>SUMIFS(View!J:J,View!B:B,B180)</f>
        <v>0</v>
      </c>
      <c r="I180" s="332">
        <f>sumifs('Hoa Hồng'!L:L,'Hoa Hồng'!A:A,B180)</f>
        <v>0</v>
      </c>
      <c r="J180" s="332">
        <v>0.0</v>
      </c>
      <c r="K180" s="333" t="s">
        <v>1211</v>
      </c>
      <c r="L180" s="334"/>
      <c r="M180" s="334"/>
      <c r="N180" s="334"/>
      <c r="O180" s="334"/>
      <c r="P180" s="334"/>
      <c r="Q180" s="334"/>
      <c r="R180" s="334"/>
      <c r="S180" s="334"/>
      <c r="T180" s="334"/>
      <c r="U180" s="334"/>
      <c r="V180" s="334"/>
      <c r="W180" s="334"/>
      <c r="X180" s="334"/>
      <c r="Y180" s="334"/>
      <c r="Z180" s="334"/>
      <c r="AA180" s="334"/>
      <c r="AB180" s="334"/>
      <c r="AC180" s="334"/>
      <c r="AD180" s="334"/>
    </row>
    <row r="181" ht="16.5" customHeight="1">
      <c r="A181" s="329"/>
      <c r="B181" s="329" t="str">
        <f>IFERROR(__xludf.DUMMYFUNCTION("""COMPUTED_VALUE"""),"INFNGA490")</f>
        <v>INFNGA490</v>
      </c>
      <c r="C181" s="329" t="s">
        <v>1479</v>
      </c>
      <c r="D181" s="331">
        <v>1.9033718846011E13</v>
      </c>
      <c r="E181" s="331" t="s">
        <v>1480</v>
      </c>
      <c r="F181" s="331" t="s">
        <v>1481</v>
      </c>
      <c r="G181" s="331">
        <f>iferror(sumifs('Hợp tác'!G:G,'Hợp tác'!A:A,B181,'Hợp tác'!H:H,$G$2,'Hợp tác'!I:I,$I$2),"")</f>
        <v>0</v>
      </c>
      <c r="H181" s="332">
        <f>SUMIFS(View!J:J,View!B:B,B181)</f>
        <v>0</v>
      </c>
      <c r="I181" s="332">
        <f>sumifs('Hoa Hồng'!L:L,'Hoa Hồng'!A:A,B181)</f>
        <v>0</v>
      </c>
      <c r="J181" s="332">
        <v>0.0</v>
      </c>
      <c r="K181" s="333" t="s">
        <v>1211</v>
      </c>
      <c r="L181" s="334"/>
      <c r="M181" s="334"/>
      <c r="N181" s="334"/>
      <c r="O181" s="334"/>
      <c r="P181" s="334"/>
      <c r="Q181" s="334"/>
      <c r="R181" s="334"/>
      <c r="S181" s="334"/>
      <c r="T181" s="334"/>
      <c r="U181" s="334"/>
      <c r="V181" s="334"/>
      <c r="W181" s="334"/>
      <c r="X181" s="334"/>
      <c r="Y181" s="334"/>
      <c r="Z181" s="334"/>
      <c r="AA181" s="334"/>
      <c r="AB181" s="334"/>
      <c r="AC181" s="334"/>
      <c r="AD181" s="334"/>
    </row>
    <row r="182" ht="16.5" customHeight="1">
      <c r="A182" s="329"/>
      <c r="B182" s="329" t="str">
        <f>IFERROR(__xludf.DUMMYFUNCTION("""COMPUTED_VALUE"""),"INFVIEN003")</f>
        <v>INFVIEN003</v>
      </c>
      <c r="C182" s="329" t="s">
        <v>1482</v>
      </c>
      <c r="D182" s="331" t="s">
        <v>1483</v>
      </c>
      <c r="E182" s="331"/>
      <c r="F182" s="331" t="s">
        <v>1218</v>
      </c>
      <c r="G182" s="331">
        <f>iferror(sumifs('Hợp tác'!G:G,'Hợp tác'!A:A,B182,'Hợp tác'!H:H,$G$2,'Hợp tác'!I:I,$I$2),"")</f>
        <v>0</v>
      </c>
      <c r="H182" s="332">
        <f>SUMIFS(View!J:J,View!B:B,B182)</f>
        <v>0</v>
      </c>
      <c r="I182" s="332">
        <f>sumifs('Hoa Hồng'!L:L,'Hoa Hồng'!A:A,B182)</f>
        <v>0</v>
      </c>
      <c r="J182" s="332">
        <v>0.0</v>
      </c>
      <c r="K182" s="333" t="s">
        <v>1211</v>
      </c>
      <c r="L182" s="334"/>
      <c r="M182" s="334"/>
      <c r="N182" s="334"/>
      <c r="O182" s="334"/>
      <c r="P182" s="334"/>
      <c r="Q182" s="334"/>
      <c r="R182" s="334"/>
      <c r="S182" s="334"/>
      <c r="T182" s="334"/>
      <c r="U182" s="334"/>
      <c r="V182" s="334"/>
      <c r="W182" s="334"/>
      <c r="X182" s="334"/>
      <c r="Y182" s="334"/>
      <c r="Z182" s="334"/>
      <c r="AA182" s="334"/>
      <c r="AB182" s="334"/>
      <c r="AC182" s="334"/>
      <c r="AD182" s="334"/>
    </row>
    <row r="183" ht="16.5" customHeight="1">
      <c r="A183" s="329"/>
      <c r="B183" s="329" t="str">
        <f>IFERROR(__xludf.DUMMYFUNCTION("""COMPUTED_VALUE"""),"INFNGHI944")</f>
        <v>INFNGHI944</v>
      </c>
      <c r="C183" s="329" t="s">
        <v>1291</v>
      </c>
      <c r="D183" s="331" t="s">
        <v>1484</v>
      </c>
      <c r="E183" s="331"/>
      <c r="F183" s="331"/>
      <c r="G183" s="331">
        <f>iferror(sumifs('Hợp tác'!G:G,'Hợp tác'!A:A,B183,'Hợp tác'!H:H,$G$2,'Hợp tác'!I:I,$I$2),"")</f>
        <v>0</v>
      </c>
      <c r="H183" s="332">
        <f>SUMIFS(View!J:J,View!B:B,B183)</f>
        <v>0</v>
      </c>
      <c r="I183" s="332">
        <f>sumifs('Hoa Hồng'!L:L,'Hoa Hồng'!A:A,B183)</f>
        <v>0</v>
      </c>
      <c r="J183" s="332">
        <v>0.0</v>
      </c>
      <c r="K183" s="333" t="s">
        <v>1211</v>
      </c>
      <c r="L183" s="334"/>
      <c r="M183" s="334"/>
      <c r="N183" s="334"/>
      <c r="O183" s="334"/>
      <c r="P183" s="334"/>
      <c r="Q183" s="334"/>
      <c r="R183" s="334"/>
      <c r="S183" s="334"/>
      <c r="T183" s="334"/>
      <c r="U183" s="334"/>
      <c r="V183" s="334"/>
      <c r="W183" s="334"/>
      <c r="X183" s="334"/>
      <c r="Y183" s="334"/>
      <c r="Z183" s="334"/>
      <c r="AA183" s="334"/>
      <c r="AB183" s="334"/>
      <c r="AC183" s="334"/>
      <c r="AD183" s="334"/>
    </row>
    <row r="184" ht="16.5" customHeight="1">
      <c r="A184" s="329"/>
      <c r="B184" s="329" t="str">
        <f>IFERROR(__xludf.DUMMYFUNCTION("""COMPUTED_VALUE"""),"INFQUAN960")</f>
        <v>INFQUAN960</v>
      </c>
      <c r="C184" s="329" t="s">
        <v>1485</v>
      </c>
      <c r="D184" s="331">
        <v>3.0919947979E10</v>
      </c>
      <c r="E184" s="331" t="s">
        <v>1486</v>
      </c>
      <c r="F184" s="331" t="s">
        <v>1288</v>
      </c>
      <c r="G184" s="331">
        <f>iferror(sumifs('Hợp tác'!G:G,'Hợp tác'!A:A,B184,'Hợp tác'!H:H,$G$2,'Hợp tác'!I:I,$I$2),"")</f>
        <v>0</v>
      </c>
      <c r="H184" s="332">
        <f>SUMIFS(View!J:J,View!B:B,B184)</f>
        <v>0</v>
      </c>
      <c r="I184" s="332">
        <f>sumifs('Hoa Hồng'!L:L,'Hoa Hồng'!A:A,B184)</f>
        <v>0</v>
      </c>
      <c r="J184" s="332">
        <v>0.0</v>
      </c>
      <c r="K184" s="333" t="s">
        <v>1211</v>
      </c>
      <c r="L184" s="334"/>
      <c r="M184" s="334"/>
      <c r="N184" s="334"/>
      <c r="O184" s="334"/>
      <c r="P184" s="334"/>
      <c r="Q184" s="334"/>
      <c r="R184" s="334"/>
      <c r="S184" s="334"/>
      <c r="T184" s="334"/>
      <c r="U184" s="334"/>
      <c r="V184" s="334"/>
      <c r="W184" s="334"/>
      <c r="X184" s="334"/>
      <c r="Y184" s="334"/>
      <c r="Z184" s="334"/>
      <c r="AA184" s="334"/>
      <c r="AB184" s="334"/>
      <c r="AC184" s="334"/>
      <c r="AD184" s="334"/>
    </row>
    <row r="185" ht="16.5" customHeight="1">
      <c r="A185" s="329"/>
      <c r="B185" s="329" t="str">
        <f>IFERROR(__xludf.DUMMYFUNCTION("""COMPUTED_VALUE"""),"INFYEN795")</f>
        <v>INFYEN795</v>
      </c>
      <c r="C185" s="329" t="s">
        <v>1487</v>
      </c>
      <c r="D185" s="331">
        <v>2.2010003430034E13</v>
      </c>
      <c r="E185" s="331" t="s">
        <v>1488</v>
      </c>
      <c r="F185" s="331" t="s">
        <v>1258</v>
      </c>
      <c r="G185" s="331">
        <f>iferror(sumifs('Hợp tác'!G:G,'Hợp tác'!A:A,B185,'Hợp tác'!H:H,$G$2,'Hợp tác'!I:I,$I$2),"")</f>
        <v>0</v>
      </c>
      <c r="H185" s="332">
        <f>SUMIFS(View!J:J,View!B:B,B185)</f>
        <v>0</v>
      </c>
      <c r="I185" s="332">
        <f>sumifs('Hoa Hồng'!L:L,'Hoa Hồng'!A:A,B185)</f>
        <v>0</v>
      </c>
      <c r="J185" s="332">
        <v>0.0</v>
      </c>
      <c r="K185" s="333" t="s">
        <v>1211</v>
      </c>
      <c r="L185" s="334"/>
      <c r="M185" s="334"/>
      <c r="N185" s="334"/>
      <c r="O185" s="334"/>
      <c r="P185" s="334"/>
      <c r="Q185" s="334"/>
      <c r="R185" s="334"/>
      <c r="S185" s="334"/>
      <c r="T185" s="334"/>
      <c r="U185" s="334"/>
      <c r="V185" s="334"/>
      <c r="W185" s="334"/>
      <c r="X185" s="334"/>
      <c r="Y185" s="334"/>
      <c r="Z185" s="334"/>
      <c r="AA185" s="334"/>
      <c r="AB185" s="334"/>
      <c r="AC185" s="334"/>
      <c r="AD185" s="334"/>
    </row>
    <row r="186" ht="16.5" customHeight="1">
      <c r="A186" s="329"/>
      <c r="B186" s="329" t="str">
        <f>IFERROR(__xludf.DUMMYFUNCTION("""COMPUTED_VALUE"""),"INFPHUONG002")</f>
        <v>INFPHUONG002</v>
      </c>
      <c r="C186" s="329" t="s">
        <v>1489</v>
      </c>
      <c r="D186" s="331">
        <v>9.60118886868E11</v>
      </c>
      <c r="E186" s="331" t="s">
        <v>1490</v>
      </c>
      <c r="F186" s="331" t="s">
        <v>53</v>
      </c>
      <c r="G186" s="331">
        <f>iferror(sumifs('Hợp tác'!G:G,'Hợp tác'!A:A,B186,'Hợp tác'!H:H,$G$2,'Hợp tác'!I:I,$I$2),"")</f>
        <v>0</v>
      </c>
      <c r="H186" s="332">
        <f>SUMIFS(View!J:J,View!B:B,B186)</f>
        <v>0</v>
      </c>
      <c r="I186" s="332">
        <f>sumifs('Hoa Hồng'!L:L,'Hoa Hồng'!A:A,B186)</f>
        <v>0</v>
      </c>
      <c r="J186" s="332">
        <v>0.0</v>
      </c>
      <c r="K186" s="333" t="s">
        <v>1211</v>
      </c>
      <c r="L186" s="334"/>
      <c r="M186" s="334"/>
      <c r="N186" s="334"/>
      <c r="O186" s="334"/>
      <c r="P186" s="334"/>
      <c r="Q186" s="334"/>
      <c r="R186" s="334"/>
      <c r="S186" s="334"/>
      <c r="T186" s="334"/>
      <c r="U186" s="334"/>
      <c r="V186" s="334"/>
      <c r="W186" s="334"/>
      <c r="X186" s="334"/>
      <c r="Y186" s="334"/>
      <c r="Z186" s="334"/>
      <c r="AA186" s="334"/>
      <c r="AB186" s="334"/>
      <c r="AC186" s="334"/>
      <c r="AD186" s="334"/>
    </row>
    <row r="187" ht="16.5" customHeight="1">
      <c r="A187" s="329"/>
      <c r="B187" s="329" t="str">
        <f>IFERROR(__xludf.DUMMYFUNCTION("""COMPUTED_VALUE"""),"INFHA277")</f>
        <v>INFHA277</v>
      </c>
      <c r="C187" s="329" t="s">
        <v>1491</v>
      </c>
      <c r="D187" s="331">
        <v>1.9033300241014E13</v>
      </c>
      <c r="E187" s="331" t="s">
        <v>1491</v>
      </c>
      <c r="F187" s="331" t="s">
        <v>1492</v>
      </c>
      <c r="G187" s="331">
        <f>iferror(sumifs('Hợp tác'!G:G,'Hợp tác'!A:A,B187,'Hợp tác'!H:H,$G$2,'Hợp tác'!I:I,$I$2),"")</f>
        <v>0</v>
      </c>
      <c r="H187" s="332">
        <f>SUMIFS(View!J:J,View!B:B,B187)</f>
        <v>0</v>
      </c>
      <c r="I187" s="332">
        <f>sumifs('Hoa Hồng'!L:L,'Hoa Hồng'!A:A,B187)</f>
        <v>0</v>
      </c>
      <c r="J187" s="332">
        <v>0.0</v>
      </c>
      <c r="K187" s="333" t="s">
        <v>1211</v>
      </c>
      <c r="L187" s="334"/>
      <c r="M187" s="334"/>
      <c r="N187" s="334"/>
      <c r="O187" s="334"/>
      <c r="P187" s="334"/>
      <c r="Q187" s="334"/>
      <c r="R187" s="334"/>
      <c r="S187" s="334"/>
      <c r="T187" s="334"/>
      <c r="U187" s="334"/>
      <c r="V187" s="334"/>
      <c r="W187" s="334"/>
      <c r="X187" s="334"/>
      <c r="Y187" s="334"/>
      <c r="Z187" s="334"/>
      <c r="AA187" s="334"/>
      <c r="AB187" s="334"/>
      <c r="AC187" s="334"/>
      <c r="AD187" s="334"/>
    </row>
    <row r="188" ht="16.5" customHeight="1">
      <c r="A188" s="335">
        <v>91.0</v>
      </c>
      <c r="B188" s="336" t="str">
        <f>IFERROR(__xludf.DUMMYFUNCTION("""COMPUTED_VALUE"""),"INFPHUONG456")</f>
        <v>INFPHUONG456</v>
      </c>
      <c r="C188" s="336" t="s">
        <v>1493</v>
      </c>
      <c r="D188" s="337" t="s">
        <v>1494</v>
      </c>
      <c r="E188" s="338"/>
      <c r="F188" s="338"/>
      <c r="G188" s="338">
        <f>iferror(sumifs('Hợp tác'!G:G,'Hợp tác'!A:A,B188,'Hợp tác'!H:H,$G$2,'Hợp tác'!I:I,$I$2),"")</f>
        <v>0</v>
      </c>
      <c r="H188" s="339">
        <f>SUMIFS(View!J:J,View!B:B,B188)</f>
        <v>0</v>
      </c>
      <c r="I188" s="339">
        <f>sumifs('Hoa Hồng'!L:L,'Hoa Hồng'!A:A,B188)</f>
        <v>0</v>
      </c>
      <c r="J188" s="340">
        <v>0.0</v>
      </c>
      <c r="K188" s="333" t="s">
        <v>1211</v>
      </c>
      <c r="L188" s="320"/>
      <c r="M188" s="320"/>
      <c r="N188" s="320"/>
      <c r="O188" s="320"/>
      <c r="P188" s="320"/>
      <c r="Q188" s="320"/>
      <c r="R188" s="320"/>
      <c r="S188" s="320"/>
      <c r="T188" s="320"/>
      <c r="U188" s="320"/>
      <c r="V188" s="320"/>
      <c r="W188" s="320"/>
      <c r="X188" s="320"/>
      <c r="Y188" s="320"/>
      <c r="Z188" s="320"/>
      <c r="AA188" s="320"/>
      <c r="AB188" s="320"/>
      <c r="AC188" s="320"/>
      <c r="AD188" s="320"/>
    </row>
    <row r="189" ht="16.5" customHeight="1">
      <c r="A189" s="329"/>
      <c r="B189" s="329" t="str">
        <f>IFERROR(__xludf.DUMMYFUNCTION("""COMPUTED_VALUE"""),"INFDIEP502")</f>
        <v>INFDIEP502</v>
      </c>
      <c r="C189" s="329" t="s">
        <v>1495</v>
      </c>
      <c r="D189" s="331" t="s">
        <v>1496</v>
      </c>
      <c r="E189" s="331"/>
      <c r="F189" s="331"/>
      <c r="G189" s="331">
        <f>iferror(sumifs('Hợp tác'!G:G,'Hợp tác'!A:A,B189,'Hợp tác'!H:H,$G$2,'Hợp tác'!I:I,$I$2),"")</f>
        <v>0</v>
      </c>
      <c r="H189" s="332">
        <f>SUMIFS(View!J:J,View!B:B,B189)</f>
        <v>0</v>
      </c>
      <c r="I189" s="332">
        <f>sumifs('Hoa Hồng'!L:L,'Hoa Hồng'!A:A,B189)</f>
        <v>0</v>
      </c>
      <c r="J189" s="332">
        <v>0.0</v>
      </c>
      <c r="K189" s="333" t="s">
        <v>1211</v>
      </c>
      <c r="L189" s="334"/>
      <c r="M189" s="334"/>
      <c r="N189" s="334"/>
      <c r="O189" s="334"/>
      <c r="P189" s="334"/>
      <c r="Q189" s="334"/>
      <c r="R189" s="334"/>
      <c r="S189" s="334"/>
      <c r="T189" s="334"/>
      <c r="U189" s="334"/>
      <c r="V189" s="334"/>
      <c r="W189" s="334"/>
      <c r="X189" s="334"/>
      <c r="Y189" s="334"/>
      <c r="Z189" s="334"/>
      <c r="AA189" s="334"/>
      <c r="AB189" s="334"/>
      <c r="AC189" s="334"/>
      <c r="AD189" s="334"/>
    </row>
    <row r="190" ht="16.5" customHeight="1">
      <c r="A190" s="335">
        <v>92.0</v>
      </c>
      <c r="B190" s="336" t="str">
        <f>IFERROR(__xludf.DUMMYFUNCTION("""COMPUTED_VALUE"""),"INFNHAT993")</f>
        <v>INFNHAT993</v>
      </c>
      <c r="C190" s="336" t="s">
        <v>1497</v>
      </c>
      <c r="D190" s="337" t="s">
        <v>1498</v>
      </c>
      <c r="E190" s="338" t="s">
        <v>1499</v>
      </c>
      <c r="F190" s="338" t="s">
        <v>19</v>
      </c>
      <c r="G190" s="338">
        <f>iferror(sumifs('Hợp tác'!G:G,'Hợp tác'!A:A,B190,'Hợp tác'!H:H,$G$2,'Hợp tác'!I:I,$I$2),"")</f>
        <v>0</v>
      </c>
      <c r="H190" s="339">
        <f>SUMIFS(View!J:J,View!B:B,B190)</f>
        <v>0</v>
      </c>
      <c r="I190" s="339">
        <f>sumifs('Hoa Hồng'!L:L,'Hoa Hồng'!A:A,B190)</f>
        <v>0</v>
      </c>
      <c r="J190" s="340">
        <v>0.0</v>
      </c>
      <c r="K190" s="333" t="s">
        <v>1211</v>
      </c>
      <c r="L190" s="320"/>
      <c r="M190" s="320"/>
      <c r="N190" s="320"/>
      <c r="O190" s="320"/>
      <c r="P190" s="320"/>
      <c r="Q190" s="320"/>
      <c r="R190" s="320"/>
      <c r="S190" s="320"/>
      <c r="T190" s="320"/>
      <c r="U190" s="320"/>
      <c r="V190" s="320"/>
      <c r="W190" s="320"/>
      <c r="X190" s="320"/>
      <c r="Y190" s="320"/>
      <c r="Z190" s="320"/>
      <c r="AA190" s="320"/>
      <c r="AB190" s="320"/>
      <c r="AC190" s="320"/>
      <c r="AD190" s="320"/>
    </row>
    <row r="191" ht="16.5" customHeight="1">
      <c r="A191" s="329"/>
      <c r="B191" s="329" t="str">
        <f>IFERROR(__xludf.DUMMYFUNCTION("""COMPUTED_VALUE"""),"INFVUNG495")</f>
        <v>INFVUNG495</v>
      </c>
      <c r="C191" s="329" t="s">
        <v>1500</v>
      </c>
      <c r="D191" s="331">
        <v>1.9035859698017E13</v>
      </c>
      <c r="E191" s="331" t="s">
        <v>1500</v>
      </c>
      <c r="F191" s="331" t="s">
        <v>1347</v>
      </c>
      <c r="G191" s="331">
        <f>iferror(sumifs('Hợp tác'!G:G,'Hợp tác'!A:A,B191,'Hợp tác'!H:H,$G$2,'Hợp tác'!I:I,$I$2),"")</f>
        <v>0</v>
      </c>
      <c r="H191" s="332">
        <f>SUMIFS(View!J:J,View!B:B,B191)</f>
        <v>0</v>
      </c>
      <c r="I191" s="332">
        <f>sumifs('Hoa Hồng'!L:L,'Hoa Hồng'!A:A,B191)</f>
        <v>0</v>
      </c>
      <c r="J191" s="332">
        <v>0.0</v>
      </c>
      <c r="K191" s="333" t="s">
        <v>1211</v>
      </c>
      <c r="L191" s="334"/>
      <c r="M191" s="334"/>
      <c r="N191" s="334"/>
      <c r="O191" s="334"/>
      <c r="P191" s="334"/>
      <c r="Q191" s="334"/>
      <c r="R191" s="334"/>
      <c r="S191" s="334"/>
      <c r="T191" s="334"/>
      <c r="U191" s="334"/>
      <c r="V191" s="334"/>
      <c r="W191" s="334"/>
      <c r="X191" s="334"/>
      <c r="Y191" s="334"/>
      <c r="Z191" s="334"/>
      <c r="AA191" s="334"/>
      <c r="AB191" s="334"/>
      <c r="AC191" s="334"/>
      <c r="AD191" s="334"/>
    </row>
    <row r="192" ht="16.5" customHeight="1">
      <c r="A192" s="335">
        <v>93.0</v>
      </c>
      <c r="B192" s="336" t="str">
        <f>IFERROR(__xludf.DUMMYFUNCTION("""COMPUTED_VALUE"""),"INFOANH529")</f>
        <v>INFOANH529</v>
      </c>
      <c r="C192" s="336" t="s">
        <v>1501</v>
      </c>
      <c r="D192" s="337">
        <v>1.9033300241014E13</v>
      </c>
      <c r="E192" s="338" t="s">
        <v>1491</v>
      </c>
      <c r="F192" s="338" t="s">
        <v>1502</v>
      </c>
      <c r="G192" s="338">
        <f>iferror(sumifs('Hợp tác'!G:G,'Hợp tác'!A:A,B192,'Hợp tác'!H:H,$G$2,'Hợp tác'!I:I,$I$2),"")</f>
        <v>1000000</v>
      </c>
      <c r="H192" s="339">
        <f>SUMIFS(View!J:J,View!B:B,B192)</f>
        <v>0</v>
      </c>
      <c r="I192" s="339">
        <f>sumifs('Hoa Hồng'!L:L,'Hoa Hồng'!A:A,B192)</f>
        <v>0</v>
      </c>
      <c r="J192" s="340">
        <v>1000000.0</v>
      </c>
      <c r="K192" s="333" t="s">
        <v>1211</v>
      </c>
      <c r="L192" s="320"/>
      <c r="M192" s="320"/>
      <c r="N192" s="320"/>
      <c r="O192" s="320"/>
      <c r="P192" s="320"/>
      <c r="Q192" s="320"/>
      <c r="R192" s="320"/>
      <c r="S192" s="320"/>
      <c r="T192" s="320"/>
      <c r="U192" s="320"/>
      <c r="V192" s="320"/>
      <c r="W192" s="320"/>
      <c r="X192" s="320"/>
      <c r="Y192" s="320"/>
      <c r="Z192" s="320"/>
      <c r="AA192" s="320"/>
      <c r="AB192" s="320"/>
      <c r="AC192" s="320"/>
      <c r="AD192" s="320"/>
    </row>
    <row r="193" ht="16.5" customHeight="1">
      <c r="A193" s="329"/>
      <c r="B193" s="329" t="str">
        <f>IFERROR(__xludf.DUMMYFUNCTION("""COMPUTED_VALUE"""),"INFHIEP784")</f>
        <v>INFHIEP784</v>
      </c>
      <c r="C193" s="329" t="s">
        <v>1503</v>
      </c>
      <c r="D193" s="331">
        <v>1.9033300241014E13</v>
      </c>
      <c r="E193" s="331" t="s">
        <v>1491</v>
      </c>
      <c r="F193" s="331" t="s">
        <v>122</v>
      </c>
      <c r="G193" s="331">
        <f>iferror(sumifs('Hợp tác'!G:G,'Hợp tác'!A:A,B193,'Hợp tác'!H:H,$G$2,'Hợp tác'!I:I,$I$2),"")</f>
        <v>0</v>
      </c>
      <c r="H193" s="332">
        <f>SUMIFS(View!J:J,View!B:B,B193)</f>
        <v>0</v>
      </c>
      <c r="I193" s="332">
        <f>sumifs('Hoa Hồng'!L:L,'Hoa Hồng'!A:A,B193)</f>
        <v>0</v>
      </c>
      <c r="J193" s="332">
        <v>0.0</v>
      </c>
      <c r="K193" s="333" t="s">
        <v>1211</v>
      </c>
      <c r="L193" s="334"/>
      <c r="M193" s="334"/>
      <c r="N193" s="334"/>
      <c r="O193" s="334"/>
      <c r="P193" s="334"/>
      <c r="Q193" s="334"/>
      <c r="R193" s="334"/>
      <c r="S193" s="334"/>
      <c r="T193" s="334"/>
      <c r="U193" s="334"/>
      <c r="V193" s="334"/>
      <c r="W193" s="334"/>
      <c r="X193" s="334"/>
      <c r="Y193" s="334"/>
      <c r="Z193" s="334"/>
      <c r="AA193" s="334"/>
      <c r="AB193" s="334"/>
      <c r="AC193" s="334"/>
      <c r="AD193" s="334"/>
    </row>
    <row r="194" ht="16.5" customHeight="1">
      <c r="A194" s="329"/>
      <c r="B194" s="329" t="str">
        <f>IFERROR(__xludf.DUMMYFUNCTION("""COMPUTED_VALUE"""),"INFTHANH316")</f>
        <v>INFTHANH316</v>
      </c>
      <c r="C194" s="329" t="s">
        <v>1504</v>
      </c>
      <c r="D194" s="331">
        <v>1.9033300241014E13</v>
      </c>
      <c r="E194" s="331" t="s">
        <v>1491</v>
      </c>
      <c r="F194" s="331" t="s">
        <v>122</v>
      </c>
      <c r="G194" s="331">
        <f>iferror(sumifs('Hợp tác'!G:G,'Hợp tác'!A:A,B194,'Hợp tác'!H:H,$G$2,'Hợp tác'!I:I,$I$2),"")</f>
        <v>1000000</v>
      </c>
      <c r="H194" s="332">
        <f>SUMIFS(View!J:J,View!B:B,B194)</f>
        <v>0</v>
      </c>
      <c r="I194" s="332">
        <f>sumifs('Hoa Hồng'!L:L,'Hoa Hồng'!A:A,B194)</f>
        <v>0</v>
      </c>
      <c r="J194" s="332">
        <v>1000000.0</v>
      </c>
      <c r="K194" s="333" t="s">
        <v>1211</v>
      </c>
      <c r="L194" s="334"/>
      <c r="M194" s="334"/>
      <c r="N194" s="334"/>
      <c r="O194" s="334"/>
      <c r="P194" s="334"/>
      <c r="Q194" s="334"/>
      <c r="R194" s="334"/>
      <c r="S194" s="334"/>
      <c r="T194" s="334"/>
      <c r="U194" s="334"/>
      <c r="V194" s="334"/>
      <c r="W194" s="334"/>
      <c r="X194" s="334"/>
      <c r="Y194" s="334"/>
      <c r="Z194" s="334"/>
      <c r="AA194" s="334"/>
      <c r="AB194" s="334"/>
      <c r="AC194" s="334"/>
      <c r="AD194" s="334"/>
    </row>
    <row r="195" ht="16.5" customHeight="1">
      <c r="A195" s="329"/>
      <c r="B195" s="329" t="str">
        <f>IFERROR(__xludf.DUMMYFUNCTION("""COMPUTED_VALUE"""),"INFUYEN356")</f>
        <v>INFUYEN356</v>
      </c>
      <c r="C195" s="329" t="s">
        <v>1505</v>
      </c>
      <c r="D195" s="331" t="s">
        <v>1506</v>
      </c>
      <c r="E195" s="331" t="s">
        <v>1507</v>
      </c>
      <c r="F195" s="331" t="s">
        <v>19</v>
      </c>
      <c r="G195" s="331">
        <f>iferror(sumifs('Hợp tác'!G:G,'Hợp tác'!A:A,B195,'Hợp tác'!H:H,$G$2,'Hợp tác'!I:I,$I$2),"")</f>
        <v>0</v>
      </c>
      <c r="H195" s="332">
        <f>SUMIFS(View!J:J,View!B:B,B195)</f>
        <v>0</v>
      </c>
      <c r="I195" s="332">
        <f>sumifs('Hoa Hồng'!L:L,'Hoa Hồng'!A:A,B195)</f>
        <v>0</v>
      </c>
      <c r="J195" s="332">
        <v>0.0</v>
      </c>
      <c r="K195" s="333" t="s">
        <v>1211</v>
      </c>
      <c r="L195" s="334"/>
      <c r="M195" s="334"/>
      <c r="N195" s="334"/>
      <c r="O195" s="334"/>
      <c r="P195" s="334"/>
      <c r="Q195" s="334"/>
      <c r="R195" s="334"/>
      <c r="S195" s="334"/>
      <c r="T195" s="334"/>
      <c r="U195" s="334"/>
      <c r="V195" s="334"/>
      <c r="W195" s="334"/>
      <c r="X195" s="334"/>
      <c r="Y195" s="334"/>
      <c r="Z195" s="334"/>
      <c r="AA195" s="334"/>
      <c r="AB195" s="334"/>
      <c r="AC195" s="334"/>
      <c r="AD195" s="334"/>
    </row>
    <row r="196" ht="16.5" customHeight="1">
      <c r="A196" s="329"/>
      <c r="B196" s="329" t="str">
        <f>IFERROR(__xludf.DUMMYFUNCTION("""COMPUTED_VALUE"""),"INFHA960")</f>
        <v>INFHA960</v>
      </c>
      <c r="C196" s="329" t="s">
        <v>81</v>
      </c>
      <c r="D196" s="331">
        <v>1.9028801288998E13</v>
      </c>
      <c r="E196" s="331" t="s">
        <v>83</v>
      </c>
      <c r="F196" s="331" t="s">
        <v>48</v>
      </c>
      <c r="G196" s="331">
        <f>iferror(sumifs('Hợp tác'!G:G,'Hợp tác'!A:A,B196,'Hợp tác'!H:H,$G$2,'Hợp tác'!I:I,$I$2),"")</f>
        <v>1000000</v>
      </c>
      <c r="H196" s="332">
        <f>SUMIFS(View!J:J,View!B:B,B196)</f>
        <v>0</v>
      </c>
      <c r="I196" s="332">
        <f>sumifs('Hoa Hồng'!L:L,'Hoa Hồng'!A:A,B196)</f>
        <v>0</v>
      </c>
      <c r="J196" s="332">
        <v>1000000.0</v>
      </c>
      <c r="K196" s="333" t="s">
        <v>1211</v>
      </c>
      <c r="L196" s="334"/>
      <c r="M196" s="334"/>
      <c r="N196" s="334"/>
      <c r="O196" s="334"/>
      <c r="P196" s="334"/>
      <c r="Q196" s="334"/>
      <c r="R196" s="334"/>
      <c r="S196" s="334"/>
      <c r="T196" s="334"/>
      <c r="U196" s="334"/>
      <c r="V196" s="334"/>
      <c r="W196" s="334"/>
      <c r="X196" s="334"/>
      <c r="Y196" s="334"/>
      <c r="Z196" s="334"/>
      <c r="AA196" s="334"/>
      <c r="AB196" s="334"/>
      <c r="AC196" s="334"/>
      <c r="AD196" s="334"/>
    </row>
    <row r="197" ht="16.5" customHeight="1">
      <c r="A197" s="329"/>
      <c r="B197" s="329" t="str">
        <f>IFERROR(__xludf.DUMMYFUNCTION("""COMPUTED_VALUE"""),"INFVY763")</f>
        <v>INFVY763</v>
      </c>
      <c r="C197" s="329" t="s">
        <v>1508</v>
      </c>
      <c r="D197" s="331">
        <v>1.019515578E9</v>
      </c>
      <c r="E197" s="331" t="s">
        <v>1509</v>
      </c>
      <c r="F197" s="331" t="s">
        <v>1510</v>
      </c>
      <c r="G197" s="331">
        <f>iferror(sumifs('Hợp tác'!G:G,'Hợp tác'!A:A,B197,'Hợp tác'!H:H,$G$2,'Hợp tác'!I:I,$I$2),"")</f>
        <v>0</v>
      </c>
      <c r="H197" s="332">
        <f>SUMIFS(View!J:J,View!B:B,B197)</f>
        <v>0</v>
      </c>
      <c r="I197" s="332">
        <f>sumifs('Hoa Hồng'!L:L,'Hoa Hồng'!A:A,B197)</f>
        <v>0</v>
      </c>
      <c r="J197" s="332">
        <v>0.0</v>
      </c>
      <c r="K197" s="333" t="s">
        <v>1211</v>
      </c>
      <c r="L197" s="334"/>
      <c r="M197" s="334"/>
      <c r="N197" s="334"/>
      <c r="O197" s="334"/>
      <c r="P197" s="334"/>
      <c r="Q197" s="334"/>
      <c r="R197" s="334"/>
      <c r="S197" s="334"/>
      <c r="T197" s="334"/>
      <c r="U197" s="334"/>
      <c r="V197" s="334"/>
      <c r="W197" s="334"/>
      <c r="X197" s="334"/>
      <c r="Y197" s="334"/>
      <c r="Z197" s="334"/>
      <c r="AA197" s="334"/>
      <c r="AB197" s="334"/>
      <c r="AC197" s="334"/>
      <c r="AD197" s="334"/>
    </row>
    <row r="198" ht="16.5" customHeight="1">
      <c r="A198" s="335">
        <v>94.0</v>
      </c>
      <c r="B198" s="336" t="str">
        <f>IFERROR(__xludf.DUMMYFUNCTION("""COMPUTED_VALUE"""),"INFTRANG986")</f>
        <v>INFTRANG986</v>
      </c>
      <c r="C198" s="336" t="s">
        <v>1511</v>
      </c>
      <c r="D198" s="337">
        <v>1.9034492334017E13</v>
      </c>
      <c r="E198" s="338" t="s">
        <v>1512</v>
      </c>
      <c r="F198" s="338" t="s">
        <v>48</v>
      </c>
      <c r="G198" s="338">
        <f>iferror(sumifs('Hợp tác'!G:G,'Hợp tác'!A:A,B198,'Hợp tác'!H:H,$G$2,'Hợp tác'!I:I,$I$2),"")</f>
        <v>0</v>
      </c>
      <c r="H198" s="339">
        <f>SUMIFS(View!J:J,View!B:B,B198)</f>
        <v>0</v>
      </c>
      <c r="I198" s="339">
        <f>sumifs('Hoa Hồng'!L:L,'Hoa Hồng'!A:A,B198)</f>
        <v>0</v>
      </c>
      <c r="J198" s="340">
        <v>0.0</v>
      </c>
      <c r="K198" s="333" t="s">
        <v>1211</v>
      </c>
      <c r="L198" s="320"/>
      <c r="M198" s="320"/>
      <c r="N198" s="320"/>
      <c r="O198" s="320"/>
      <c r="P198" s="320"/>
      <c r="Q198" s="320"/>
      <c r="R198" s="320"/>
      <c r="S198" s="320"/>
      <c r="T198" s="320"/>
      <c r="U198" s="320"/>
      <c r="V198" s="320"/>
      <c r="W198" s="320"/>
      <c r="X198" s="320"/>
      <c r="Y198" s="320"/>
      <c r="Z198" s="320"/>
      <c r="AA198" s="320"/>
      <c r="AB198" s="320"/>
      <c r="AC198" s="320"/>
      <c r="AD198" s="320"/>
    </row>
    <row r="199" ht="16.5" customHeight="1">
      <c r="A199" s="329"/>
      <c r="B199" s="329" t="str">
        <f>IFERROR(__xludf.DUMMYFUNCTION("""COMPUTED_VALUE"""),"INFVY747")</f>
        <v>INFVY747</v>
      </c>
      <c r="C199" s="329" t="s">
        <v>1513</v>
      </c>
      <c r="D199" s="331">
        <v>1.9034415641012E13</v>
      </c>
      <c r="E199" s="331" t="s">
        <v>1514</v>
      </c>
      <c r="F199" s="331" t="s">
        <v>48</v>
      </c>
      <c r="G199" s="331">
        <f>iferror(sumifs('Hợp tác'!G:G,'Hợp tác'!A:A,B199,'Hợp tác'!H:H,$G$2,'Hợp tác'!I:I,$I$2),"")</f>
        <v>0</v>
      </c>
      <c r="H199" s="332">
        <f>SUMIFS(View!J:J,View!B:B,B199)</f>
        <v>0</v>
      </c>
      <c r="I199" s="332">
        <f>sumifs('Hoa Hồng'!L:L,'Hoa Hồng'!A:A,B199)</f>
        <v>0</v>
      </c>
      <c r="J199" s="332">
        <v>0.0</v>
      </c>
      <c r="K199" s="333" t="s">
        <v>1211</v>
      </c>
      <c r="L199" s="334"/>
      <c r="M199" s="334"/>
      <c r="N199" s="334"/>
      <c r="O199" s="334"/>
      <c r="P199" s="334"/>
      <c r="Q199" s="334"/>
      <c r="R199" s="334"/>
      <c r="S199" s="334"/>
      <c r="T199" s="334"/>
      <c r="U199" s="334"/>
      <c r="V199" s="334"/>
      <c r="W199" s="334"/>
      <c r="X199" s="334"/>
      <c r="Y199" s="334"/>
      <c r="Z199" s="334"/>
      <c r="AA199" s="334"/>
      <c r="AB199" s="334"/>
      <c r="AC199" s="334"/>
      <c r="AD199" s="334"/>
    </row>
    <row r="200" ht="16.5" customHeight="1">
      <c r="A200" s="329"/>
      <c r="B200" s="329" t="str">
        <f>IFERROR(__xludf.DUMMYFUNCTION("""COMPUTED_VALUE"""),"INFQUYNH769")</f>
        <v>INFQUYNH769</v>
      </c>
      <c r="C200" s="329" t="s">
        <v>1515</v>
      </c>
      <c r="D200" s="331">
        <v>3.01000375894E11</v>
      </c>
      <c r="E200" s="331" t="s">
        <v>1515</v>
      </c>
      <c r="F200" s="331" t="s">
        <v>1516</v>
      </c>
      <c r="G200" s="331">
        <f>iferror(sumifs('Hợp tác'!G:G,'Hợp tác'!A:A,B200,'Hợp tác'!H:H,$G$2,'Hợp tác'!I:I,$I$2),"")</f>
        <v>0</v>
      </c>
      <c r="H200" s="332">
        <f>SUMIFS(View!J:J,View!B:B,B200)</f>
        <v>0</v>
      </c>
      <c r="I200" s="332">
        <f>sumifs('Hoa Hồng'!L:L,'Hoa Hồng'!A:A,B200)</f>
        <v>0</v>
      </c>
      <c r="J200" s="332">
        <v>0.0</v>
      </c>
      <c r="K200" s="333" t="s">
        <v>1211</v>
      </c>
      <c r="L200" s="334"/>
      <c r="M200" s="334"/>
      <c r="N200" s="334"/>
      <c r="O200" s="334"/>
      <c r="P200" s="334"/>
      <c r="Q200" s="334"/>
      <c r="R200" s="334"/>
      <c r="S200" s="334"/>
      <c r="T200" s="334"/>
      <c r="U200" s="334"/>
      <c r="V200" s="334"/>
      <c r="W200" s="334"/>
      <c r="X200" s="334"/>
      <c r="Y200" s="334"/>
      <c r="Z200" s="334"/>
      <c r="AA200" s="334"/>
      <c r="AB200" s="334"/>
      <c r="AC200" s="334"/>
      <c r="AD200" s="334"/>
    </row>
    <row r="201" ht="16.5" customHeight="1">
      <c r="A201" s="329"/>
      <c r="B201" s="329" t="str">
        <f>IFERROR(__xludf.DUMMYFUNCTION("""COMPUTED_VALUE"""),"INFTRANG794")</f>
        <v>INFTRANG794</v>
      </c>
      <c r="C201" s="329" t="s">
        <v>1517</v>
      </c>
      <c r="D201" s="331" t="s">
        <v>1518</v>
      </c>
      <c r="E201" s="331" t="s">
        <v>1519</v>
      </c>
      <c r="F201" s="331" t="s">
        <v>1520</v>
      </c>
      <c r="G201" s="331">
        <f>iferror(sumifs('Hợp tác'!G:G,'Hợp tác'!A:A,B201,'Hợp tác'!H:H,$G$2,'Hợp tác'!I:I,$I$2),"")</f>
        <v>0</v>
      </c>
      <c r="H201" s="332">
        <f>SUMIFS(View!J:J,View!B:B,B201)</f>
        <v>0</v>
      </c>
      <c r="I201" s="332">
        <f>sumifs('Hoa Hồng'!L:L,'Hoa Hồng'!A:A,B201)</f>
        <v>0</v>
      </c>
      <c r="J201" s="332">
        <v>0.0</v>
      </c>
      <c r="K201" s="333" t="s">
        <v>1211</v>
      </c>
      <c r="L201" s="334"/>
      <c r="M201" s="334"/>
      <c r="N201" s="334"/>
      <c r="O201" s="334"/>
      <c r="P201" s="334"/>
      <c r="Q201" s="334"/>
      <c r="R201" s="334"/>
      <c r="S201" s="334"/>
      <c r="T201" s="334"/>
      <c r="U201" s="334"/>
      <c r="V201" s="334"/>
      <c r="W201" s="334"/>
      <c r="X201" s="334"/>
      <c r="Y201" s="334"/>
      <c r="Z201" s="334"/>
      <c r="AA201" s="334"/>
      <c r="AB201" s="334"/>
      <c r="AC201" s="334"/>
      <c r="AD201" s="334"/>
    </row>
    <row r="202" ht="16.5" customHeight="1">
      <c r="A202" s="329"/>
      <c r="B202" s="329" t="str">
        <f>IFERROR(__xludf.DUMMYFUNCTION("""COMPUTED_VALUE"""),"INFLUONG37")</f>
        <v>INFLUONG37</v>
      </c>
      <c r="C202" s="329" t="s">
        <v>1521</v>
      </c>
      <c r="D202" s="331" t="s">
        <v>1522</v>
      </c>
      <c r="E202" s="331"/>
      <c r="F202" s="331"/>
      <c r="G202" s="331">
        <f>iferror(sumifs('Hợp tác'!G:G,'Hợp tác'!A:A,B202,'Hợp tác'!H:H,$G$2,'Hợp tác'!I:I,$I$2),"")</f>
        <v>0</v>
      </c>
      <c r="H202" s="332">
        <f>SUMIFS(View!J:J,View!B:B,B202)</f>
        <v>0</v>
      </c>
      <c r="I202" s="332">
        <f>sumifs('Hoa Hồng'!L:L,'Hoa Hồng'!A:A,B202)</f>
        <v>0</v>
      </c>
      <c r="J202" s="332">
        <v>0.0</v>
      </c>
      <c r="K202" s="333" t="s">
        <v>1211</v>
      </c>
      <c r="L202" s="334"/>
      <c r="M202" s="334"/>
      <c r="N202" s="334"/>
      <c r="O202" s="334"/>
      <c r="P202" s="334"/>
      <c r="Q202" s="334"/>
      <c r="R202" s="334"/>
      <c r="S202" s="334"/>
      <c r="T202" s="334"/>
      <c r="U202" s="334"/>
      <c r="V202" s="334"/>
      <c r="W202" s="334"/>
      <c r="X202" s="334"/>
      <c r="Y202" s="334"/>
      <c r="Z202" s="334"/>
      <c r="AA202" s="334"/>
      <c r="AB202" s="334"/>
      <c r="AC202" s="334"/>
      <c r="AD202" s="334"/>
    </row>
    <row r="203" ht="16.5" customHeight="1">
      <c r="A203" s="329"/>
      <c r="B203" s="329" t="str">
        <f>IFERROR(__xludf.DUMMYFUNCTION("""COMPUTED_VALUE"""),"INFNAM799")</f>
        <v>INFNAM799</v>
      </c>
      <c r="C203" s="329" t="s">
        <v>1523</v>
      </c>
      <c r="D203" s="331">
        <v>1.2223808609015E13</v>
      </c>
      <c r="E203" s="331" t="s">
        <v>1523</v>
      </c>
      <c r="F203" s="331" t="s">
        <v>48</v>
      </c>
      <c r="G203" s="331">
        <f>iferror(sumifs('Hợp tác'!G:G,'Hợp tác'!A:A,B203,'Hợp tác'!H:H,$G$2,'Hợp tác'!I:I,$I$2),"")</f>
        <v>1000000</v>
      </c>
      <c r="H203" s="332">
        <f>SUMIFS(View!J:J,View!B:B,B203)</f>
        <v>0</v>
      </c>
      <c r="I203" s="332">
        <f>sumifs('Hoa Hồng'!L:L,'Hoa Hồng'!A:A,B203)</f>
        <v>0</v>
      </c>
      <c r="J203" s="332">
        <v>1000000.0</v>
      </c>
      <c r="K203" s="333" t="s">
        <v>1211</v>
      </c>
      <c r="L203" s="334"/>
      <c r="M203" s="334"/>
      <c r="N203" s="334"/>
      <c r="O203" s="334"/>
      <c r="P203" s="334"/>
      <c r="Q203" s="334"/>
      <c r="R203" s="334"/>
      <c r="S203" s="334"/>
      <c r="T203" s="334"/>
      <c r="U203" s="334"/>
      <c r="V203" s="334"/>
      <c r="W203" s="334"/>
      <c r="X203" s="334"/>
      <c r="Y203" s="334"/>
      <c r="Z203" s="334"/>
      <c r="AA203" s="334"/>
      <c r="AB203" s="334"/>
      <c r="AC203" s="334"/>
      <c r="AD203" s="334"/>
    </row>
    <row r="204" ht="16.5" customHeight="1">
      <c r="A204" s="329"/>
      <c r="B204" s="329" t="str">
        <f>IFERROR(__xludf.DUMMYFUNCTION("""COMPUTED_VALUE"""),"INFHANH384")</f>
        <v>INFHANH384</v>
      </c>
      <c r="C204" s="329" t="s">
        <v>1524</v>
      </c>
      <c r="D204" s="331">
        <v>4.91000029235E11</v>
      </c>
      <c r="E204" s="331" t="s">
        <v>1524</v>
      </c>
      <c r="F204" s="331" t="s">
        <v>1525</v>
      </c>
      <c r="G204" s="331">
        <f>iferror(sumifs('Hợp tác'!G:G,'Hợp tác'!A:A,B204,'Hợp tác'!H:H,$G$2,'Hợp tác'!I:I,$I$2),"")</f>
        <v>0</v>
      </c>
      <c r="H204" s="332">
        <f>SUMIFS(View!J:J,View!B:B,B204)</f>
        <v>0</v>
      </c>
      <c r="I204" s="332">
        <f>sumifs('Hoa Hồng'!L:L,'Hoa Hồng'!A:A,B204)</f>
        <v>0</v>
      </c>
      <c r="J204" s="332">
        <v>0.0</v>
      </c>
      <c r="K204" s="333" t="s">
        <v>1211</v>
      </c>
      <c r="L204" s="334"/>
      <c r="M204" s="334"/>
      <c r="N204" s="334"/>
      <c r="O204" s="334"/>
      <c r="P204" s="334"/>
      <c r="Q204" s="334"/>
      <c r="R204" s="334"/>
      <c r="S204" s="334"/>
      <c r="T204" s="334"/>
      <c r="U204" s="334"/>
      <c r="V204" s="334"/>
      <c r="W204" s="334"/>
      <c r="X204" s="334"/>
      <c r="Y204" s="334"/>
      <c r="Z204" s="334"/>
      <c r="AA204" s="334"/>
      <c r="AB204" s="334"/>
      <c r="AC204" s="334"/>
      <c r="AD204" s="334"/>
    </row>
    <row r="205" ht="16.5" customHeight="1">
      <c r="A205" s="329"/>
      <c r="B205" s="329" t="str">
        <f>IFERROR(__xludf.DUMMYFUNCTION("""COMPUTED_VALUE"""),"INFTHOM405")</f>
        <v>INFTHOM405</v>
      </c>
      <c r="C205" s="329" t="s">
        <v>1526</v>
      </c>
      <c r="D205" s="331">
        <v>1.9023398119011E13</v>
      </c>
      <c r="E205" s="331" t="s">
        <v>1526</v>
      </c>
      <c r="F205" s="331" t="s">
        <v>122</v>
      </c>
      <c r="G205" s="331">
        <f>iferror(sumifs('Hợp tác'!G:G,'Hợp tác'!A:A,B205,'Hợp tác'!H:H,$G$2,'Hợp tác'!I:I,$I$2),"")</f>
        <v>0</v>
      </c>
      <c r="H205" s="332">
        <f>SUMIFS(View!J:J,View!B:B,B205)</f>
        <v>0</v>
      </c>
      <c r="I205" s="332">
        <f>sumifs('Hoa Hồng'!L:L,'Hoa Hồng'!A:A,B205)</f>
        <v>0</v>
      </c>
      <c r="J205" s="332">
        <v>0.0</v>
      </c>
      <c r="K205" s="333" t="s">
        <v>1211</v>
      </c>
      <c r="L205" s="334"/>
      <c r="M205" s="334"/>
      <c r="N205" s="334"/>
      <c r="O205" s="334"/>
      <c r="P205" s="334"/>
      <c r="Q205" s="334"/>
      <c r="R205" s="334"/>
      <c r="S205" s="334"/>
      <c r="T205" s="334"/>
      <c r="U205" s="334"/>
      <c r="V205" s="334"/>
      <c r="W205" s="334"/>
      <c r="X205" s="334"/>
      <c r="Y205" s="334"/>
      <c r="Z205" s="334"/>
      <c r="AA205" s="334"/>
      <c r="AB205" s="334"/>
      <c r="AC205" s="334"/>
      <c r="AD205" s="334"/>
    </row>
    <row r="206" ht="16.5" customHeight="1">
      <c r="A206" s="335">
        <v>95.0</v>
      </c>
      <c r="B206" s="336" t="str">
        <f>IFERROR(__xludf.DUMMYFUNCTION("""COMPUTED_VALUE"""),"INFTHANH550")</f>
        <v>INFTHANH550</v>
      </c>
      <c r="C206" s="336" t="s">
        <v>1527</v>
      </c>
      <c r="D206" s="337" t="s">
        <v>1528</v>
      </c>
      <c r="E206" s="338" t="s">
        <v>1529</v>
      </c>
      <c r="F206" s="338" t="s">
        <v>53</v>
      </c>
      <c r="G206" s="338">
        <f>iferror(sumifs('Hợp tác'!G:G,'Hợp tác'!A:A,B206,'Hợp tác'!H:H,$G$2,'Hợp tác'!I:I,$I$2),"")</f>
        <v>0</v>
      </c>
      <c r="H206" s="339">
        <f>SUMIFS(View!J:J,View!B:B,B206)</f>
        <v>0</v>
      </c>
      <c r="I206" s="339">
        <f>sumifs('Hoa Hồng'!L:L,'Hoa Hồng'!A:A,B206)</f>
        <v>0</v>
      </c>
      <c r="J206" s="340">
        <v>0.0</v>
      </c>
      <c r="K206" s="333" t="s">
        <v>1211</v>
      </c>
      <c r="L206" s="320"/>
      <c r="M206" s="320"/>
      <c r="N206" s="320"/>
      <c r="O206" s="320"/>
      <c r="P206" s="320"/>
      <c r="Q206" s="320"/>
      <c r="R206" s="320"/>
      <c r="S206" s="320"/>
      <c r="T206" s="320"/>
      <c r="U206" s="320"/>
      <c r="V206" s="320"/>
      <c r="W206" s="320"/>
      <c r="X206" s="320"/>
      <c r="Y206" s="320"/>
      <c r="Z206" s="320"/>
      <c r="AA206" s="320"/>
      <c r="AB206" s="320"/>
      <c r="AC206" s="320"/>
      <c r="AD206" s="320"/>
    </row>
    <row r="207" ht="16.5" customHeight="1">
      <c r="A207" s="329"/>
      <c r="B207" s="329" t="str">
        <f>IFERROR(__xludf.DUMMYFUNCTION("""COMPUTED_VALUE"""),"INFXUAN111")</f>
        <v>INFXUAN111</v>
      </c>
      <c r="C207" s="329" t="s">
        <v>1530</v>
      </c>
      <c r="D207" s="331">
        <v>1.9034524039012E13</v>
      </c>
      <c r="E207" s="331" t="s">
        <v>1531</v>
      </c>
      <c r="F207" s="331" t="s">
        <v>48</v>
      </c>
      <c r="G207" s="331">
        <f>iferror(sumifs('Hợp tác'!G:G,'Hợp tác'!A:A,B207,'Hợp tác'!H:H,$G$2,'Hợp tác'!I:I,$I$2),"")</f>
        <v>0</v>
      </c>
      <c r="H207" s="332">
        <f>SUMIFS(View!J:J,View!B:B,B207)</f>
        <v>0</v>
      </c>
      <c r="I207" s="332">
        <f>sumifs('Hoa Hồng'!L:L,'Hoa Hồng'!A:A,B207)</f>
        <v>0</v>
      </c>
      <c r="J207" s="332">
        <v>0.0</v>
      </c>
      <c r="K207" s="333" t="s">
        <v>1211</v>
      </c>
      <c r="L207" s="334"/>
      <c r="M207" s="334"/>
      <c r="N207" s="334"/>
      <c r="O207" s="334"/>
      <c r="P207" s="334"/>
      <c r="Q207" s="334"/>
      <c r="R207" s="334"/>
      <c r="S207" s="334"/>
      <c r="T207" s="334"/>
      <c r="U207" s="334"/>
      <c r="V207" s="334"/>
      <c r="W207" s="334"/>
      <c r="X207" s="334"/>
      <c r="Y207" s="334"/>
      <c r="Z207" s="334"/>
      <c r="AA207" s="334"/>
      <c r="AB207" s="334"/>
      <c r="AC207" s="334"/>
      <c r="AD207" s="334"/>
    </row>
    <row r="208" ht="16.5" customHeight="1">
      <c r="A208" s="329"/>
      <c r="B208" s="329" t="str">
        <f>IFERROR(__xludf.DUMMYFUNCTION("""COMPUTED_VALUE"""),"INFTHAM083")</f>
        <v>INFTHAM083</v>
      </c>
      <c r="C208" s="329" t="s">
        <v>1532</v>
      </c>
      <c r="D208" s="331">
        <v>1.9032566623013E13</v>
      </c>
      <c r="E208" s="331" t="s">
        <v>1533</v>
      </c>
      <c r="F208" s="331" t="s">
        <v>1534</v>
      </c>
      <c r="G208" s="331">
        <f>iferror(sumifs('Hợp tác'!G:G,'Hợp tác'!A:A,B208,'Hợp tác'!H:H,$G$2,'Hợp tác'!I:I,$I$2),"")</f>
        <v>0</v>
      </c>
      <c r="H208" s="332">
        <f>SUMIFS(View!J:J,View!B:B,B208)</f>
        <v>0</v>
      </c>
      <c r="I208" s="332">
        <f>sumifs('Hoa Hồng'!L:L,'Hoa Hồng'!A:A,B208)</f>
        <v>0</v>
      </c>
      <c r="J208" s="332">
        <v>0.0</v>
      </c>
      <c r="K208" s="333" t="s">
        <v>1211</v>
      </c>
      <c r="L208" s="334"/>
      <c r="M208" s="334"/>
      <c r="N208" s="334"/>
      <c r="O208" s="334"/>
      <c r="P208" s="334"/>
      <c r="Q208" s="334"/>
      <c r="R208" s="334"/>
      <c r="S208" s="334"/>
      <c r="T208" s="334"/>
      <c r="U208" s="334"/>
      <c r="V208" s="334"/>
      <c r="W208" s="334"/>
      <c r="X208" s="334"/>
      <c r="Y208" s="334"/>
      <c r="Z208" s="334"/>
      <c r="AA208" s="334"/>
      <c r="AB208" s="334"/>
      <c r="AC208" s="334"/>
      <c r="AD208" s="334"/>
    </row>
    <row r="209" ht="16.5" customHeight="1">
      <c r="A209" s="329"/>
      <c r="B209" s="329" t="str">
        <f>IFERROR(__xludf.DUMMYFUNCTION("""COMPUTED_VALUE"""),"INFPHUONG885")</f>
        <v>INFPHUONG885</v>
      </c>
      <c r="C209" s="329" t="s">
        <v>1535</v>
      </c>
      <c r="D209" s="331">
        <v>1.9031962614012E13</v>
      </c>
      <c r="E209" s="331" t="s">
        <v>1536</v>
      </c>
      <c r="F209" s="331" t="s">
        <v>1537</v>
      </c>
      <c r="G209" s="331">
        <f>iferror(sumifs('Hợp tác'!G:G,'Hợp tác'!A:A,B209,'Hợp tác'!H:H,$G$2,'Hợp tác'!I:I,$I$2),"")</f>
        <v>0</v>
      </c>
      <c r="H209" s="332">
        <f>SUMIFS(View!J:J,View!B:B,B209)</f>
        <v>0</v>
      </c>
      <c r="I209" s="332">
        <f>sumifs('Hoa Hồng'!L:L,'Hoa Hồng'!A:A,B209)</f>
        <v>0</v>
      </c>
      <c r="J209" s="332">
        <v>0.0</v>
      </c>
      <c r="K209" s="333" t="s">
        <v>1211</v>
      </c>
      <c r="L209" s="334"/>
      <c r="M209" s="334"/>
      <c r="N209" s="334"/>
      <c r="O209" s="334"/>
      <c r="P209" s="334"/>
      <c r="Q209" s="334"/>
      <c r="R209" s="334"/>
      <c r="S209" s="334"/>
      <c r="T209" s="334"/>
      <c r="U209" s="334"/>
      <c r="V209" s="334"/>
      <c r="W209" s="334"/>
      <c r="X209" s="334"/>
      <c r="Y209" s="334"/>
      <c r="Z209" s="334"/>
      <c r="AA209" s="334"/>
      <c r="AB209" s="334"/>
      <c r="AC209" s="334"/>
      <c r="AD209" s="334"/>
    </row>
    <row r="210" ht="16.5" customHeight="1">
      <c r="A210" s="335">
        <v>96.0</v>
      </c>
      <c r="B210" s="336" t="str">
        <f>IFERROR(__xludf.DUMMYFUNCTION("""COMPUTED_VALUE"""),"INFNHUNG828")</f>
        <v>INFNHUNG828</v>
      </c>
      <c r="C210" s="336" t="s">
        <v>1538</v>
      </c>
      <c r="D210" s="337">
        <v>1.9035305389012E13</v>
      </c>
      <c r="E210" s="338" t="s">
        <v>1538</v>
      </c>
      <c r="F210" s="338" t="s">
        <v>48</v>
      </c>
      <c r="G210" s="338">
        <f>iferror(sumifs('Hợp tác'!G:G,'Hợp tác'!A:A,B210,'Hợp tác'!H:H,$G$2,'Hợp tác'!I:I,$I$2),"")</f>
        <v>0</v>
      </c>
      <c r="H210" s="339">
        <f>SUMIFS(View!J:J,View!B:B,B210)</f>
        <v>0</v>
      </c>
      <c r="I210" s="339">
        <f>sumifs('Hoa Hồng'!L:L,'Hoa Hồng'!A:A,B210)</f>
        <v>0</v>
      </c>
      <c r="J210" s="340">
        <v>0.0</v>
      </c>
      <c r="K210" s="333" t="s">
        <v>1211</v>
      </c>
      <c r="L210" s="320"/>
      <c r="M210" s="320"/>
      <c r="N210" s="320"/>
      <c r="O210" s="320"/>
      <c r="P210" s="320"/>
      <c r="Q210" s="320"/>
      <c r="R210" s="320"/>
      <c r="S210" s="320"/>
      <c r="T210" s="320"/>
      <c r="U210" s="320"/>
      <c r="V210" s="320"/>
      <c r="W210" s="320"/>
      <c r="X210" s="320"/>
      <c r="Y210" s="320"/>
      <c r="Z210" s="320"/>
      <c r="AA210" s="320"/>
      <c r="AB210" s="320"/>
      <c r="AC210" s="320"/>
      <c r="AD210" s="320"/>
    </row>
    <row r="211" ht="16.5" customHeight="1">
      <c r="A211" s="334"/>
      <c r="B211" s="329" t="str">
        <f>IFERROR(__xludf.DUMMYFUNCTION("""COMPUTED_VALUE"""),"INFDUNG468")</f>
        <v>INFDUNG468</v>
      </c>
      <c r="C211" s="329" t="s">
        <v>1539</v>
      </c>
      <c r="D211" s="331">
        <v>6.868868999E9</v>
      </c>
      <c r="E211" s="331" t="s">
        <v>1539</v>
      </c>
      <c r="F211" s="331" t="s">
        <v>1540</v>
      </c>
      <c r="G211" s="331">
        <f>iferror(sumifs('Hợp tác'!G:G,'Hợp tác'!A:A,B211,'Hợp tác'!H:H,$G$2,'Hợp tác'!I:I,$I$2),"")</f>
        <v>1000000</v>
      </c>
      <c r="H211" s="332">
        <f>SUMIFS(View!J:J,View!B:B,B211)</f>
        <v>0</v>
      </c>
      <c r="I211" s="332">
        <f>sumifs('Hoa Hồng'!L:L,'Hoa Hồng'!A:A,B211)</f>
        <v>0</v>
      </c>
      <c r="J211" s="332">
        <v>1000000.0</v>
      </c>
      <c r="K211" s="333" t="s">
        <v>1211</v>
      </c>
      <c r="L211" s="334"/>
      <c r="M211" s="334"/>
      <c r="N211" s="334"/>
      <c r="O211" s="334"/>
      <c r="P211" s="334"/>
      <c r="Q211" s="334"/>
      <c r="R211" s="334"/>
      <c r="S211" s="334"/>
      <c r="T211" s="334"/>
      <c r="U211" s="334"/>
      <c r="V211" s="334"/>
      <c r="W211" s="334"/>
      <c r="X211" s="334"/>
      <c r="Y211" s="334"/>
      <c r="Z211" s="334"/>
      <c r="AA211" s="334"/>
      <c r="AB211" s="334"/>
      <c r="AC211" s="334"/>
      <c r="AD211" s="334"/>
    </row>
    <row r="212" ht="16.5" customHeight="1">
      <c r="A212" s="334"/>
      <c r="B212" s="329" t="str">
        <f>IFERROR(__xludf.DUMMYFUNCTION("""COMPUTED_VALUE"""),"INFTHUY574")</f>
        <v>INFTHUY574</v>
      </c>
      <c r="C212" s="329" t="s">
        <v>1541</v>
      </c>
      <c r="D212" s="331" t="s">
        <v>1542</v>
      </c>
      <c r="E212" s="331"/>
      <c r="F212" s="331"/>
      <c r="G212" s="331">
        <f>iferror(sumifs('Hợp tác'!G:G,'Hợp tác'!A:A,B212,'Hợp tác'!H:H,$G$2,'Hợp tác'!I:I,$I$2),"")</f>
        <v>0</v>
      </c>
      <c r="H212" s="332">
        <f>SUMIFS(View!J:J,View!B:B,B212)</f>
        <v>0</v>
      </c>
      <c r="I212" s="332">
        <f>sumifs('Hoa Hồng'!L:L,'Hoa Hồng'!A:A,B212)</f>
        <v>0</v>
      </c>
      <c r="J212" s="332">
        <v>0.0</v>
      </c>
      <c r="K212" s="333" t="s">
        <v>1211</v>
      </c>
      <c r="L212" s="334"/>
      <c r="M212" s="334"/>
      <c r="N212" s="334"/>
      <c r="O212" s="334"/>
      <c r="P212" s="334"/>
      <c r="Q212" s="334"/>
      <c r="R212" s="334"/>
      <c r="S212" s="334"/>
      <c r="T212" s="334"/>
      <c r="U212" s="334"/>
      <c r="V212" s="334"/>
      <c r="W212" s="334"/>
      <c r="X212" s="334"/>
      <c r="Y212" s="334"/>
      <c r="Z212" s="334"/>
      <c r="AA212" s="334"/>
      <c r="AB212" s="334"/>
      <c r="AC212" s="334"/>
      <c r="AD212" s="334"/>
    </row>
    <row r="213" ht="16.5" customHeight="1">
      <c r="A213" s="334"/>
      <c r="B213" s="329" t="str">
        <f>IFERROR(__xludf.DUMMYFUNCTION("""COMPUTED_VALUE"""),"INFTHU666")</f>
        <v>INFTHU666</v>
      </c>
      <c r="C213" s="329" t="s">
        <v>1543</v>
      </c>
      <c r="D213" s="331">
        <v>1.9027683287667E13</v>
      </c>
      <c r="E213" s="331" t="s">
        <v>1544</v>
      </c>
      <c r="F213" s="331" t="s">
        <v>48</v>
      </c>
      <c r="G213" s="331">
        <f>iferror(sumifs('Hợp tác'!G:G,'Hợp tác'!A:A,B213,'Hợp tác'!H:H,$G$2,'Hợp tác'!I:I,$I$2),"")</f>
        <v>0</v>
      </c>
      <c r="H213" s="332">
        <f>SUMIFS(View!J:J,View!B:B,B213)</f>
        <v>0</v>
      </c>
      <c r="I213" s="332">
        <f>sumifs('Hoa Hồng'!L:L,'Hoa Hồng'!A:A,B213)</f>
        <v>0</v>
      </c>
      <c r="J213" s="332">
        <v>0.0</v>
      </c>
      <c r="K213" s="333" t="s">
        <v>1211</v>
      </c>
      <c r="L213" s="334"/>
      <c r="M213" s="334"/>
      <c r="N213" s="334"/>
      <c r="O213" s="334"/>
      <c r="P213" s="334"/>
      <c r="Q213" s="334"/>
      <c r="R213" s="334"/>
      <c r="S213" s="334"/>
      <c r="T213" s="334"/>
      <c r="U213" s="334"/>
      <c r="V213" s="334"/>
      <c r="W213" s="334"/>
      <c r="X213" s="334"/>
      <c r="Y213" s="334"/>
      <c r="Z213" s="334"/>
      <c r="AA213" s="334"/>
      <c r="AB213" s="334"/>
      <c r="AC213" s="334"/>
      <c r="AD213" s="334"/>
    </row>
    <row r="214" ht="16.5" customHeight="1">
      <c r="A214" s="334"/>
      <c r="B214" s="329" t="str">
        <f>IFERROR(__xludf.DUMMYFUNCTION("""COMPUTED_VALUE"""),"INFHIEU297")</f>
        <v>INFHIEU297</v>
      </c>
      <c r="C214" s="329" t="s">
        <v>1545</v>
      </c>
      <c r="D214" s="331">
        <v>1.9035487248011E13</v>
      </c>
      <c r="E214" s="331" t="s">
        <v>1545</v>
      </c>
      <c r="F214" s="331" t="s">
        <v>1546</v>
      </c>
      <c r="G214" s="331">
        <f>iferror(sumifs('Hợp tác'!G:G,'Hợp tác'!A:A,B214,'Hợp tác'!H:H,$G$2,'Hợp tác'!I:I,$I$2),"")</f>
        <v>0</v>
      </c>
      <c r="H214" s="332">
        <f>SUMIFS(View!J:J,View!B:B,B214)</f>
        <v>0</v>
      </c>
      <c r="I214" s="332">
        <f>sumifs('Hoa Hồng'!L:L,'Hoa Hồng'!A:A,B214)</f>
        <v>0</v>
      </c>
      <c r="J214" s="332">
        <v>0.0</v>
      </c>
      <c r="K214" s="333" t="s">
        <v>1211</v>
      </c>
      <c r="L214" s="334"/>
      <c r="M214" s="334"/>
      <c r="N214" s="334"/>
      <c r="O214" s="334"/>
      <c r="P214" s="334"/>
      <c r="Q214" s="334"/>
      <c r="R214" s="334"/>
      <c r="S214" s="334"/>
      <c r="T214" s="334"/>
      <c r="U214" s="334"/>
      <c r="V214" s="334"/>
      <c r="W214" s="334"/>
      <c r="X214" s="334"/>
      <c r="Y214" s="334"/>
      <c r="Z214" s="334"/>
      <c r="AA214" s="334"/>
      <c r="AB214" s="334"/>
      <c r="AC214" s="334"/>
      <c r="AD214" s="334"/>
    </row>
    <row r="215" ht="16.5" customHeight="1">
      <c r="A215" s="334"/>
      <c r="B215" s="329" t="str">
        <f>IFERROR(__xludf.DUMMYFUNCTION("""COMPUTED_VALUE"""),"INFKHANH369")</f>
        <v>INFKHANH369</v>
      </c>
      <c r="C215" s="329" t="s">
        <v>1547</v>
      </c>
      <c r="D215" s="331">
        <v>1.903432608401E13</v>
      </c>
      <c r="E215" s="331" t="s">
        <v>1548</v>
      </c>
      <c r="F215" s="331" t="s">
        <v>1549</v>
      </c>
      <c r="G215" s="331">
        <f>iferror(sumifs('Hợp tác'!G:G,'Hợp tác'!A:A,B215,'Hợp tác'!H:H,$G$2,'Hợp tác'!I:I,$I$2),"")</f>
        <v>500000</v>
      </c>
      <c r="H215" s="332">
        <f>SUMIFS(View!J:J,View!B:B,B215)</f>
        <v>0</v>
      </c>
      <c r="I215" s="332">
        <f>sumifs('Hoa Hồng'!L:L,'Hoa Hồng'!A:A,B215)</f>
        <v>0</v>
      </c>
      <c r="J215" s="332">
        <v>500000.0</v>
      </c>
      <c r="K215" s="333" t="s">
        <v>1211</v>
      </c>
      <c r="L215" s="334"/>
      <c r="M215" s="334"/>
      <c r="N215" s="334"/>
      <c r="O215" s="334"/>
      <c r="P215" s="334"/>
      <c r="Q215" s="334"/>
      <c r="R215" s="334"/>
      <c r="S215" s="334"/>
      <c r="T215" s="334"/>
      <c r="U215" s="334"/>
      <c r="V215" s="334"/>
      <c r="W215" s="334"/>
      <c r="X215" s="334"/>
      <c r="Y215" s="334"/>
      <c r="Z215" s="334"/>
      <c r="AA215" s="334"/>
      <c r="AB215" s="334"/>
      <c r="AC215" s="334"/>
      <c r="AD215" s="334"/>
    </row>
    <row r="216" ht="16.5" customHeight="1">
      <c r="A216" s="334"/>
      <c r="B216" s="329" t="str">
        <f>IFERROR(__xludf.DUMMYFUNCTION("""COMPUTED_VALUE"""),"INFMY525")</f>
        <v>INFMY525</v>
      </c>
      <c r="C216" s="329" t="s">
        <v>1550</v>
      </c>
      <c r="D216" s="331">
        <v>2.34718399E8</v>
      </c>
      <c r="E216" s="331"/>
      <c r="F216" s="331" t="s">
        <v>1551</v>
      </c>
      <c r="G216" s="331">
        <f>iferror(sumifs('Hợp tác'!G:G,'Hợp tác'!A:A,B216,'Hợp tác'!H:H,$G$2,'Hợp tác'!I:I,$I$2),"")</f>
        <v>0</v>
      </c>
      <c r="H216" s="332">
        <f>SUMIFS(View!J:J,View!B:B,B216)</f>
        <v>0</v>
      </c>
      <c r="I216" s="332">
        <f>sumifs('Hoa Hồng'!L:L,'Hoa Hồng'!A:A,B216)</f>
        <v>0</v>
      </c>
      <c r="J216" s="332">
        <v>0.0</v>
      </c>
      <c r="K216" s="333" t="s">
        <v>1211</v>
      </c>
      <c r="L216" s="334"/>
      <c r="M216" s="334"/>
      <c r="N216" s="334"/>
      <c r="O216" s="334"/>
      <c r="P216" s="334"/>
      <c r="Q216" s="334"/>
      <c r="R216" s="334"/>
      <c r="S216" s="334"/>
      <c r="T216" s="334"/>
      <c r="U216" s="334"/>
      <c r="V216" s="334"/>
      <c r="W216" s="334"/>
      <c r="X216" s="334"/>
      <c r="Y216" s="334"/>
      <c r="Z216" s="334"/>
      <c r="AA216" s="334"/>
      <c r="AB216" s="334"/>
      <c r="AC216" s="334"/>
      <c r="AD216" s="334"/>
    </row>
    <row r="217" ht="16.5" customHeight="1">
      <c r="A217" s="334"/>
      <c r="B217" s="329" t="str">
        <f>IFERROR(__xludf.DUMMYFUNCTION("""COMPUTED_VALUE"""),"INFLAN888")</f>
        <v>INFLAN888</v>
      </c>
      <c r="C217" s="329" t="s">
        <v>1552</v>
      </c>
      <c r="D217" s="331">
        <v>5.0898888E7</v>
      </c>
      <c r="E217" s="331"/>
      <c r="F217" s="331" t="s">
        <v>1553</v>
      </c>
      <c r="G217" s="331">
        <f>iferror(sumifs('Hợp tác'!G:G,'Hợp tác'!A:A,B217,'Hợp tác'!H:H,$G$2,'Hợp tác'!I:I,$I$2),"")</f>
        <v>0</v>
      </c>
      <c r="H217" s="332">
        <f>SUMIFS(View!J:J,View!B:B,B217)</f>
        <v>0</v>
      </c>
      <c r="I217" s="332">
        <f>sumifs('Hoa Hồng'!L:L,'Hoa Hồng'!A:A,B217)</f>
        <v>0</v>
      </c>
      <c r="J217" s="332">
        <v>0.0</v>
      </c>
      <c r="K217" s="333" t="s">
        <v>1211</v>
      </c>
      <c r="L217" s="334"/>
      <c r="M217" s="334"/>
      <c r="N217" s="334"/>
      <c r="O217" s="334"/>
      <c r="P217" s="334"/>
      <c r="Q217" s="334"/>
      <c r="R217" s="334"/>
      <c r="S217" s="334"/>
      <c r="T217" s="334"/>
      <c r="U217" s="334"/>
      <c r="V217" s="334"/>
      <c r="W217" s="334"/>
      <c r="X217" s="334"/>
      <c r="Y217" s="334"/>
      <c r="Z217" s="334"/>
      <c r="AA217" s="334"/>
      <c r="AB217" s="334"/>
      <c r="AC217" s="334"/>
      <c r="AD217" s="334"/>
    </row>
    <row r="218" ht="16.5" customHeight="1">
      <c r="A218" s="334"/>
      <c r="B218" s="329" t="str">
        <f>IFERROR(__xludf.DUMMYFUNCTION("""COMPUTED_VALUE"""),"INFDUONG3103")</f>
        <v>INFDUONG3103</v>
      </c>
      <c r="C218" s="329" t="s">
        <v>1554</v>
      </c>
      <c r="D218" s="331">
        <v>1.013327692E9</v>
      </c>
      <c r="E218" s="331"/>
      <c r="F218" s="331" t="s">
        <v>1555</v>
      </c>
      <c r="G218" s="331">
        <f>iferror(sumifs('Hợp tác'!G:G,'Hợp tác'!A:A,B218,'Hợp tác'!H:H,$G$2,'Hợp tác'!I:I,$I$2),"")</f>
        <v>0</v>
      </c>
      <c r="H218" s="332">
        <f>SUMIFS(View!J:J,View!B:B,B218)</f>
        <v>0</v>
      </c>
      <c r="I218" s="332">
        <f>sumifs('Hoa Hồng'!L:L,'Hoa Hồng'!A:A,B218)</f>
        <v>0</v>
      </c>
      <c r="J218" s="332">
        <v>0.0</v>
      </c>
      <c r="K218" s="333" t="s">
        <v>1211</v>
      </c>
      <c r="L218" s="334"/>
      <c r="M218" s="334"/>
      <c r="N218" s="334"/>
      <c r="O218" s="334"/>
      <c r="P218" s="334"/>
      <c r="Q218" s="334"/>
      <c r="R218" s="334"/>
      <c r="S218" s="334"/>
      <c r="T218" s="334"/>
      <c r="U218" s="334"/>
      <c r="V218" s="334"/>
      <c r="W218" s="334"/>
      <c r="X218" s="334"/>
      <c r="Y218" s="334"/>
      <c r="Z218" s="334"/>
      <c r="AA218" s="334"/>
      <c r="AB218" s="334"/>
      <c r="AC218" s="334"/>
      <c r="AD218" s="334"/>
    </row>
    <row r="219" ht="16.5" customHeight="1">
      <c r="A219" s="334"/>
      <c r="B219" s="329" t="str">
        <f>IFERROR(__xludf.DUMMYFUNCTION("""COMPUTED_VALUE"""),"INFMY368")</f>
        <v>INFMY368</v>
      </c>
      <c r="C219" s="329" t="s">
        <v>1556</v>
      </c>
      <c r="D219" s="331">
        <v>8.4284057E7</v>
      </c>
      <c r="E219" s="331"/>
      <c r="F219" s="331" t="s">
        <v>1557</v>
      </c>
      <c r="G219" s="331">
        <f>iferror(sumifs('Hợp tác'!G:G,'Hợp tác'!A:A,B219,'Hợp tác'!H:H,$G$2,'Hợp tác'!I:I,$I$2),"")</f>
        <v>0</v>
      </c>
      <c r="H219" s="332">
        <f>SUMIFS(View!J:J,View!B:B,B219)</f>
        <v>0</v>
      </c>
      <c r="I219" s="332">
        <f>sumifs('Hoa Hồng'!L:L,'Hoa Hồng'!A:A,B219)</f>
        <v>0</v>
      </c>
      <c r="J219" s="332">
        <v>0.0</v>
      </c>
      <c r="K219" s="333" t="s">
        <v>1211</v>
      </c>
      <c r="L219" s="334"/>
      <c r="M219" s="334"/>
      <c r="N219" s="334"/>
      <c r="O219" s="334"/>
      <c r="P219" s="334"/>
      <c r="Q219" s="334"/>
      <c r="R219" s="334"/>
      <c r="S219" s="334"/>
      <c r="T219" s="334"/>
      <c r="U219" s="334"/>
      <c r="V219" s="334"/>
      <c r="W219" s="334"/>
      <c r="X219" s="334"/>
      <c r="Y219" s="334"/>
      <c r="Z219" s="334"/>
      <c r="AA219" s="334"/>
      <c r="AB219" s="334"/>
      <c r="AC219" s="334"/>
      <c r="AD219" s="334"/>
    </row>
    <row r="220" ht="16.5" customHeight="1">
      <c r="A220" s="334"/>
      <c r="B220" s="329" t="str">
        <f>IFERROR(__xludf.DUMMYFUNCTION("""COMPUTED_VALUE"""),"INFDIEU297")</f>
        <v>INFDIEU297</v>
      </c>
      <c r="C220" s="329" t="s">
        <v>1558</v>
      </c>
      <c r="D220" s="331" t="s">
        <v>1559</v>
      </c>
      <c r="E220" s="331" t="s">
        <v>1560</v>
      </c>
      <c r="F220" s="331" t="s">
        <v>1561</v>
      </c>
      <c r="G220" s="331">
        <f>iferror(sumifs('Hợp tác'!G:G,'Hợp tác'!A:A,B220,'Hợp tác'!H:H,$G$2,'Hợp tác'!I:I,$I$2),"")</f>
        <v>0</v>
      </c>
      <c r="H220" s="332">
        <f>SUMIFS(View!J:J,View!B:B,B220)</f>
        <v>0</v>
      </c>
      <c r="I220" s="332">
        <f>sumifs('Hoa Hồng'!L:L,'Hoa Hồng'!A:A,B220)</f>
        <v>0</v>
      </c>
      <c r="J220" s="332">
        <v>0.0</v>
      </c>
      <c r="K220" s="333" t="s">
        <v>1211</v>
      </c>
      <c r="L220" s="334"/>
      <c r="M220" s="334"/>
      <c r="N220" s="334"/>
      <c r="O220" s="334"/>
      <c r="P220" s="334"/>
      <c r="Q220" s="334"/>
      <c r="R220" s="334"/>
      <c r="S220" s="334"/>
      <c r="T220" s="334"/>
      <c r="U220" s="334"/>
      <c r="V220" s="334"/>
      <c r="W220" s="334"/>
      <c r="X220" s="334"/>
      <c r="Y220" s="334"/>
      <c r="Z220" s="334"/>
      <c r="AA220" s="334"/>
      <c r="AB220" s="334"/>
      <c r="AC220" s="334"/>
      <c r="AD220" s="334"/>
    </row>
    <row r="221" ht="16.5" customHeight="1">
      <c r="A221" s="334"/>
      <c r="B221" s="329" t="str">
        <f>IFERROR(__xludf.DUMMYFUNCTION("""COMPUTED_VALUE"""),"INFTOAN088")</f>
        <v>INFTOAN088</v>
      </c>
      <c r="C221" s="329" t="s">
        <v>1562</v>
      </c>
      <c r="D221" s="331" t="s">
        <v>1563</v>
      </c>
      <c r="E221" s="331" t="s">
        <v>1564</v>
      </c>
      <c r="F221" s="331" t="s">
        <v>1555</v>
      </c>
      <c r="G221" s="331">
        <f>iferror(sumifs('Hợp tác'!G:G,'Hợp tác'!A:A,B221,'Hợp tác'!H:H,$G$2,'Hợp tác'!I:I,$I$2),"")</f>
        <v>0</v>
      </c>
      <c r="H221" s="332">
        <f>SUMIFS(View!J:J,View!B:B,B221)</f>
        <v>0</v>
      </c>
      <c r="I221" s="332">
        <f>sumifs('Hoa Hồng'!L:L,'Hoa Hồng'!A:A,B221)</f>
        <v>0</v>
      </c>
      <c r="J221" s="332">
        <v>0.0</v>
      </c>
      <c r="K221" s="333" t="s">
        <v>1211</v>
      </c>
      <c r="L221" s="334"/>
      <c r="M221" s="334"/>
      <c r="N221" s="334"/>
      <c r="O221" s="334"/>
      <c r="P221" s="334"/>
      <c r="Q221" s="334"/>
      <c r="R221" s="334"/>
      <c r="S221" s="334"/>
      <c r="T221" s="334"/>
      <c r="U221" s="334"/>
      <c r="V221" s="334"/>
      <c r="W221" s="334"/>
      <c r="X221" s="334"/>
      <c r="Y221" s="334"/>
      <c r="Z221" s="334"/>
      <c r="AA221" s="334"/>
      <c r="AB221" s="334"/>
      <c r="AC221" s="334"/>
      <c r="AD221" s="334"/>
    </row>
    <row r="222" ht="16.5" customHeight="1">
      <c r="A222" s="334"/>
      <c r="B222" s="329" t="str">
        <f>IFERROR(__xludf.DUMMYFUNCTION("""COMPUTED_VALUE"""),"INFNAM663")</f>
        <v>INFNAM663</v>
      </c>
      <c r="C222" s="329" t="s">
        <v>1565</v>
      </c>
      <c r="D222" s="331">
        <v>1.9034160105022E13</v>
      </c>
      <c r="E222" s="331"/>
      <c r="F222" s="331" t="s">
        <v>1566</v>
      </c>
      <c r="G222" s="331">
        <f>iferror(sumifs('Hợp tác'!G:G,'Hợp tác'!A:A,B222,'Hợp tác'!H:H,$G$2,'Hợp tác'!I:I,$I$2),"")</f>
        <v>0</v>
      </c>
      <c r="H222" s="332">
        <f>SUMIFS(View!J:J,View!B:B,B222)</f>
        <v>0</v>
      </c>
      <c r="I222" s="332">
        <f>sumifs('Hoa Hồng'!L:L,'Hoa Hồng'!A:A,B222)</f>
        <v>0</v>
      </c>
      <c r="J222" s="332">
        <v>0.0</v>
      </c>
      <c r="K222" s="333" t="s">
        <v>1211</v>
      </c>
      <c r="L222" s="334"/>
      <c r="M222" s="334"/>
      <c r="N222" s="334"/>
      <c r="O222" s="334"/>
      <c r="P222" s="334"/>
      <c r="Q222" s="334"/>
      <c r="R222" s="334"/>
      <c r="S222" s="334"/>
      <c r="T222" s="334"/>
      <c r="U222" s="334"/>
      <c r="V222" s="334"/>
      <c r="W222" s="334"/>
      <c r="X222" s="334"/>
      <c r="Y222" s="334"/>
      <c r="Z222" s="334"/>
      <c r="AA222" s="334"/>
      <c r="AB222" s="334"/>
      <c r="AC222" s="334"/>
      <c r="AD222" s="334"/>
    </row>
    <row r="223" ht="16.5" customHeight="1">
      <c r="A223" s="334"/>
      <c r="B223" s="329" t="str">
        <f>IFERROR(__xludf.DUMMYFUNCTION("""COMPUTED_VALUE"""),"INFHUY602")</f>
        <v>INFHUY602</v>
      </c>
      <c r="C223" s="329" t="s">
        <v>1567</v>
      </c>
      <c r="D223" s="331">
        <v>2.501205168152E12</v>
      </c>
      <c r="E223" s="331"/>
      <c r="F223" s="331" t="s">
        <v>1219</v>
      </c>
      <c r="G223" s="331">
        <f>iferror(sumifs('Hợp tác'!G:G,'Hợp tác'!A:A,B223,'Hợp tác'!H:H,$G$2,'Hợp tác'!I:I,$I$2),"")</f>
        <v>0</v>
      </c>
      <c r="H223" s="332">
        <f>SUMIFS(View!J:J,View!B:B,B223)</f>
        <v>0</v>
      </c>
      <c r="I223" s="332">
        <f>sumifs('Hoa Hồng'!L:L,'Hoa Hồng'!A:A,B223)</f>
        <v>0</v>
      </c>
      <c r="J223" s="332">
        <v>0.0</v>
      </c>
      <c r="K223" s="333" t="s">
        <v>1211</v>
      </c>
      <c r="L223" s="334"/>
      <c r="M223" s="334"/>
      <c r="N223" s="334"/>
      <c r="O223" s="334"/>
      <c r="P223" s="334"/>
      <c r="Q223" s="334"/>
      <c r="R223" s="334"/>
      <c r="S223" s="334"/>
      <c r="T223" s="334"/>
      <c r="U223" s="334"/>
      <c r="V223" s="334"/>
      <c r="W223" s="334"/>
      <c r="X223" s="334"/>
      <c r="Y223" s="334"/>
      <c r="Z223" s="334"/>
      <c r="AA223" s="334"/>
      <c r="AB223" s="334"/>
      <c r="AC223" s="334"/>
      <c r="AD223" s="334"/>
    </row>
    <row r="224" ht="16.5" customHeight="1">
      <c r="A224" s="334"/>
      <c r="B224" s="329" t="str">
        <f>IFERROR(__xludf.DUMMYFUNCTION("""COMPUTED_VALUE"""),"INFTRUONG665")</f>
        <v>INFTRUONG665</v>
      </c>
      <c r="C224" s="329" t="s">
        <v>1568</v>
      </c>
      <c r="D224" s="331">
        <v>9.660106042003E12</v>
      </c>
      <c r="E224" s="331"/>
      <c r="F224" s="331" t="s">
        <v>182</v>
      </c>
      <c r="G224" s="331">
        <f>iferror(sumifs('Hợp tác'!G:G,'Hợp tác'!A:A,B224,'Hợp tác'!H:H,$G$2,'Hợp tác'!I:I,$I$2),"")</f>
        <v>0</v>
      </c>
      <c r="H224" s="332">
        <f>SUMIFS(View!J:J,View!B:B,B224)</f>
        <v>0</v>
      </c>
      <c r="I224" s="332">
        <f>sumifs('Hoa Hồng'!L:L,'Hoa Hồng'!A:A,B224)</f>
        <v>0</v>
      </c>
      <c r="J224" s="332">
        <v>0.0</v>
      </c>
      <c r="K224" s="333" t="s">
        <v>1211</v>
      </c>
      <c r="L224" s="334"/>
      <c r="M224" s="334"/>
      <c r="N224" s="334"/>
      <c r="O224" s="334"/>
      <c r="P224" s="334"/>
      <c r="Q224" s="334"/>
      <c r="R224" s="334"/>
      <c r="S224" s="334"/>
      <c r="T224" s="334"/>
      <c r="U224" s="334"/>
      <c r="V224" s="334"/>
      <c r="W224" s="334"/>
      <c r="X224" s="334"/>
      <c r="Y224" s="334"/>
      <c r="Z224" s="334"/>
      <c r="AA224" s="334"/>
      <c r="AB224" s="334"/>
      <c r="AC224" s="334"/>
      <c r="AD224" s="334"/>
    </row>
    <row r="225" ht="16.5" customHeight="1">
      <c r="A225" s="334"/>
      <c r="B225" s="329" t="str">
        <f>IFERROR(__xludf.DUMMYFUNCTION("""COMPUTED_VALUE"""),"INFKHANH998")</f>
        <v>INFKHANH998</v>
      </c>
      <c r="C225" s="329" t="s">
        <v>1569</v>
      </c>
      <c r="D225" s="331">
        <v>1.1309357E7</v>
      </c>
      <c r="E225" s="331" t="s">
        <v>1569</v>
      </c>
      <c r="F225" s="331" t="s">
        <v>1570</v>
      </c>
      <c r="G225" s="331">
        <f>iferror(sumifs('Hợp tác'!G:G,'Hợp tác'!A:A,B225,'Hợp tác'!H:H,$G$2,'Hợp tác'!I:I,$I$2),"")</f>
        <v>0</v>
      </c>
      <c r="H225" s="332">
        <f>SUMIFS(View!J:J,View!B:B,B225)</f>
        <v>0</v>
      </c>
      <c r="I225" s="332">
        <f>sumifs('Hoa Hồng'!L:L,'Hoa Hồng'!A:A,B225)</f>
        <v>0</v>
      </c>
      <c r="J225" s="332">
        <v>0.0</v>
      </c>
      <c r="K225" s="333" t="s">
        <v>1211</v>
      </c>
      <c r="L225" s="334"/>
      <c r="M225" s="334"/>
      <c r="N225" s="334"/>
      <c r="O225" s="334"/>
      <c r="P225" s="334"/>
      <c r="Q225" s="334"/>
      <c r="R225" s="334"/>
      <c r="S225" s="334"/>
      <c r="T225" s="334"/>
      <c r="U225" s="334"/>
      <c r="V225" s="334"/>
      <c r="W225" s="334"/>
      <c r="X225" s="334"/>
      <c r="Y225" s="334"/>
      <c r="Z225" s="334"/>
      <c r="AA225" s="334"/>
      <c r="AB225" s="334"/>
      <c r="AC225" s="334"/>
      <c r="AD225" s="334"/>
    </row>
    <row r="226" ht="16.5" customHeight="1">
      <c r="A226" s="334"/>
      <c r="B226" s="329" t="str">
        <f>IFERROR(__xludf.DUMMYFUNCTION("""COMPUTED_VALUE"""),"INFTU164")</f>
        <v>INFTU164</v>
      </c>
      <c r="C226" s="329" t="s">
        <v>1571</v>
      </c>
      <c r="D226" s="331">
        <v>3.866869101E9</v>
      </c>
      <c r="E226" s="331"/>
      <c r="F226" s="331" t="s">
        <v>1572</v>
      </c>
      <c r="G226" s="331">
        <f>iferror(sumifs('Hợp tác'!G:G,'Hợp tác'!A:A,B226,'Hợp tác'!H:H,$G$2,'Hợp tác'!I:I,$I$2),"")</f>
        <v>0</v>
      </c>
      <c r="H226" s="332">
        <f>SUMIFS(View!J:J,View!B:B,B226)</f>
        <v>0</v>
      </c>
      <c r="I226" s="332">
        <f>sumifs('Hoa Hồng'!L:L,'Hoa Hồng'!A:A,B226)</f>
        <v>0</v>
      </c>
      <c r="J226" s="332">
        <v>0.0</v>
      </c>
      <c r="K226" s="333" t="s">
        <v>1211</v>
      </c>
      <c r="L226" s="334"/>
      <c r="M226" s="334"/>
      <c r="N226" s="334"/>
      <c r="O226" s="334"/>
      <c r="P226" s="334"/>
      <c r="Q226" s="334"/>
      <c r="R226" s="334"/>
      <c r="S226" s="334"/>
      <c r="T226" s="334"/>
      <c r="U226" s="334"/>
      <c r="V226" s="334"/>
      <c r="W226" s="334"/>
      <c r="X226" s="334"/>
      <c r="Y226" s="334"/>
      <c r="Z226" s="334"/>
      <c r="AA226" s="334"/>
      <c r="AB226" s="334"/>
      <c r="AC226" s="334"/>
      <c r="AD226" s="334"/>
    </row>
    <row r="227" ht="16.5" customHeight="1">
      <c r="A227" s="334"/>
      <c r="B227" s="329" t="str">
        <f>IFERROR(__xludf.DUMMYFUNCTION("""COMPUTED_VALUE"""),"INFHOI201")</f>
        <v>INFHOI201</v>
      </c>
      <c r="C227" s="329" t="s">
        <v>1573</v>
      </c>
      <c r="D227" s="331" t="s">
        <v>1574</v>
      </c>
      <c r="E227" s="331" t="s">
        <v>1573</v>
      </c>
      <c r="F227" s="331" t="s">
        <v>1575</v>
      </c>
      <c r="G227" s="331">
        <f>iferror(sumifs('Hợp tác'!G:G,'Hợp tác'!A:A,B227,'Hợp tác'!H:H,$G$2,'Hợp tác'!I:I,$I$2),"")</f>
        <v>0</v>
      </c>
      <c r="H227" s="332">
        <f>SUMIFS(View!J:J,View!B:B,B227)</f>
        <v>0</v>
      </c>
      <c r="I227" s="332">
        <f>sumifs('Hoa Hồng'!L:L,'Hoa Hồng'!A:A,B227)</f>
        <v>0</v>
      </c>
      <c r="J227" s="332">
        <v>0.0</v>
      </c>
      <c r="K227" s="333" t="s">
        <v>1211</v>
      </c>
      <c r="L227" s="334"/>
      <c r="M227" s="334"/>
      <c r="N227" s="334"/>
      <c r="O227" s="334"/>
      <c r="P227" s="334"/>
      <c r="Q227" s="334"/>
      <c r="R227" s="334"/>
      <c r="S227" s="334"/>
      <c r="T227" s="334"/>
      <c r="U227" s="334"/>
      <c r="V227" s="334"/>
      <c r="W227" s="334"/>
      <c r="X227" s="334"/>
      <c r="Y227" s="334"/>
      <c r="Z227" s="334"/>
      <c r="AA227" s="334"/>
      <c r="AB227" s="334"/>
      <c r="AC227" s="334"/>
      <c r="AD227" s="334"/>
    </row>
    <row r="228" ht="16.5" customHeight="1">
      <c r="A228" s="334"/>
      <c r="B228" s="329" t="str">
        <f>IFERROR(__xludf.DUMMYFUNCTION("""COMPUTED_VALUE"""),"INFUYEN994")</f>
        <v>INFUYEN994</v>
      </c>
      <c r="C228" s="329" t="s">
        <v>1576</v>
      </c>
      <c r="D228" s="331" t="s">
        <v>1577</v>
      </c>
      <c r="E228" s="331" t="s">
        <v>1578</v>
      </c>
      <c r="F228" s="331" t="s">
        <v>19</v>
      </c>
      <c r="G228" s="331">
        <f>iferror(sumifs('Hợp tác'!G:G,'Hợp tác'!A:A,B228,'Hợp tác'!H:H,$G$2,'Hợp tác'!I:I,$I$2),"")</f>
        <v>0</v>
      </c>
      <c r="H228" s="332">
        <f>SUMIFS(View!J:J,View!B:B,B228)</f>
        <v>0</v>
      </c>
      <c r="I228" s="332">
        <f>sumifs('Hoa Hồng'!L:L,'Hoa Hồng'!A:A,B228)</f>
        <v>0</v>
      </c>
      <c r="J228" s="332">
        <v>0.0</v>
      </c>
      <c r="K228" s="333" t="s">
        <v>1211</v>
      </c>
      <c r="L228" s="334"/>
      <c r="M228" s="334"/>
      <c r="N228" s="334"/>
      <c r="O228" s="334"/>
      <c r="P228" s="334"/>
      <c r="Q228" s="334"/>
      <c r="R228" s="334"/>
      <c r="S228" s="334"/>
      <c r="T228" s="334"/>
      <c r="U228" s="334"/>
      <c r="V228" s="334"/>
      <c r="W228" s="334"/>
      <c r="X228" s="334"/>
      <c r="Y228" s="334"/>
      <c r="Z228" s="334"/>
      <c r="AA228" s="334"/>
      <c r="AB228" s="334"/>
      <c r="AC228" s="334"/>
      <c r="AD228" s="334"/>
    </row>
    <row r="229" ht="16.5" customHeight="1">
      <c r="A229" s="334"/>
      <c r="B229" s="329" t="str">
        <f>IFERROR(__xludf.DUMMYFUNCTION("""COMPUTED_VALUE"""),"INFMINH376")</f>
        <v>INFMINH376</v>
      </c>
      <c r="C229" s="329" t="s">
        <v>1579</v>
      </c>
      <c r="D229" s="331">
        <v>1.9037287081016E13</v>
      </c>
      <c r="E229" s="331"/>
      <c r="F229" s="331" t="s">
        <v>1580</v>
      </c>
      <c r="G229" s="331">
        <f>iferror(sumifs('Hợp tác'!G:G,'Hợp tác'!A:A,B229,'Hợp tác'!H:H,$G$2,'Hợp tác'!I:I,$I$2),"")</f>
        <v>0</v>
      </c>
      <c r="H229" s="332">
        <f>SUMIFS(View!J:J,View!B:B,B229)</f>
        <v>0</v>
      </c>
      <c r="I229" s="332">
        <f>sumifs('Hoa Hồng'!L:L,'Hoa Hồng'!A:A,B229)</f>
        <v>0</v>
      </c>
      <c r="J229" s="332">
        <v>0.0</v>
      </c>
      <c r="K229" s="333" t="s">
        <v>1211</v>
      </c>
      <c r="L229" s="334"/>
      <c r="M229" s="334"/>
      <c r="N229" s="334"/>
      <c r="O229" s="334"/>
      <c r="P229" s="334"/>
      <c r="Q229" s="334"/>
      <c r="R229" s="334"/>
      <c r="S229" s="334"/>
      <c r="T229" s="334"/>
      <c r="U229" s="334"/>
      <c r="V229" s="334"/>
      <c r="W229" s="334"/>
      <c r="X229" s="334"/>
      <c r="Y229" s="334"/>
      <c r="Z229" s="334"/>
      <c r="AA229" s="334"/>
      <c r="AB229" s="334"/>
      <c r="AC229" s="334"/>
      <c r="AD229" s="334"/>
    </row>
    <row r="230" ht="16.5" customHeight="1">
      <c r="A230" s="334"/>
      <c r="B230" s="329" t="str">
        <f>IFERROR(__xludf.DUMMYFUNCTION("""COMPUTED_VALUE"""),"INFUYEN921")</f>
        <v>INFUYEN921</v>
      </c>
      <c r="C230" s="329" t="s">
        <v>1581</v>
      </c>
      <c r="D230" s="331">
        <v>5.1110000710905E13</v>
      </c>
      <c r="E230" s="331" t="s">
        <v>1582</v>
      </c>
      <c r="F230" s="331" t="s">
        <v>90</v>
      </c>
      <c r="G230" s="331">
        <f>iferror(sumifs('Hợp tác'!G:G,'Hợp tác'!A:A,B230,'Hợp tác'!H:H,$G$2,'Hợp tác'!I:I,$I$2),"")</f>
        <v>0</v>
      </c>
      <c r="H230" s="332">
        <f>SUMIFS(View!J:J,View!B:B,B230)</f>
        <v>0</v>
      </c>
      <c r="I230" s="332">
        <f>sumifs('Hoa Hồng'!L:L,'Hoa Hồng'!A:A,B230)</f>
        <v>0</v>
      </c>
      <c r="J230" s="332">
        <v>0.0</v>
      </c>
      <c r="K230" s="333" t="s">
        <v>1211</v>
      </c>
      <c r="L230" s="334"/>
      <c r="M230" s="334"/>
      <c r="N230" s="334"/>
      <c r="O230" s="334"/>
      <c r="P230" s="334"/>
      <c r="Q230" s="334"/>
      <c r="R230" s="334"/>
      <c r="S230" s="334"/>
      <c r="T230" s="334"/>
      <c r="U230" s="334"/>
      <c r="V230" s="334"/>
      <c r="W230" s="334"/>
      <c r="X230" s="334"/>
      <c r="Y230" s="334"/>
      <c r="Z230" s="334"/>
      <c r="AA230" s="334"/>
      <c r="AB230" s="334"/>
      <c r="AC230" s="334"/>
      <c r="AD230" s="334"/>
    </row>
    <row r="231" ht="16.5" customHeight="1">
      <c r="A231" s="334"/>
      <c r="B231" s="329" t="str">
        <f>IFERROR(__xludf.DUMMYFUNCTION("""COMPUTED_VALUE"""),"INFMY178")</f>
        <v>INFMY178</v>
      </c>
      <c r="C231" s="329" t="s">
        <v>1583</v>
      </c>
      <c r="D231" s="331" t="s">
        <v>1584</v>
      </c>
      <c r="E231" s="331" t="s">
        <v>1585</v>
      </c>
      <c r="F231" s="331" t="s">
        <v>19</v>
      </c>
      <c r="G231" s="331">
        <f>iferror(sumifs('Hợp tác'!G:G,'Hợp tác'!A:A,B231,'Hợp tác'!H:H,$G$2,'Hợp tác'!I:I,$I$2),"")</f>
        <v>0</v>
      </c>
      <c r="H231" s="332">
        <f>SUMIFS(View!J:J,View!B:B,B231)</f>
        <v>0</v>
      </c>
      <c r="I231" s="332">
        <f>sumifs('Hoa Hồng'!L:L,'Hoa Hồng'!A:A,B231)</f>
        <v>0</v>
      </c>
      <c r="J231" s="332">
        <v>0.0</v>
      </c>
      <c r="K231" s="333" t="s">
        <v>1211</v>
      </c>
      <c r="L231" s="334"/>
      <c r="M231" s="334"/>
      <c r="N231" s="334"/>
      <c r="O231" s="334"/>
      <c r="P231" s="334"/>
      <c r="Q231" s="334"/>
      <c r="R231" s="334"/>
      <c r="S231" s="334"/>
      <c r="T231" s="334"/>
      <c r="U231" s="334"/>
      <c r="V231" s="334"/>
      <c r="W231" s="334"/>
      <c r="X231" s="334"/>
      <c r="Y231" s="334"/>
      <c r="Z231" s="334"/>
      <c r="AA231" s="334"/>
      <c r="AB231" s="334"/>
      <c r="AC231" s="334"/>
      <c r="AD231" s="334"/>
    </row>
    <row r="232" ht="16.5" customHeight="1">
      <c r="A232" s="334"/>
      <c r="B232" s="329" t="str">
        <f>IFERROR(__xludf.DUMMYFUNCTION("""COMPUTED_VALUE"""),"INFCAM836")</f>
        <v>INFCAM836</v>
      </c>
      <c r="C232" s="329" t="s">
        <v>1586</v>
      </c>
      <c r="D232" s="331">
        <v>5.8010001297812E13</v>
      </c>
      <c r="E232" s="331" t="s">
        <v>1587</v>
      </c>
      <c r="F232" s="331" t="s">
        <v>90</v>
      </c>
      <c r="G232" s="331">
        <f>iferror(sumifs('Hợp tác'!G:G,'Hợp tác'!A:A,B232,'Hợp tác'!H:H,$G$2,'Hợp tác'!I:I,$I$2),"")</f>
        <v>0</v>
      </c>
      <c r="H232" s="332">
        <f>SUMIFS(View!J:J,View!B:B,B232)</f>
        <v>0</v>
      </c>
      <c r="I232" s="332">
        <f>sumifs('Hoa Hồng'!L:L,'Hoa Hồng'!A:A,B232)</f>
        <v>0</v>
      </c>
      <c r="J232" s="332">
        <v>0.0</v>
      </c>
      <c r="K232" s="333" t="s">
        <v>1211</v>
      </c>
      <c r="L232" s="334"/>
      <c r="M232" s="334"/>
      <c r="N232" s="334"/>
      <c r="O232" s="334"/>
      <c r="P232" s="334"/>
      <c r="Q232" s="334"/>
      <c r="R232" s="334"/>
      <c r="S232" s="334"/>
      <c r="T232" s="334"/>
      <c r="U232" s="334"/>
      <c r="V232" s="334"/>
      <c r="W232" s="334"/>
      <c r="X232" s="334"/>
      <c r="Y232" s="334"/>
      <c r="Z232" s="334"/>
      <c r="AA232" s="334"/>
      <c r="AB232" s="334"/>
      <c r="AC232" s="334"/>
      <c r="AD232" s="334"/>
    </row>
    <row r="233" ht="16.5" customHeight="1">
      <c r="A233" s="334"/>
      <c r="B233" s="329" t="str">
        <f>IFERROR(__xludf.DUMMYFUNCTION("""COMPUTED_VALUE"""),"INFHUYEN233")</f>
        <v>INFHUYEN233</v>
      </c>
      <c r="C233" s="329" t="s">
        <v>1588</v>
      </c>
      <c r="D233" s="331">
        <v>1.9035143420018E13</v>
      </c>
      <c r="E233" s="331" t="s">
        <v>1589</v>
      </c>
      <c r="F233" s="331" t="s">
        <v>1590</v>
      </c>
      <c r="G233" s="331">
        <f>iferror(sumifs('Hợp tác'!G:G,'Hợp tác'!A:A,B233,'Hợp tác'!H:H,$G$2,'Hợp tác'!I:I,$I$2),"")</f>
        <v>0</v>
      </c>
      <c r="H233" s="332">
        <f>SUMIFS(View!J:J,View!B:B,B233)</f>
        <v>0</v>
      </c>
      <c r="I233" s="332">
        <f>sumifs('Hoa Hồng'!L:L,'Hoa Hồng'!A:A,B233)</f>
        <v>0</v>
      </c>
      <c r="J233" s="332">
        <v>0.0</v>
      </c>
      <c r="K233" s="333" t="s">
        <v>1211</v>
      </c>
      <c r="L233" s="334"/>
      <c r="M233" s="334"/>
      <c r="N233" s="334"/>
      <c r="O233" s="334"/>
      <c r="P233" s="334"/>
      <c r="Q233" s="334"/>
      <c r="R233" s="334"/>
      <c r="S233" s="334"/>
      <c r="T233" s="334"/>
      <c r="U233" s="334"/>
      <c r="V233" s="334"/>
      <c r="W233" s="334"/>
      <c r="X233" s="334"/>
      <c r="Y233" s="334"/>
      <c r="Z233" s="334"/>
      <c r="AA233" s="334"/>
      <c r="AB233" s="334"/>
      <c r="AC233" s="334"/>
      <c r="AD233" s="334"/>
    </row>
    <row r="234" ht="16.5" customHeight="1">
      <c r="A234" s="334"/>
      <c r="B234" s="329" t="str">
        <f>IFERROR(__xludf.DUMMYFUNCTION("""COMPUTED_VALUE"""),"INFKHOA988")</f>
        <v>INFKHOA988</v>
      </c>
      <c r="C234" s="329" t="s">
        <v>1591</v>
      </c>
      <c r="D234" s="331">
        <v>5.31002543289E11</v>
      </c>
      <c r="E234" s="331"/>
      <c r="F234" s="331" t="s">
        <v>19</v>
      </c>
      <c r="G234" s="331">
        <f>iferror(sumifs('Hợp tác'!G:G,'Hợp tác'!A:A,B234,'Hợp tác'!H:H,$G$2,'Hợp tác'!I:I,$I$2),"")</f>
        <v>0</v>
      </c>
      <c r="H234" s="332">
        <f>SUMIFS(View!J:J,View!B:B,B234)</f>
        <v>0</v>
      </c>
      <c r="I234" s="332">
        <f>sumifs('Hoa Hồng'!L:L,'Hoa Hồng'!A:A,B234)</f>
        <v>0</v>
      </c>
      <c r="J234" s="332">
        <v>0.0</v>
      </c>
      <c r="K234" s="333" t="s">
        <v>1211</v>
      </c>
      <c r="L234" s="334"/>
      <c r="M234" s="334"/>
      <c r="N234" s="334"/>
      <c r="O234" s="334"/>
      <c r="P234" s="334"/>
      <c r="Q234" s="334"/>
      <c r="R234" s="334"/>
      <c r="S234" s="334"/>
      <c r="T234" s="334"/>
      <c r="U234" s="334"/>
      <c r="V234" s="334"/>
      <c r="W234" s="334"/>
      <c r="X234" s="334"/>
      <c r="Y234" s="334"/>
      <c r="Z234" s="334"/>
      <c r="AA234" s="334"/>
      <c r="AB234" s="334"/>
      <c r="AC234" s="334"/>
      <c r="AD234" s="334"/>
    </row>
    <row r="235" ht="16.5" customHeight="1">
      <c r="A235" s="334"/>
      <c r="B235" s="329" t="str">
        <f>IFERROR(__xludf.DUMMYFUNCTION("""COMPUTED_VALUE"""),"INFPHUNG101")</f>
        <v>INFPHUNG101</v>
      </c>
      <c r="C235" s="329" t="s">
        <v>1592</v>
      </c>
      <c r="D235" s="331">
        <v>5.31002543291E11</v>
      </c>
      <c r="E235" s="331"/>
      <c r="F235" s="331" t="s">
        <v>1593</v>
      </c>
      <c r="G235" s="331">
        <f>iferror(sumifs('Hợp tác'!G:G,'Hợp tác'!A:A,B235,'Hợp tác'!H:H,$G$2,'Hợp tác'!I:I,$I$2),"")</f>
        <v>0</v>
      </c>
      <c r="H235" s="332">
        <f>SUMIFS(View!J:J,View!B:B,B235)</f>
        <v>0</v>
      </c>
      <c r="I235" s="332">
        <f>sumifs('Hoa Hồng'!L:L,'Hoa Hồng'!A:A,B235)</f>
        <v>0</v>
      </c>
      <c r="J235" s="332">
        <v>0.0</v>
      </c>
      <c r="K235" s="333" t="s">
        <v>1211</v>
      </c>
      <c r="L235" s="334"/>
      <c r="M235" s="334"/>
      <c r="N235" s="334"/>
      <c r="O235" s="334"/>
      <c r="P235" s="334"/>
      <c r="Q235" s="334"/>
      <c r="R235" s="334"/>
      <c r="S235" s="334"/>
      <c r="T235" s="334"/>
      <c r="U235" s="334"/>
      <c r="V235" s="334"/>
      <c r="W235" s="334"/>
      <c r="X235" s="334"/>
      <c r="Y235" s="334"/>
      <c r="Z235" s="334"/>
      <c r="AA235" s="334"/>
      <c r="AB235" s="334"/>
      <c r="AC235" s="334"/>
      <c r="AD235" s="334"/>
    </row>
    <row r="236" ht="16.5" customHeight="1">
      <c r="A236" s="334"/>
      <c r="B236" s="329" t="str">
        <f>IFERROR(__xludf.DUMMYFUNCTION("""COMPUTED_VALUE"""),"INFHANG864")</f>
        <v>INFHANG864</v>
      </c>
      <c r="C236" s="329" t="s">
        <v>1594</v>
      </c>
      <c r="D236" s="331">
        <v>7.030104575007E12</v>
      </c>
      <c r="E236" s="331"/>
      <c r="F236" s="331" t="s">
        <v>1595</v>
      </c>
      <c r="G236" s="331">
        <f>iferror(sumifs('Hợp tác'!G:G,'Hợp tác'!A:A,B236,'Hợp tác'!H:H,$G$2,'Hợp tác'!I:I,$I$2),"")</f>
        <v>0</v>
      </c>
      <c r="H236" s="332">
        <f>SUMIFS(View!J:J,View!B:B,B236)</f>
        <v>0</v>
      </c>
      <c r="I236" s="332">
        <f>sumifs('Hoa Hồng'!L:L,'Hoa Hồng'!A:A,B236)</f>
        <v>0</v>
      </c>
      <c r="J236" s="332">
        <v>0.0</v>
      </c>
      <c r="K236" s="333" t="s">
        <v>1211</v>
      </c>
      <c r="L236" s="334"/>
      <c r="M236" s="334"/>
      <c r="N236" s="334"/>
      <c r="O236" s="334"/>
      <c r="P236" s="334"/>
      <c r="Q236" s="334"/>
      <c r="R236" s="334"/>
      <c r="S236" s="334"/>
      <c r="T236" s="334"/>
      <c r="U236" s="334"/>
      <c r="V236" s="334"/>
      <c r="W236" s="334"/>
      <c r="X236" s="334"/>
      <c r="Y236" s="334"/>
      <c r="Z236" s="334"/>
      <c r="AA236" s="334"/>
      <c r="AB236" s="334"/>
      <c r="AC236" s="334"/>
      <c r="AD236" s="334"/>
    </row>
    <row r="237" ht="16.5" customHeight="1">
      <c r="A237" s="334"/>
      <c r="B237" s="329" t="str">
        <f>IFERROR(__xludf.DUMMYFUNCTION("""COMPUTED_VALUE"""),"INFHOAN224")</f>
        <v>INFHOAN224</v>
      </c>
      <c r="C237" s="329" t="s">
        <v>1596</v>
      </c>
      <c r="D237" s="331">
        <v>1.9033440577012E13</v>
      </c>
      <c r="E237" s="331" t="s">
        <v>1596</v>
      </c>
      <c r="F237" s="331" t="s">
        <v>1597</v>
      </c>
      <c r="G237" s="331">
        <f>iferror(sumifs('Hợp tác'!G:G,'Hợp tác'!A:A,B237,'Hợp tác'!H:H,$G$2,'Hợp tác'!I:I,$I$2),"")</f>
        <v>0</v>
      </c>
      <c r="H237" s="332">
        <f>SUMIFS(View!J:J,View!B:B,B237)</f>
        <v>0</v>
      </c>
      <c r="I237" s="332">
        <f>sumifs('Hoa Hồng'!L:L,'Hoa Hồng'!A:A,B237)</f>
        <v>0</v>
      </c>
      <c r="J237" s="332">
        <v>0.0</v>
      </c>
      <c r="K237" s="333" t="s">
        <v>1211</v>
      </c>
      <c r="L237" s="334"/>
      <c r="M237" s="334"/>
      <c r="N237" s="334"/>
      <c r="O237" s="334"/>
      <c r="P237" s="334"/>
      <c r="Q237" s="334"/>
      <c r="R237" s="334"/>
      <c r="S237" s="334"/>
      <c r="T237" s="334"/>
      <c r="U237" s="334"/>
      <c r="V237" s="334"/>
      <c r="W237" s="334"/>
      <c r="X237" s="334"/>
      <c r="Y237" s="334"/>
      <c r="Z237" s="334"/>
      <c r="AA237" s="334"/>
      <c r="AB237" s="334"/>
      <c r="AC237" s="334"/>
      <c r="AD237" s="334"/>
    </row>
    <row r="238" ht="16.5" customHeight="1">
      <c r="A238" s="334"/>
      <c r="B238" s="329" t="str">
        <f>IFERROR(__xludf.DUMMYFUNCTION("""COMPUTED_VALUE"""),"INFPHONG820")</f>
        <v>INFPHONG820</v>
      </c>
      <c r="C238" s="329" t="s">
        <v>1598</v>
      </c>
      <c r="D238" s="331">
        <v>1.903604853401E13</v>
      </c>
      <c r="E238" s="331"/>
      <c r="F238" s="331" t="s">
        <v>1546</v>
      </c>
      <c r="G238" s="331">
        <f>iferror(sumifs('Hợp tác'!G:G,'Hợp tác'!A:A,B238,'Hợp tác'!H:H,$G$2,'Hợp tác'!I:I,$I$2),"")</f>
        <v>0</v>
      </c>
      <c r="H238" s="332">
        <f>SUMIFS(View!J:J,View!B:B,B238)</f>
        <v>0</v>
      </c>
      <c r="I238" s="332">
        <f>sumifs('Hoa Hồng'!L:L,'Hoa Hồng'!A:A,B238)</f>
        <v>0</v>
      </c>
      <c r="J238" s="332">
        <v>0.0</v>
      </c>
      <c r="K238" s="333" t="s">
        <v>1211</v>
      </c>
      <c r="L238" s="334"/>
      <c r="M238" s="334"/>
      <c r="N238" s="334"/>
      <c r="O238" s="334"/>
      <c r="P238" s="334"/>
      <c r="Q238" s="334"/>
      <c r="R238" s="334"/>
      <c r="S238" s="334"/>
      <c r="T238" s="334"/>
      <c r="U238" s="334"/>
      <c r="V238" s="334"/>
      <c r="W238" s="334"/>
      <c r="X238" s="334"/>
      <c r="Y238" s="334"/>
      <c r="Z238" s="334"/>
      <c r="AA238" s="334"/>
      <c r="AB238" s="334"/>
      <c r="AC238" s="334"/>
      <c r="AD238" s="334"/>
    </row>
    <row r="239" ht="16.5" customHeight="1">
      <c r="A239" s="334"/>
      <c r="B239" s="329" t="str">
        <f>IFERROR(__xludf.DUMMYFUNCTION("""COMPUTED_VALUE"""),"INFQUAN471")</f>
        <v>INFQUAN471</v>
      </c>
      <c r="C239" s="329" t="s">
        <v>1599</v>
      </c>
      <c r="D239" s="331">
        <v>1.9036717021016E13</v>
      </c>
      <c r="E239" s="331" t="s">
        <v>1600</v>
      </c>
      <c r="F239" s="331" t="s">
        <v>122</v>
      </c>
      <c r="G239" s="331">
        <f>iferror(sumifs('Hợp tác'!G:G,'Hợp tác'!A:A,B239,'Hợp tác'!H:H,$G$2,'Hợp tác'!I:I,$I$2),"")</f>
        <v>0</v>
      </c>
      <c r="H239" s="332">
        <f>SUMIFS(View!J:J,View!B:B,B239)</f>
        <v>0</v>
      </c>
      <c r="I239" s="332">
        <f>sumifs('Hoa Hồng'!L:L,'Hoa Hồng'!A:A,B239)</f>
        <v>0</v>
      </c>
      <c r="J239" s="332">
        <v>0.0</v>
      </c>
      <c r="K239" s="333" t="s">
        <v>1211</v>
      </c>
      <c r="L239" s="334"/>
      <c r="M239" s="334"/>
      <c r="N239" s="334"/>
      <c r="O239" s="334"/>
      <c r="P239" s="334"/>
      <c r="Q239" s="334"/>
      <c r="R239" s="334"/>
      <c r="S239" s="334"/>
      <c r="T239" s="334"/>
      <c r="U239" s="334"/>
      <c r="V239" s="334"/>
      <c r="W239" s="334"/>
      <c r="X239" s="334"/>
      <c r="Y239" s="334"/>
      <c r="Z239" s="334"/>
      <c r="AA239" s="334"/>
      <c r="AB239" s="334"/>
      <c r="AC239" s="334"/>
      <c r="AD239" s="334"/>
    </row>
    <row r="240" ht="16.5" customHeight="1">
      <c r="A240" s="334"/>
      <c r="B240" s="329" t="str">
        <f>IFERROR(__xludf.DUMMYFUNCTION("""COMPUTED_VALUE"""),"INFNGOC365")</f>
        <v>INFNGOC365</v>
      </c>
      <c r="C240" s="329" t="s">
        <v>1601</v>
      </c>
      <c r="D240" s="331">
        <v>6.626826888888E12</v>
      </c>
      <c r="E240" s="331" t="s">
        <v>1601</v>
      </c>
      <c r="F240" s="331" t="s">
        <v>1602</v>
      </c>
      <c r="G240" s="331">
        <f>iferror(sumifs('Hợp tác'!G:G,'Hợp tác'!A:A,B240,'Hợp tác'!H:H,$G$2,'Hợp tác'!I:I,$I$2),"")</f>
        <v>0</v>
      </c>
      <c r="H240" s="332">
        <f>SUMIFS(View!J:J,View!B:B,B240)</f>
        <v>0</v>
      </c>
      <c r="I240" s="332">
        <f>sumifs('Hoa Hồng'!L:L,'Hoa Hồng'!A:A,B240)</f>
        <v>0</v>
      </c>
      <c r="J240" s="332">
        <v>0.0</v>
      </c>
      <c r="K240" s="333" t="s">
        <v>1211</v>
      </c>
      <c r="L240" s="334"/>
      <c r="M240" s="334"/>
      <c r="N240" s="334"/>
      <c r="O240" s="334"/>
      <c r="P240" s="334"/>
      <c r="Q240" s="334"/>
      <c r="R240" s="334"/>
      <c r="S240" s="334"/>
      <c r="T240" s="334"/>
      <c r="U240" s="334"/>
      <c r="V240" s="334"/>
      <c r="W240" s="334"/>
      <c r="X240" s="334"/>
      <c r="Y240" s="334"/>
      <c r="Z240" s="334"/>
      <c r="AA240" s="334"/>
      <c r="AB240" s="334"/>
      <c r="AC240" s="334"/>
      <c r="AD240" s="334"/>
    </row>
    <row r="241" ht="16.5" customHeight="1">
      <c r="A241" s="334"/>
      <c r="B241" s="329" t="str">
        <f>IFERROR(__xludf.DUMMYFUNCTION("""COMPUTED_VALUE"""),"INFNGA861")</f>
        <v>INFNGA861</v>
      </c>
      <c r="C241" s="329" t="s">
        <v>1603</v>
      </c>
      <c r="D241" s="331">
        <v>4.81000714381E11</v>
      </c>
      <c r="E241" s="331"/>
      <c r="F241" s="331" t="s">
        <v>1604</v>
      </c>
      <c r="G241" s="331">
        <f>iferror(sumifs('Hợp tác'!G:G,'Hợp tác'!A:A,B241,'Hợp tác'!H:H,$G$2,'Hợp tác'!I:I,$I$2),"")</f>
        <v>0</v>
      </c>
      <c r="H241" s="332">
        <f>SUMIFS(View!J:J,View!B:B,B241)</f>
        <v>0</v>
      </c>
      <c r="I241" s="332">
        <f>sumifs('Hoa Hồng'!L:L,'Hoa Hồng'!A:A,B241)</f>
        <v>0</v>
      </c>
      <c r="J241" s="332">
        <v>0.0</v>
      </c>
      <c r="K241" s="333" t="s">
        <v>1211</v>
      </c>
      <c r="L241" s="334"/>
      <c r="M241" s="334"/>
      <c r="N241" s="334"/>
      <c r="O241" s="334"/>
      <c r="P241" s="334"/>
      <c r="Q241" s="334"/>
      <c r="R241" s="334"/>
      <c r="S241" s="334"/>
      <c r="T241" s="334"/>
      <c r="U241" s="334"/>
      <c r="V241" s="334"/>
      <c r="W241" s="334"/>
      <c r="X241" s="334"/>
      <c r="Y241" s="334"/>
      <c r="Z241" s="334"/>
      <c r="AA241" s="334"/>
      <c r="AB241" s="334"/>
      <c r="AC241" s="334"/>
      <c r="AD241" s="334"/>
    </row>
    <row r="242" ht="16.5" customHeight="1">
      <c r="A242" s="334"/>
      <c r="B242" s="329" t="str">
        <f>IFERROR(__xludf.DUMMYFUNCTION("""COMPUTED_VALUE"""),"INFDIEM949")</f>
        <v>INFDIEM949</v>
      </c>
      <c r="C242" s="329" t="s">
        <v>1605</v>
      </c>
      <c r="D242" s="331">
        <v>1.903300602201E13</v>
      </c>
      <c r="E242" s="331" t="s">
        <v>1606</v>
      </c>
      <c r="F242" s="331" t="s">
        <v>1607</v>
      </c>
      <c r="G242" s="331">
        <f>iferror(sumifs('Hợp tác'!G:G,'Hợp tác'!A:A,B242,'Hợp tác'!H:H,$G$2,'Hợp tác'!I:I,$I$2),"")</f>
        <v>0</v>
      </c>
      <c r="H242" s="332">
        <f>SUMIFS(View!J:J,View!B:B,B242)</f>
        <v>0</v>
      </c>
      <c r="I242" s="332">
        <f>sumifs('Hoa Hồng'!L:L,'Hoa Hồng'!A:A,B242)</f>
        <v>0</v>
      </c>
      <c r="J242" s="332">
        <v>0.0</v>
      </c>
      <c r="K242" s="333" t="s">
        <v>1211</v>
      </c>
      <c r="L242" s="334"/>
      <c r="M242" s="334"/>
      <c r="N242" s="334"/>
      <c r="O242" s="334"/>
      <c r="P242" s="334"/>
      <c r="Q242" s="334"/>
      <c r="R242" s="334"/>
      <c r="S242" s="334"/>
      <c r="T242" s="334"/>
      <c r="U242" s="334"/>
      <c r="V242" s="334"/>
      <c r="W242" s="334"/>
      <c r="X242" s="334"/>
      <c r="Y242" s="334"/>
      <c r="Z242" s="334"/>
      <c r="AA242" s="334"/>
      <c r="AB242" s="334"/>
      <c r="AC242" s="334"/>
      <c r="AD242" s="334"/>
    </row>
    <row r="243" ht="16.5" customHeight="1">
      <c r="A243" s="334"/>
      <c r="B243" s="329" t="str">
        <f>IFERROR(__xludf.DUMMYFUNCTION("""COMPUTED_VALUE"""),"INFTHAO513")</f>
        <v>INFTHAO513</v>
      </c>
      <c r="C243" s="329" t="s">
        <v>41</v>
      </c>
      <c r="D243" s="331">
        <v>5.6010001370212E13</v>
      </c>
      <c r="E243" s="331"/>
      <c r="F243" s="331" t="s">
        <v>1608</v>
      </c>
      <c r="G243" s="331">
        <f>iferror(sumifs('Hợp tác'!G:G,'Hợp tác'!A:A,B243,'Hợp tác'!H:H,$G$2,'Hợp tác'!I:I,$I$2),"")</f>
        <v>0</v>
      </c>
      <c r="H243" s="332">
        <f>SUMIFS(View!J:J,View!B:B,B243)</f>
        <v>0</v>
      </c>
      <c r="I243" s="332">
        <f>sumifs('Hoa Hồng'!L:L,'Hoa Hồng'!A:A,B243)</f>
        <v>0</v>
      </c>
      <c r="J243" s="332">
        <v>0.0</v>
      </c>
      <c r="K243" s="333" t="s">
        <v>1211</v>
      </c>
      <c r="L243" s="334"/>
      <c r="M243" s="334"/>
      <c r="N243" s="334"/>
      <c r="O243" s="334"/>
      <c r="P243" s="334"/>
      <c r="Q243" s="334"/>
      <c r="R243" s="334"/>
      <c r="S243" s="334"/>
      <c r="T243" s="334"/>
      <c r="U243" s="334"/>
      <c r="V243" s="334"/>
      <c r="W243" s="334"/>
      <c r="X243" s="334"/>
      <c r="Y243" s="334"/>
      <c r="Z243" s="334"/>
      <c r="AA243" s="334"/>
      <c r="AB243" s="334"/>
      <c r="AC243" s="334"/>
      <c r="AD243" s="334"/>
    </row>
    <row r="244" ht="16.5" customHeight="1">
      <c r="A244" s="334"/>
      <c r="B244" s="329" t="str">
        <f>IFERROR(__xludf.DUMMYFUNCTION("""COMPUTED_VALUE"""),"INFVINH509")</f>
        <v>INFVINH509</v>
      </c>
      <c r="C244" s="329" t="s">
        <v>1609</v>
      </c>
      <c r="D244" s="331">
        <v>1.08869233042E11</v>
      </c>
      <c r="E244" s="331" t="s">
        <v>1610</v>
      </c>
      <c r="F244" s="331" t="s">
        <v>1611</v>
      </c>
      <c r="G244" s="331">
        <f>iferror(sumifs('Hợp tác'!G:G,'Hợp tác'!A:A,B244,'Hợp tác'!H:H,$G$2,'Hợp tác'!I:I,$I$2),"")</f>
        <v>1000000</v>
      </c>
      <c r="H244" s="332">
        <f>SUMIFS(View!J:J,View!B:B,B244)</f>
        <v>0</v>
      </c>
      <c r="I244" s="332">
        <f>sumifs('Hoa Hồng'!L:L,'Hoa Hồng'!A:A,B244)</f>
        <v>0</v>
      </c>
      <c r="J244" s="332">
        <v>1000000.0</v>
      </c>
      <c r="K244" s="333" t="s">
        <v>1211</v>
      </c>
      <c r="L244" s="334"/>
      <c r="M244" s="334"/>
      <c r="N244" s="334"/>
      <c r="O244" s="334"/>
      <c r="P244" s="334"/>
      <c r="Q244" s="334"/>
      <c r="R244" s="334"/>
      <c r="S244" s="334"/>
      <c r="T244" s="334"/>
      <c r="U244" s="334"/>
      <c r="V244" s="334"/>
      <c r="W244" s="334"/>
      <c r="X244" s="334"/>
      <c r="Y244" s="334"/>
      <c r="Z244" s="334"/>
      <c r="AA244" s="334"/>
      <c r="AB244" s="334"/>
      <c r="AC244" s="334"/>
      <c r="AD244" s="334"/>
    </row>
    <row r="245" ht="16.5" customHeight="1">
      <c r="A245" s="334"/>
      <c r="B245" s="329" t="str">
        <f>IFERROR(__xludf.DUMMYFUNCTION("""COMPUTED_VALUE"""),"INFHUE103")</f>
        <v>INFHUE103</v>
      </c>
      <c r="C245" s="329" t="s">
        <v>1612</v>
      </c>
      <c r="D245" s="331" t="s">
        <v>1613</v>
      </c>
      <c r="E245" s="331" t="s">
        <v>1614</v>
      </c>
      <c r="F245" s="331" t="s">
        <v>1615</v>
      </c>
      <c r="G245" s="331">
        <f>iferror(sumifs('Hợp tác'!G:G,'Hợp tác'!A:A,B245,'Hợp tác'!H:H,$G$2,'Hợp tác'!I:I,$I$2),"")</f>
        <v>0</v>
      </c>
      <c r="H245" s="332">
        <f>SUMIFS(View!J:J,View!B:B,B245)</f>
        <v>0</v>
      </c>
      <c r="I245" s="332">
        <f>sumifs('Hoa Hồng'!L:L,'Hoa Hồng'!A:A,B245)</f>
        <v>0</v>
      </c>
      <c r="J245" s="332">
        <v>0.0</v>
      </c>
      <c r="K245" s="333" t="s">
        <v>1211</v>
      </c>
      <c r="L245" s="334"/>
      <c r="M245" s="334"/>
      <c r="N245" s="334"/>
      <c r="O245" s="334"/>
      <c r="P245" s="334"/>
      <c r="Q245" s="334"/>
      <c r="R245" s="334"/>
      <c r="S245" s="334"/>
      <c r="T245" s="334"/>
      <c r="U245" s="334"/>
      <c r="V245" s="334"/>
      <c r="W245" s="334"/>
      <c r="X245" s="334"/>
      <c r="Y245" s="334"/>
      <c r="Z245" s="334"/>
      <c r="AA245" s="334"/>
      <c r="AB245" s="334"/>
      <c r="AC245" s="334"/>
      <c r="AD245" s="334"/>
    </row>
    <row r="246" ht="16.5" customHeight="1">
      <c r="A246" s="334"/>
      <c r="B246" s="329" t="str">
        <f>IFERROR(__xludf.DUMMYFUNCTION("""COMPUTED_VALUE"""),"INFSON996")</f>
        <v>INFSON996</v>
      </c>
      <c r="C246" s="329" t="s">
        <v>1616</v>
      </c>
      <c r="D246" s="331">
        <v>6.610111682268E12</v>
      </c>
      <c r="E246" s="331" t="s">
        <v>1617</v>
      </c>
      <c r="F246" s="331" t="s">
        <v>1618</v>
      </c>
      <c r="G246" s="331">
        <f>iferror(sumifs('Hợp tác'!G:G,'Hợp tác'!A:A,B246,'Hợp tác'!H:H,$G$2,'Hợp tác'!I:I,$I$2),"")</f>
        <v>1000000</v>
      </c>
      <c r="H246" s="332">
        <f>SUMIFS(View!J:J,View!B:B,B246)</f>
        <v>0</v>
      </c>
      <c r="I246" s="332">
        <f>sumifs('Hoa Hồng'!L:L,'Hoa Hồng'!A:A,B246)</f>
        <v>0</v>
      </c>
      <c r="J246" s="332">
        <v>1000000.0</v>
      </c>
      <c r="K246" s="333" t="s">
        <v>1211</v>
      </c>
      <c r="L246" s="334"/>
      <c r="M246" s="334"/>
      <c r="N246" s="334"/>
      <c r="O246" s="334"/>
      <c r="P246" s="334"/>
      <c r="Q246" s="334"/>
      <c r="R246" s="334"/>
      <c r="S246" s="334"/>
      <c r="T246" s="334"/>
      <c r="U246" s="334"/>
      <c r="V246" s="334"/>
      <c r="W246" s="334"/>
      <c r="X246" s="334"/>
      <c r="Y246" s="334"/>
      <c r="Z246" s="334"/>
      <c r="AA246" s="334"/>
      <c r="AB246" s="334"/>
      <c r="AC246" s="334"/>
      <c r="AD246" s="334"/>
    </row>
    <row r="247" ht="16.5" customHeight="1">
      <c r="A247" s="334"/>
      <c r="B247" s="329" t="str">
        <f>IFERROR(__xludf.DUMMYFUNCTION("""COMPUTED_VALUE"""),"INFTRANG620")</f>
        <v>INFTRANG620</v>
      </c>
      <c r="C247" s="329" t="s">
        <v>1384</v>
      </c>
      <c r="D247" s="331">
        <v>1.012761779E9</v>
      </c>
      <c r="E247" s="331" t="s">
        <v>1619</v>
      </c>
      <c r="F247" s="331" t="s">
        <v>19</v>
      </c>
      <c r="G247" s="331">
        <f>iferror(sumifs('Hợp tác'!G:G,'Hợp tác'!A:A,B247,'Hợp tác'!H:H,$G$2,'Hợp tác'!I:I,$I$2),"")</f>
        <v>1000000</v>
      </c>
      <c r="H247" s="332">
        <f>SUMIFS(View!J:J,View!B:B,B247)</f>
        <v>0</v>
      </c>
      <c r="I247" s="332">
        <f>sumifs('Hoa Hồng'!L:L,'Hoa Hồng'!A:A,B247)</f>
        <v>0</v>
      </c>
      <c r="J247" s="332">
        <v>1000000.0</v>
      </c>
      <c r="K247" s="333" t="s">
        <v>1211</v>
      </c>
      <c r="L247" s="334"/>
      <c r="M247" s="334"/>
      <c r="N247" s="334"/>
      <c r="O247" s="334"/>
      <c r="P247" s="334"/>
      <c r="Q247" s="334"/>
      <c r="R247" s="334"/>
      <c r="S247" s="334"/>
      <c r="T247" s="334"/>
      <c r="U247" s="334"/>
      <c r="V247" s="334"/>
      <c r="W247" s="334"/>
      <c r="X247" s="334"/>
      <c r="Y247" s="334"/>
      <c r="Z247" s="334"/>
      <c r="AA247" s="334"/>
      <c r="AB247" s="334"/>
      <c r="AC247" s="334"/>
      <c r="AD247" s="334"/>
    </row>
    <row r="248" ht="16.5" customHeight="1">
      <c r="A248" s="334"/>
      <c r="B248" s="329" t="str">
        <f>IFERROR(__xludf.DUMMYFUNCTION("""COMPUTED_VALUE"""),"INFTRANG727")</f>
        <v>INFTRANG727</v>
      </c>
      <c r="C248" s="329" t="s">
        <v>1620</v>
      </c>
      <c r="D248" s="331">
        <v>1.9035942812018E13</v>
      </c>
      <c r="E248" s="331" t="s">
        <v>1621</v>
      </c>
      <c r="F248" s="331" t="s">
        <v>26</v>
      </c>
      <c r="G248" s="331">
        <f>iferror(sumifs('Hợp tác'!G:G,'Hợp tác'!A:A,B248,'Hợp tác'!H:H,$G$2,'Hợp tác'!I:I,$I$2),"")</f>
        <v>0</v>
      </c>
      <c r="H248" s="332">
        <f>SUMIFS(View!J:J,View!B:B,B248)</f>
        <v>0</v>
      </c>
      <c r="I248" s="332">
        <f>sumifs('Hoa Hồng'!L:L,'Hoa Hồng'!A:A,B248)</f>
        <v>0</v>
      </c>
      <c r="J248" s="332">
        <v>0.0</v>
      </c>
      <c r="K248" s="333" t="s">
        <v>1211</v>
      </c>
      <c r="L248" s="334"/>
      <c r="M248" s="334"/>
      <c r="N248" s="334"/>
      <c r="O248" s="334"/>
      <c r="P248" s="334"/>
      <c r="Q248" s="334"/>
      <c r="R248" s="334"/>
      <c r="S248" s="334"/>
      <c r="T248" s="334"/>
      <c r="U248" s="334"/>
      <c r="V248" s="334"/>
      <c r="W248" s="334"/>
      <c r="X248" s="334"/>
      <c r="Y248" s="334"/>
      <c r="Z248" s="334"/>
      <c r="AA248" s="334"/>
      <c r="AB248" s="334"/>
      <c r="AC248" s="334"/>
      <c r="AD248" s="334"/>
    </row>
    <row r="249" ht="16.5" customHeight="1">
      <c r="A249" s="334"/>
      <c r="B249" s="329" t="str">
        <f>IFERROR(__xludf.DUMMYFUNCTION("""COMPUTED_VALUE"""),"INFTRUONG940")</f>
        <v>INFTRUONG940</v>
      </c>
      <c r="C249" s="329" t="s">
        <v>1622</v>
      </c>
      <c r="D249" s="331">
        <v>1.9036464602025E13</v>
      </c>
      <c r="E249" s="331" t="s">
        <v>1623</v>
      </c>
      <c r="F249" s="331" t="s">
        <v>1624</v>
      </c>
      <c r="G249" s="331">
        <f>iferror(sumifs('Hợp tác'!G:G,'Hợp tác'!A:A,B249,'Hợp tác'!H:H,$G$2,'Hợp tác'!I:I,$I$2),"")</f>
        <v>1000000</v>
      </c>
      <c r="H249" s="332">
        <f>SUMIFS(View!J:J,View!B:B,B249)</f>
        <v>0</v>
      </c>
      <c r="I249" s="332">
        <f>sumifs('Hoa Hồng'!L:L,'Hoa Hồng'!A:A,B249)</f>
        <v>0</v>
      </c>
      <c r="J249" s="332">
        <v>1000000.0</v>
      </c>
      <c r="K249" s="333" t="s">
        <v>1211</v>
      </c>
      <c r="L249" s="334"/>
      <c r="M249" s="334"/>
      <c r="N249" s="334"/>
      <c r="O249" s="334"/>
      <c r="P249" s="334"/>
      <c r="Q249" s="334"/>
      <c r="R249" s="334"/>
      <c r="S249" s="334"/>
      <c r="T249" s="334"/>
      <c r="U249" s="334"/>
      <c r="V249" s="334"/>
      <c r="W249" s="334"/>
      <c r="X249" s="334"/>
      <c r="Y249" s="334"/>
      <c r="Z249" s="334"/>
      <c r="AA249" s="334"/>
      <c r="AB249" s="334"/>
      <c r="AC249" s="334"/>
      <c r="AD249" s="334"/>
    </row>
    <row r="250" ht="16.5" customHeight="1">
      <c r="A250" s="334"/>
      <c r="B250" s="329" t="str">
        <f>IFERROR(__xludf.DUMMYFUNCTION("""COMPUTED_VALUE"""),"INFQUYEN035")</f>
        <v>INFQUYEN035</v>
      </c>
      <c r="C250" s="329" t="s">
        <v>1625</v>
      </c>
      <c r="D250" s="331">
        <v>1.08869558858E11</v>
      </c>
      <c r="E250" s="331" t="s">
        <v>1626</v>
      </c>
      <c r="F250" s="331" t="s">
        <v>1627</v>
      </c>
      <c r="G250" s="331">
        <f>iferror(sumifs('Hợp tác'!G:G,'Hợp tác'!A:A,B250,'Hợp tác'!H:H,$G$2,'Hợp tác'!I:I,$I$2),"")</f>
        <v>0</v>
      </c>
      <c r="H250" s="332">
        <f>SUMIFS(View!J:J,View!B:B,B250)</f>
        <v>0</v>
      </c>
      <c r="I250" s="332">
        <f>sumifs('Hoa Hồng'!L:L,'Hoa Hồng'!A:A,B250)</f>
        <v>0</v>
      </c>
      <c r="J250" s="332">
        <v>0.0</v>
      </c>
      <c r="K250" s="333" t="s">
        <v>1211</v>
      </c>
      <c r="L250" s="334"/>
      <c r="M250" s="334"/>
      <c r="N250" s="334"/>
      <c r="O250" s="334"/>
      <c r="P250" s="334"/>
      <c r="Q250" s="334"/>
      <c r="R250" s="334"/>
      <c r="S250" s="334"/>
      <c r="T250" s="334"/>
      <c r="U250" s="334"/>
      <c r="V250" s="334"/>
      <c r="W250" s="334"/>
      <c r="X250" s="334"/>
      <c r="Y250" s="334"/>
      <c r="Z250" s="334"/>
      <c r="AA250" s="334"/>
      <c r="AB250" s="334"/>
      <c r="AC250" s="334"/>
      <c r="AD250" s="334"/>
    </row>
    <row r="251" ht="16.5" customHeight="1">
      <c r="A251" s="334"/>
      <c r="B251" s="329" t="str">
        <f>IFERROR(__xludf.DUMMYFUNCTION("""COMPUTED_VALUE"""),"INFANH689")</f>
        <v>INFANH689</v>
      </c>
      <c r="C251" s="329" t="s">
        <v>1628</v>
      </c>
      <c r="D251" s="331" t="s">
        <v>1629</v>
      </c>
      <c r="E251" s="331" t="s">
        <v>1630</v>
      </c>
      <c r="F251" s="331" t="s">
        <v>1631</v>
      </c>
      <c r="G251" s="331">
        <f>iferror(sumifs('Hợp tác'!G:G,'Hợp tác'!A:A,B251,'Hợp tác'!H:H,$G$2,'Hợp tác'!I:I,$I$2),"")</f>
        <v>0</v>
      </c>
      <c r="H251" s="332">
        <f>SUMIFS(View!J:J,View!B:B,B251)</f>
        <v>0</v>
      </c>
      <c r="I251" s="332">
        <f>sumifs('Hoa Hồng'!L:L,'Hoa Hồng'!A:A,B251)</f>
        <v>0</v>
      </c>
      <c r="J251" s="332">
        <v>0.0</v>
      </c>
      <c r="K251" s="333" t="s">
        <v>1211</v>
      </c>
      <c r="L251" s="334"/>
      <c r="M251" s="334"/>
      <c r="N251" s="334"/>
      <c r="O251" s="334"/>
      <c r="P251" s="334"/>
      <c r="Q251" s="334"/>
      <c r="R251" s="334"/>
      <c r="S251" s="334"/>
      <c r="T251" s="334"/>
      <c r="U251" s="334"/>
      <c r="V251" s="334"/>
      <c r="W251" s="334"/>
      <c r="X251" s="334"/>
      <c r="Y251" s="334"/>
      <c r="Z251" s="334"/>
      <c r="AA251" s="334"/>
      <c r="AB251" s="334"/>
      <c r="AC251" s="334"/>
      <c r="AD251" s="334"/>
    </row>
    <row r="252" ht="16.5" customHeight="1">
      <c r="A252" s="334"/>
      <c r="B252" s="329" t="str">
        <f>IFERROR(__xludf.DUMMYFUNCTION("""COMPUTED_VALUE"""),"INFAN380")</f>
        <v>INFAN380</v>
      </c>
      <c r="C252" s="329" t="s">
        <v>1632</v>
      </c>
      <c r="D252" s="331">
        <v>3.519215037777E12</v>
      </c>
      <c r="E252" s="331" t="s">
        <v>1633</v>
      </c>
      <c r="F252" s="331" t="s">
        <v>106</v>
      </c>
      <c r="G252" s="331">
        <f>iferror(sumifs('Hợp tác'!G:G,'Hợp tác'!A:A,B252,'Hợp tác'!H:H,$G$2,'Hợp tác'!I:I,$I$2),"")</f>
        <v>0</v>
      </c>
      <c r="H252" s="332">
        <f>SUMIFS(View!J:J,View!B:B,B252)</f>
        <v>0</v>
      </c>
      <c r="I252" s="332">
        <f>sumifs('Hoa Hồng'!L:L,'Hoa Hồng'!A:A,B252)</f>
        <v>0</v>
      </c>
      <c r="J252" s="332">
        <v>0.0</v>
      </c>
      <c r="K252" s="333" t="s">
        <v>1211</v>
      </c>
      <c r="L252" s="334"/>
      <c r="M252" s="334"/>
      <c r="N252" s="334"/>
      <c r="O252" s="334"/>
      <c r="P252" s="334"/>
      <c r="Q252" s="334"/>
      <c r="R252" s="334"/>
      <c r="S252" s="334"/>
      <c r="T252" s="334"/>
      <c r="U252" s="334"/>
      <c r="V252" s="334"/>
      <c r="W252" s="334"/>
      <c r="X252" s="334"/>
      <c r="Y252" s="334"/>
      <c r="Z252" s="334"/>
      <c r="AA252" s="334"/>
      <c r="AB252" s="334"/>
      <c r="AC252" s="334"/>
      <c r="AD252" s="334"/>
    </row>
    <row r="253" ht="16.5" customHeight="1">
      <c r="A253" s="334"/>
      <c r="B253" s="329" t="str">
        <f>IFERROR(__xludf.DUMMYFUNCTION("""COMPUTED_VALUE"""),"INFKHOI335")</f>
        <v>INFKHOI335</v>
      </c>
      <c r="C253" s="329" t="s">
        <v>1634</v>
      </c>
      <c r="D253" s="331" t="s">
        <v>1635</v>
      </c>
      <c r="E253" s="331" t="s">
        <v>1636</v>
      </c>
      <c r="F253" s="331" t="s">
        <v>1525</v>
      </c>
      <c r="G253" s="331">
        <f>iferror(sumifs('Hợp tác'!G:G,'Hợp tác'!A:A,B253,'Hợp tác'!H:H,$G$2,'Hợp tác'!I:I,$I$2),"")</f>
        <v>0</v>
      </c>
      <c r="H253" s="332">
        <f>SUMIFS(View!J:J,View!B:B,B253)</f>
        <v>0</v>
      </c>
      <c r="I253" s="332">
        <f>sumifs('Hoa Hồng'!L:L,'Hoa Hồng'!A:A,B253)</f>
        <v>0</v>
      </c>
      <c r="J253" s="332">
        <v>0.0</v>
      </c>
      <c r="K253" s="333" t="s">
        <v>1211</v>
      </c>
      <c r="L253" s="334"/>
      <c r="M253" s="334"/>
      <c r="N253" s="334"/>
      <c r="O253" s="334"/>
      <c r="P253" s="334"/>
      <c r="Q253" s="334"/>
      <c r="R253" s="334"/>
      <c r="S253" s="334"/>
      <c r="T253" s="334"/>
      <c r="U253" s="334"/>
      <c r="V253" s="334"/>
      <c r="W253" s="334"/>
      <c r="X253" s="334"/>
      <c r="Y253" s="334"/>
      <c r="Z253" s="334"/>
      <c r="AA253" s="334"/>
      <c r="AB253" s="334"/>
      <c r="AC253" s="334"/>
      <c r="AD253" s="334"/>
    </row>
    <row r="254" ht="16.5" customHeight="1">
      <c r="A254" s="334"/>
      <c r="B254" s="329" t="str">
        <f>IFERROR(__xludf.DUMMYFUNCTION("""COMPUTED_VALUE"""),"INFCHIEN271")</f>
        <v>INFCHIEN271</v>
      </c>
      <c r="C254" s="329" t="s">
        <v>1637</v>
      </c>
      <c r="D254" s="331">
        <v>1.03002908435E11</v>
      </c>
      <c r="E254" s="331" t="s">
        <v>1638</v>
      </c>
      <c r="F254" s="331" t="s">
        <v>101</v>
      </c>
      <c r="G254" s="331">
        <f>iferror(sumifs('Hợp tác'!G:G,'Hợp tác'!A:A,B254,'Hợp tác'!H:H,$G$2,'Hợp tác'!I:I,$I$2),"")</f>
        <v>0</v>
      </c>
      <c r="H254" s="332">
        <f>SUMIFS(View!J:J,View!B:B,B254)</f>
        <v>0</v>
      </c>
      <c r="I254" s="332">
        <f>sumifs('Hoa Hồng'!L:L,'Hoa Hồng'!A:A,B254)</f>
        <v>0</v>
      </c>
      <c r="J254" s="332">
        <v>0.0</v>
      </c>
      <c r="K254" s="333" t="s">
        <v>1211</v>
      </c>
      <c r="L254" s="334"/>
      <c r="M254" s="334"/>
      <c r="N254" s="334"/>
      <c r="O254" s="334"/>
      <c r="P254" s="334"/>
      <c r="Q254" s="334"/>
      <c r="R254" s="334"/>
      <c r="S254" s="334"/>
      <c r="T254" s="334"/>
      <c r="U254" s="334"/>
      <c r="V254" s="334"/>
      <c r="W254" s="334"/>
      <c r="X254" s="334"/>
      <c r="Y254" s="334"/>
      <c r="Z254" s="334"/>
      <c r="AA254" s="334"/>
      <c r="AB254" s="334"/>
      <c r="AC254" s="334"/>
      <c r="AD254" s="334"/>
    </row>
    <row r="255" ht="16.5" customHeight="1">
      <c r="A255" s="334"/>
      <c r="B255" s="329" t="str">
        <f>IFERROR(__xludf.DUMMYFUNCTION("""COMPUTED_VALUE"""),"INFMY536")</f>
        <v>INFMY536</v>
      </c>
      <c r="C255" s="329" t="s">
        <v>1639</v>
      </c>
      <c r="D255" s="331">
        <v>1.07002905941E11</v>
      </c>
      <c r="E255" s="331" t="s">
        <v>1640</v>
      </c>
      <c r="F255" s="331" t="s">
        <v>1627</v>
      </c>
      <c r="G255" s="331">
        <f>iferror(sumifs('Hợp tác'!G:G,'Hợp tác'!A:A,B255,'Hợp tác'!H:H,$G$2,'Hợp tác'!I:I,$I$2),"")</f>
        <v>0</v>
      </c>
      <c r="H255" s="332">
        <f>SUMIFS(View!J:J,View!B:B,B255)</f>
        <v>0</v>
      </c>
      <c r="I255" s="332">
        <f>sumifs('Hoa Hồng'!L:L,'Hoa Hồng'!A:A,B255)</f>
        <v>0</v>
      </c>
      <c r="J255" s="332">
        <v>0.0</v>
      </c>
      <c r="K255" s="333" t="s">
        <v>1211</v>
      </c>
      <c r="L255" s="334"/>
      <c r="M255" s="334"/>
      <c r="N255" s="334"/>
      <c r="O255" s="334"/>
      <c r="P255" s="334"/>
      <c r="Q255" s="334"/>
      <c r="R255" s="334"/>
      <c r="S255" s="334"/>
      <c r="T255" s="334"/>
      <c r="U255" s="334"/>
      <c r="V255" s="334"/>
      <c r="W255" s="334"/>
      <c r="X255" s="334"/>
      <c r="Y255" s="334"/>
      <c r="Z255" s="334"/>
      <c r="AA255" s="334"/>
      <c r="AB255" s="334"/>
      <c r="AC255" s="334"/>
      <c r="AD255" s="334"/>
    </row>
    <row r="256" ht="16.5" customHeight="1">
      <c r="A256" s="334"/>
      <c r="B256" s="329" t="str">
        <f>IFERROR(__xludf.DUMMYFUNCTION("""COMPUTED_VALUE"""),"INFHANG499")</f>
        <v>INFHANG499</v>
      </c>
      <c r="C256" s="329" t="s">
        <v>1641</v>
      </c>
      <c r="D256" s="331">
        <v>1.9036087002018E13</v>
      </c>
      <c r="E256" s="331" t="s">
        <v>1642</v>
      </c>
      <c r="F256" s="331" t="s">
        <v>48</v>
      </c>
      <c r="G256" s="331">
        <f>iferror(sumifs('Hợp tác'!G:G,'Hợp tác'!A:A,B256,'Hợp tác'!H:H,$G$2,'Hợp tác'!I:I,$I$2),"")</f>
        <v>0</v>
      </c>
      <c r="H256" s="332">
        <f>SUMIFS(View!J:J,View!B:B,B256)</f>
        <v>0</v>
      </c>
      <c r="I256" s="332">
        <f>sumifs('Hoa Hồng'!L:L,'Hoa Hồng'!A:A,B256)</f>
        <v>0</v>
      </c>
      <c r="J256" s="332">
        <v>0.0</v>
      </c>
      <c r="K256" s="333" t="s">
        <v>1211</v>
      </c>
      <c r="L256" s="334"/>
      <c r="M256" s="334"/>
      <c r="N256" s="334"/>
      <c r="O256" s="334"/>
      <c r="P256" s="334"/>
      <c r="Q256" s="334"/>
      <c r="R256" s="334"/>
      <c r="S256" s="334"/>
      <c r="T256" s="334"/>
      <c r="U256" s="334"/>
      <c r="V256" s="334"/>
      <c r="W256" s="334"/>
      <c r="X256" s="334"/>
      <c r="Y256" s="334"/>
      <c r="Z256" s="334"/>
      <c r="AA256" s="334"/>
      <c r="AB256" s="334"/>
      <c r="AC256" s="334"/>
      <c r="AD256" s="334"/>
    </row>
    <row r="257" ht="16.5" customHeight="1">
      <c r="A257" s="334"/>
      <c r="B257" s="329" t="str">
        <f>IFERROR(__xludf.DUMMYFUNCTION("""COMPUTED_VALUE"""),"INFNGOC288")</f>
        <v>INFNGOC288</v>
      </c>
      <c r="C257" s="329" t="s">
        <v>1643</v>
      </c>
      <c r="D257" s="331">
        <v>1.9035142662018E13</v>
      </c>
      <c r="E257" s="331"/>
      <c r="F257" s="331"/>
      <c r="G257" s="331">
        <f>iferror(sumifs('Hợp tác'!G:G,'Hợp tác'!A:A,B257,'Hợp tác'!H:H,$G$2,'Hợp tác'!I:I,$I$2),"")</f>
        <v>0</v>
      </c>
      <c r="H257" s="332">
        <f>SUMIFS(View!J:J,View!B:B,B257)</f>
        <v>0</v>
      </c>
      <c r="I257" s="332">
        <f>sumifs('Hoa Hồng'!L:L,'Hoa Hồng'!A:A,B257)</f>
        <v>0</v>
      </c>
      <c r="J257" s="332">
        <v>0.0</v>
      </c>
      <c r="K257" s="333" t="s">
        <v>1211</v>
      </c>
      <c r="L257" s="334"/>
      <c r="M257" s="334"/>
      <c r="N257" s="334"/>
      <c r="O257" s="334"/>
      <c r="P257" s="334"/>
      <c r="Q257" s="334"/>
      <c r="R257" s="334"/>
      <c r="S257" s="334"/>
      <c r="T257" s="334"/>
      <c r="U257" s="334"/>
      <c r="V257" s="334"/>
      <c r="W257" s="334"/>
      <c r="X257" s="334"/>
      <c r="Y257" s="334"/>
      <c r="Z257" s="334"/>
      <c r="AA257" s="334"/>
      <c r="AB257" s="334"/>
      <c r="AC257" s="334"/>
      <c r="AD257" s="334"/>
    </row>
    <row r="258" ht="16.5" customHeight="1">
      <c r="A258" s="334"/>
      <c r="B258" s="329" t="str">
        <f>IFERROR(__xludf.DUMMYFUNCTION("""COMPUTED_VALUE"""),"INFGIANG916")</f>
        <v>INFGIANG916</v>
      </c>
      <c r="C258" s="329" t="s">
        <v>1644</v>
      </c>
      <c r="D258" s="331">
        <v>1.01001136793E11</v>
      </c>
      <c r="E258" s="331" t="s">
        <v>1644</v>
      </c>
      <c r="F258" s="331" t="s">
        <v>1525</v>
      </c>
      <c r="G258" s="331">
        <f>iferror(sumifs('Hợp tác'!G:G,'Hợp tác'!A:A,B258,'Hợp tác'!H:H,$G$2,'Hợp tác'!I:I,$I$2),"")</f>
        <v>0</v>
      </c>
      <c r="H258" s="332">
        <f>SUMIFS(View!J:J,View!B:B,B258)</f>
        <v>0</v>
      </c>
      <c r="I258" s="332">
        <f>sumifs('Hoa Hồng'!L:L,'Hoa Hồng'!A:A,B258)</f>
        <v>0</v>
      </c>
      <c r="J258" s="332">
        <v>0.0</v>
      </c>
      <c r="K258" s="333" t="s">
        <v>1211</v>
      </c>
      <c r="L258" s="334"/>
      <c r="M258" s="334"/>
      <c r="N258" s="334"/>
      <c r="O258" s="334"/>
      <c r="P258" s="334"/>
      <c r="Q258" s="334"/>
      <c r="R258" s="334"/>
      <c r="S258" s="334"/>
      <c r="T258" s="334"/>
      <c r="U258" s="334"/>
      <c r="V258" s="334"/>
      <c r="W258" s="334"/>
      <c r="X258" s="334"/>
      <c r="Y258" s="334"/>
      <c r="Z258" s="334"/>
      <c r="AA258" s="334"/>
      <c r="AB258" s="334"/>
      <c r="AC258" s="334"/>
      <c r="AD258" s="334"/>
    </row>
    <row r="259" ht="16.5" customHeight="1">
      <c r="A259" s="334"/>
      <c r="B259" s="329" t="str">
        <f>IFERROR(__xludf.DUMMYFUNCTION("""COMPUTED_VALUE"""),"INFLOI899")</f>
        <v>INFLOI899</v>
      </c>
      <c r="C259" s="329" t="s">
        <v>1645</v>
      </c>
      <c r="D259" s="331">
        <v>4.3110000908691E13</v>
      </c>
      <c r="E259" s="331" t="s">
        <v>1645</v>
      </c>
      <c r="F259" s="331" t="s">
        <v>1646</v>
      </c>
      <c r="G259" s="331">
        <f>iferror(sumifs('Hợp tác'!G:G,'Hợp tác'!A:A,B259,'Hợp tác'!H:H,$G$2,'Hợp tác'!I:I,$I$2),"")</f>
        <v>0</v>
      </c>
      <c r="H259" s="332">
        <f>SUMIFS(View!J:J,View!B:B,B259)</f>
        <v>0</v>
      </c>
      <c r="I259" s="332">
        <f>sumifs('Hoa Hồng'!L:L,'Hoa Hồng'!A:A,B259)</f>
        <v>0</v>
      </c>
      <c r="J259" s="332">
        <v>0.0</v>
      </c>
      <c r="K259" s="333" t="s">
        <v>1211</v>
      </c>
      <c r="L259" s="334"/>
      <c r="M259" s="334"/>
      <c r="N259" s="334"/>
      <c r="O259" s="334"/>
      <c r="P259" s="334"/>
      <c r="Q259" s="334"/>
      <c r="R259" s="334"/>
      <c r="S259" s="334"/>
      <c r="T259" s="334"/>
      <c r="U259" s="334"/>
      <c r="V259" s="334"/>
      <c r="W259" s="334"/>
      <c r="X259" s="334"/>
      <c r="Y259" s="334"/>
      <c r="Z259" s="334"/>
      <c r="AA259" s="334"/>
      <c r="AB259" s="334"/>
      <c r="AC259" s="334"/>
      <c r="AD259" s="334"/>
    </row>
    <row r="260" ht="16.5" customHeight="1">
      <c r="A260" s="334"/>
      <c r="B260" s="329" t="str">
        <f>IFERROR(__xludf.DUMMYFUNCTION("""COMPUTED_VALUE"""),"INFQUYEN404")</f>
        <v>INFQUYEN404</v>
      </c>
      <c r="C260" s="329" t="s">
        <v>1647</v>
      </c>
      <c r="D260" s="331">
        <v>1.8550838668E10</v>
      </c>
      <c r="E260" s="331" t="s">
        <v>1648</v>
      </c>
      <c r="F260" s="331" t="s">
        <v>1649</v>
      </c>
      <c r="G260" s="331">
        <f>iferror(sumifs('Hợp tác'!G:G,'Hợp tác'!A:A,B260,'Hợp tác'!H:H,$G$2,'Hợp tác'!I:I,$I$2),"")</f>
        <v>0</v>
      </c>
      <c r="H260" s="332">
        <f>SUMIFS(View!J:J,View!B:B,B260)</f>
        <v>0</v>
      </c>
      <c r="I260" s="332">
        <f>sumifs('Hoa Hồng'!L:L,'Hoa Hồng'!A:A,B260)</f>
        <v>0</v>
      </c>
      <c r="J260" s="332">
        <v>0.0</v>
      </c>
      <c r="K260" s="333" t="s">
        <v>1211</v>
      </c>
      <c r="L260" s="334"/>
      <c r="M260" s="334"/>
      <c r="N260" s="334"/>
      <c r="O260" s="334"/>
      <c r="P260" s="334"/>
      <c r="Q260" s="334"/>
      <c r="R260" s="334"/>
      <c r="S260" s="334"/>
      <c r="T260" s="334"/>
      <c r="U260" s="334"/>
      <c r="V260" s="334"/>
      <c r="W260" s="334"/>
      <c r="X260" s="334"/>
      <c r="Y260" s="334"/>
      <c r="Z260" s="334"/>
      <c r="AA260" s="334"/>
      <c r="AB260" s="334"/>
      <c r="AC260" s="334"/>
      <c r="AD260" s="334"/>
    </row>
    <row r="261" ht="16.5" customHeight="1">
      <c r="A261" s="334"/>
      <c r="B261" s="329" t="str">
        <f>IFERROR(__xludf.DUMMYFUNCTION("""COMPUTED_VALUE"""),"INFVY915")</f>
        <v>INFVY915</v>
      </c>
      <c r="C261" s="329" t="s">
        <v>1650</v>
      </c>
      <c r="D261" s="331" t="s">
        <v>1651</v>
      </c>
      <c r="E261" s="331" t="s">
        <v>1652</v>
      </c>
      <c r="F261" s="331" t="s">
        <v>1653</v>
      </c>
      <c r="G261" s="331">
        <f>iferror(sumifs('Hợp tác'!G:G,'Hợp tác'!A:A,B261,'Hợp tác'!H:H,$G$2,'Hợp tác'!I:I,$I$2),"")</f>
        <v>0</v>
      </c>
      <c r="H261" s="332">
        <f>SUMIFS(View!J:J,View!B:B,B261)</f>
        <v>0</v>
      </c>
      <c r="I261" s="332">
        <f>sumifs('Hoa Hồng'!L:L,'Hoa Hồng'!A:A,B261)</f>
        <v>0</v>
      </c>
      <c r="J261" s="332">
        <v>0.0</v>
      </c>
      <c r="K261" s="333" t="s">
        <v>1211</v>
      </c>
      <c r="L261" s="334"/>
      <c r="M261" s="334"/>
      <c r="N261" s="334"/>
      <c r="O261" s="334"/>
      <c r="P261" s="334"/>
      <c r="Q261" s="334"/>
      <c r="R261" s="334"/>
      <c r="S261" s="334"/>
      <c r="T261" s="334"/>
      <c r="U261" s="334"/>
      <c r="V261" s="334"/>
      <c r="W261" s="334"/>
      <c r="X261" s="334"/>
      <c r="Y261" s="334"/>
      <c r="Z261" s="334"/>
      <c r="AA261" s="334"/>
      <c r="AB261" s="334"/>
      <c r="AC261" s="334"/>
      <c r="AD261" s="334"/>
    </row>
    <row r="262" ht="16.5" customHeight="1">
      <c r="A262" s="334"/>
      <c r="B262" s="329" t="str">
        <f>IFERROR(__xludf.DUMMYFUNCTION("""COMPUTED_VALUE"""),"INFCHUAN823")</f>
        <v>INFCHUAN823</v>
      </c>
      <c r="C262" s="329" t="s">
        <v>1654</v>
      </c>
      <c r="D262" s="331">
        <v>2.2010003451284E13</v>
      </c>
      <c r="E262" s="331" t="s">
        <v>1655</v>
      </c>
      <c r="F262" s="331" t="s">
        <v>90</v>
      </c>
      <c r="G262" s="331">
        <f>iferror(sumifs('Hợp tác'!G:G,'Hợp tác'!A:A,B262,'Hợp tác'!H:H,$G$2,'Hợp tác'!I:I,$I$2),"")</f>
        <v>0</v>
      </c>
      <c r="H262" s="332">
        <f>SUMIFS(View!J:J,View!B:B,B262)</f>
        <v>0</v>
      </c>
      <c r="I262" s="332">
        <f>sumifs('Hoa Hồng'!L:L,'Hoa Hồng'!A:A,B262)</f>
        <v>0</v>
      </c>
      <c r="J262" s="332">
        <v>0.0</v>
      </c>
      <c r="K262" s="333" t="s">
        <v>1211</v>
      </c>
      <c r="L262" s="334"/>
      <c r="M262" s="334"/>
      <c r="N262" s="334"/>
      <c r="O262" s="334"/>
      <c r="P262" s="334"/>
      <c r="Q262" s="334"/>
      <c r="R262" s="334"/>
      <c r="S262" s="334"/>
      <c r="T262" s="334"/>
      <c r="U262" s="334"/>
      <c r="V262" s="334"/>
      <c r="W262" s="334"/>
      <c r="X262" s="334"/>
      <c r="Y262" s="334"/>
      <c r="Z262" s="334"/>
      <c r="AA262" s="334"/>
      <c r="AB262" s="334"/>
      <c r="AC262" s="334"/>
      <c r="AD262" s="334"/>
    </row>
    <row r="263" ht="16.5" customHeight="1">
      <c r="A263" s="334"/>
      <c r="B263" s="329" t="str">
        <f>IFERROR(__xludf.DUMMYFUNCTION("""COMPUTED_VALUE"""),"INFTRUONG900")</f>
        <v>INFTRUONG900</v>
      </c>
      <c r="C263" s="329" t="s">
        <v>1656</v>
      </c>
      <c r="D263" s="331"/>
      <c r="E263" s="331"/>
      <c r="F263" s="331"/>
      <c r="G263" s="331">
        <f>iferror(sumifs('Hợp tác'!G:G,'Hợp tác'!A:A,B263,'Hợp tác'!H:H,$G$2,'Hợp tác'!I:I,$I$2),"")</f>
        <v>0</v>
      </c>
      <c r="H263" s="332">
        <f>SUMIFS(View!J:J,View!B:B,B263)</f>
        <v>0</v>
      </c>
      <c r="I263" s="332">
        <f>sumifs('Hoa Hồng'!L:L,'Hoa Hồng'!A:A,B263)</f>
        <v>0</v>
      </c>
      <c r="J263" s="332">
        <v>0.0</v>
      </c>
      <c r="K263" s="333" t="s">
        <v>1211</v>
      </c>
      <c r="L263" s="334"/>
      <c r="M263" s="334"/>
      <c r="N263" s="334"/>
      <c r="O263" s="334"/>
      <c r="P263" s="334"/>
      <c r="Q263" s="334"/>
      <c r="R263" s="334"/>
      <c r="S263" s="334"/>
      <c r="T263" s="334"/>
      <c r="U263" s="334"/>
      <c r="V263" s="334"/>
      <c r="W263" s="334"/>
      <c r="X263" s="334"/>
      <c r="Y263" s="334"/>
      <c r="Z263" s="334"/>
      <c r="AA263" s="334"/>
      <c r="AB263" s="334"/>
      <c r="AC263" s="334"/>
      <c r="AD263" s="334"/>
    </row>
    <row r="264" ht="16.5" customHeight="1">
      <c r="A264" s="334"/>
      <c r="B264" s="329" t="str">
        <f>IFERROR(__xludf.DUMMYFUNCTION("""COMPUTED_VALUE"""),"INFHUY231")</f>
        <v>INFHUY231</v>
      </c>
      <c r="C264" s="329" t="s">
        <v>1657</v>
      </c>
      <c r="D264" s="331">
        <v>2.870406014121E13</v>
      </c>
      <c r="E264" s="331" t="s">
        <v>1657</v>
      </c>
      <c r="F264" s="331" t="s">
        <v>1658</v>
      </c>
      <c r="G264" s="331">
        <f>iferror(sumifs('Hợp tác'!G:G,'Hợp tác'!A:A,B264,'Hợp tác'!H:H,$G$2,'Hợp tác'!I:I,$I$2),"")</f>
        <v>0</v>
      </c>
      <c r="H264" s="332">
        <f>SUMIFS(View!J:J,View!B:B,B264)</f>
        <v>0</v>
      </c>
      <c r="I264" s="332">
        <f>sumifs('Hoa Hồng'!L:L,'Hoa Hồng'!A:A,B264)</f>
        <v>0</v>
      </c>
      <c r="J264" s="332">
        <v>0.0</v>
      </c>
      <c r="K264" s="333" t="s">
        <v>1211</v>
      </c>
      <c r="L264" s="334"/>
      <c r="M264" s="334"/>
      <c r="N264" s="334"/>
      <c r="O264" s="334"/>
      <c r="P264" s="334"/>
      <c r="Q264" s="334"/>
      <c r="R264" s="334"/>
      <c r="S264" s="334"/>
      <c r="T264" s="334"/>
      <c r="U264" s="334"/>
      <c r="V264" s="334"/>
      <c r="W264" s="334"/>
      <c r="X264" s="334"/>
      <c r="Y264" s="334"/>
      <c r="Z264" s="334"/>
      <c r="AA264" s="334"/>
      <c r="AB264" s="334"/>
      <c r="AC264" s="334"/>
      <c r="AD264" s="334"/>
    </row>
    <row r="265" ht="16.5" customHeight="1">
      <c r="A265" s="334"/>
      <c r="B265" s="329" t="str">
        <f>IFERROR(__xludf.DUMMYFUNCTION("""COMPUTED_VALUE"""),"INFANH989")</f>
        <v>INFANH989</v>
      </c>
      <c r="C265" s="329" t="s">
        <v>1659</v>
      </c>
      <c r="D265" s="331">
        <v>1.07868423933E11</v>
      </c>
      <c r="E265" s="331" t="s">
        <v>1660</v>
      </c>
      <c r="F265" s="331" t="s">
        <v>101</v>
      </c>
      <c r="G265" s="331">
        <f>iferror(sumifs('Hợp tác'!G:G,'Hợp tác'!A:A,B265,'Hợp tác'!H:H,$G$2,'Hợp tác'!I:I,$I$2),"")</f>
        <v>0</v>
      </c>
      <c r="H265" s="332">
        <f>SUMIFS(View!J:J,View!B:B,B265)</f>
        <v>0</v>
      </c>
      <c r="I265" s="332">
        <f>sumifs('Hoa Hồng'!L:L,'Hoa Hồng'!A:A,B265)</f>
        <v>0</v>
      </c>
      <c r="J265" s="332">
        <v>0.0</v>
      </c>
      <c r="K265" s="333" t="s">
        <v>1211</v>
      </c>
      <c r="L265" s="334"/>
      <c r="M265" s="334"/>
      <c r="N265" s="334"/>
      <c r="O265" s="334"/>
      <c r="P265" s="334"/>
      <c r="Q265" s="334"/>
      <c r="R265" s="334"/>
      <c r="S265" s="334"/>
      <c r="T265" s="334"/>
      <c r="U265" s="334"/>
      <c r="V265" s="334"/>
      <c r="W265" s="334"/>
      <c r="X265" s="334"/>
      <c r="Y265" s="334"/>
      <c r="Z265" s="334"/>
      <c r="AA265" s="334"/>
      <c r="AB265" s="334"/>
      <c r="AC265" s="334"/>
      <c r="AD265" s="334"/>
    </row>
    <row r="266" ht="16.5" customHeight="1">
      <c r="A266" s="334"/>
      <c r="B266" s="329" t="str">
        <f>IFERROR(__xludf.DUMMYFUNCTION("""COMPUTED_VALUE"""),"INFHUE986")</f>
        <v>INFHUE986</v>
      </c>
      <c r="C266" s="329" t="s">
        <v>1661</v>
      </c>
      <c r="D266" s="331">
        <v>1.9021855074026E13</v>
      </c>
      <c r="E266" s="331" t="s">
        <v>1661</v>
      </c>
      <c r="F266" s="331" t="s">
        <v>1662</v>
      </c>
      <c r="G266" s="331">
        <f>iferror(sumifs('Hợp tác'!G:G,'Hợp tác'!A:A,B266,'Hợp tác'!H:H,$G$2,'Hợp tác'!I:I,$I$2),"")</f>
        <v>0</v>
      </c>
      <c r="H266" s="332">
        <f>SUMIFS(View!J:J,View!B:B,B266)</f>
        <v>0</v>
      </c>
      <c r="I266" s="332">
        <f>sumifs('Hoa Hồng'!L:L,'Hoa Hồng'!A:A,B266)</f>
        <v>0</v>
      </c>
      <c r="J266" s="332">
        <v>0.0</v>
      </c>
      <c r="K266" s="333" t="s">
        <v>1211</v>
      </c>
      <c r="L266" s="334"/>
      <c r="M266" s="334"/>
      <c r="N266" s="334"/>
      <c r="O266" s="334"/>
      <c r="P266" s="334"/>
      <c r="Q266" s="334"/>
      <c r="R266" s="334"/>
      <c r="S266" s="334"/>
      <c r="T266" s="334"/>
      <c r="U266" s="334"/>
      <c r="V266" s="334"/>
      <c r="W266" s="334"/>
      <c r="X266" s="334"/>
      <c r="Y266" s="334"/>
      <c r="Z266" s="334"/>
      <c r="AA266" s="334"/>
      <c r="AB266" s="334"/>
      <c r="AC266" s="334"/>
      <c r="AD266" s="334"/>
    </row>
    <row r="267" ht="16.5" customHeight="1">
      <c r="A267" s="334"/>
      <c r="B267" s="329" t="str">
        <f>IFERROR(__xludf.DUMMYFUNCTION("""COMPUTED_VALUE"""),"INFTHANH806")</f>
        <v>INFTHANH806</v>
      </c>
      <c r="C267" s="329" t="s">
        <v>1663</v>
      </c>
      <c r="D267" s="331"/>
      <c r="E267" s="331"/>
      <c r="F267" s="331"/>
      <c r="G267" s="331">
        <f>iferror(sumifs('Hợp tác'!G:G,'Hợp tác'!A:A,B267,'Hợp tác'!H:H,$G$2,'Hợp tác'!I:I,$I$2),"")</f>
        <v>0</v>
      </c>
      <c r="H267" s="332">
        <f>SUMIFS(View!J:J,View!B:B,B267)</f>
        <v>0</v>
      </c>
      <c r="I267" s="332">
        <f>sumifs('Hoa Hồng'!L:L,'Hoa Hồng'!A:A,B267)</f>
        <v>0</v>
      </c>
      <c r="J267" s="332">
        <v>0.0</v>
      </c>
      <c r="K267" s="333" t="s">
        <v>1211</v>
      </c>
      <c r="L267" s="334"/>
      <c r="M267" s="334"/>
      <c r="N267" s="334"/>
      <c r="O267" s="334"/>
      <c r="P267" s="334"/>
      <c r="Q267" s="334"/>
      <c r="R267" s="334"/>
      <c r="S267" s="334"/>
      <c r="T267" s="334"/>
      <c r="U267" s="334"/>
      <c r="V267" s="334"/>
      <c r="W267" s="334"/>
      <c r="X267" s="334"/>
      <c r="Y267" s="334"/>
      <c r="Z267" s="334"/>
      <c r="AA267" s="334"/>
      <c r="AB267" s="334"/>
      <c r="AC267" s="334"/>
      <c r="AD267" s="334"/>
    </row>
    <row r="268" ht="16.5" customHeight="1">
      <c r="A268" s="334"/>
      <c r="B268" s="329" t="str">
        <f>IFERROR(__xludf.DUMMYFUNCTION("""COMPUTED_VALUE"""),"INFTUAN079")</f>
        <v>INFTUAN079</v>
      </c>
      <c r="C268" s="329" t="s">
        <v>1664</v>
      </c>
      <c r="D268" s="331">
        <v>1.08868089288E11</v>
      </c>
      <c r="E268" s="331"/>
      <c r="F268" s="331" t="s">
        <v>1665</v>
      </c>
      <c r="G268" s="331">
        <f>iferror(sumifs('Hợp tác'!G:G,'Hợp tác'!A:A,B268,'Hợp tác'!H:H,$G$2,'Hợp tác'!I:I,$I$2),"")</f>
        <v>0</v>
      </c>
      <c r="H268" s="332">
        <f>SUMIFS(View!J:J,View!B:B,B268)</f>
        <v>0</v>
      </c>
      <c r="I268" s="332">
        <f>sumifs('Hoa Hồng'!L:L,'Hoa Hồng'!A:A,B268)</f>
        <v>0</v>
      </c>
      <c r="J268" s="332">
        <v>0.0</v>
      </c>
      <c r="K268" s="333" t="s">
        <v>1211</v>
      </c>
      <c r="L268" s="334"/>
      <c r="M268" s="334"/>
      <c r="N268" s="334"/>
      <c r="O268" s="334"/>
      <c r="P268" s="334"/>
      <c r="Q268" s="334"/>
      <c r="R268" s="334"/>
      <c r="S268" s="334"/>
      <c r="T268" s="334"/>
      <c r="U268" s="334"/>
      <c r="V268" s="334"/>
      <c r="W268" s="334"/>
      <c r="X268" s="334"/>
      <c r="Y268" s="334"/>
      <c r="Z268" s="334"/>
      <c r="AA268" s="334"/>
      <c r="AB268" s="334"/>
      <c r="AC268" s="334"/>
      <c r="AD268" s="334"/>
    </row>
    <row r="269" ht="16.5" customHeight="1">
      <c r="A269" s="334"/>
      <c r="B269" s="329" t="str">
        <f>IFERROR(__xludf.DUMMYFUNCTION("""COMPUTED_VALUE"""),"INFTUAN595")</f>
        <v>INFTUAN595</v>
      </c>
      <c r="C269" s="329" t="s">
        <v>1666</v>
      </c>
      <c r="D269" s="331">
        <v>9.950126969999E12</v>
      </c>
      <c r="E269" s="331" t="s">
        <v>1666</v>
      </c>
      <c r="F269" s="331" t="s">
        <v>1667</v>
      </c>
      <c r="G269" s="331">
        <f>iferror(sumifs('Hợp tác'!G:G,'Hợp tác'!A:A,B269,'Hợp tác'!H:H,$G$2,'Hợp tác'!I:I,$I$2),"")</f>
        <v>0</v>
      </c>
      <c r="H269" s="332">
        <f>SUMIFS(View!J:J,View!B:B,B269)</f>
        <v>0</v>
      </c>
      <c r="I269" s="332">
        <f>sumifs('Hoa Hồng'!L:L,'Hoa Hồng'!A:A,B269)</f>
        <v>0</v>
      </c>
      <c r="J269" s="332">
        <v>0.0</v>
      </c>
      <c r="K269" s="333" t="s">
        <v>1211</v>
      </c>
      <c r="L269" s="334"/>
      <c r="M269" s="334"/>
      <c r="N269" s="334"/>
      <c r="O269" s="334"/>
      <c r="P269" s="334"/>
      <c r="Q269" s="334"/>
      <c r="R269" s="334"/>
      <c r="S269" s="334"/>
      <c r="T269" s="334"/>
      <c r="U269" s="334"/>
      <c r="V269" s="334"/>
      <c r="W269" s="334"/>
      <c r="X269" s="334"/>
      <c r="Y269" s="334"/>
      <c r="Z269" s="334"/>
      <c r="AA269" s="334"/>
      <c r="AB269" s="334"/>
      <c r="AC269" s="334"/>
      <c r="AD269" s="334"/>
    </row>
    <row r="270" ht="16.5" customHeight="1">
      <c r="A270" s="334"/>
      <c r="B270" s="329" t="str">
        <f>IFERROR(__xludf.DUMMYFUNCTION("""COMPUTED_VALUE"""),"INFTUAN884")</f>
        <v>INFTUAN884</v>
      </c>
      <c r="C270" s="329" t="s">
        <v>1668</v>
      </c>
      <c r="D270" s="331">
        <v>3.01120507361E12</v>
      </c>
      <c r="E270" s="331" t="s">
        <v>1668</v>
      </c>
      <c r="F270" s="331" t="s">
        <v>106</v>
      </c>
      <c r="G270" s="331">
        <f>iferror(sumifs('Hợp tác'!G:G,'Hợp tác'!A:A,B270,'Hợp tác'!H:H,$G$2,'Hợp tác'!I:I,$I$2),"")</f>
        <v>0</v>
      </c>
      <c r="H270" s="332">
        <f>SUMIFS(View!J:J,View!B:B,B270)</f>
        <v>0</v>
      </c>
      <c r="I270" s="332">
        <f>sumifs('Hoa Hồng'!L:L,'Hoa Hồng'!A:A,B270)</f>
        <v>0</v>
      </c>
      <c r="J270" s="332">
        <v>0.0</v>
      </c>
      <c r="K270" s="333" t="s">
        <v>1211</v>
      </c>
      <c r="L270" s="334"/>
      <c r="M270" s="334"/>
      <c r="N270" s="334"/>
      <c r="O270" s="334"/>
      <c r="P270" s="334"/>
      <c r="Q270" s="334"/>
      <c r="R270" s="334"/>
      <c r="S270" s="334"/>
      <c r="T270" s="334"/>
      <c r="U270" s="334"/>
      <c r="V270" s="334"/>
      <c r="W270" s="334"/>
      <c r="X270" s="334"/>
      <c r="Y270" s="334"/>
      <c r="Z270" s="334"/>
      <c r="AA270" s="334"/>
      <c r="AB270" s="334"/>
      <c r="AC270" s="334"/>
      <c r="AD270" s="334"/>
    </row>
    <row r="271" ht="16.5" customHeight="1">
      <c r="A271" s="334"/>
      <c r="B271" s="329" t="str">
        <f>IFERROR(__xludf.DUMMYFUNCTION("""COMPUTED_VALUE"""),"INFMAI010")</f>
        <v>INFMAI010</v>
      </c>
      <c r="C271" s="329" t="s">
        <v>1669</v>
      </c>
      <c r="D271" s="331">
        <v>1.012673809E9</v>
      </c>
      <c r="E271" s="331" t="s">
        <v>1669</v>
      </c>
      <c r="F271" s="331" t="s">
        <v>39</v>
      </c>
      <c r="G271" s="331">
        <f>iferror(sumifs('Hợp tác'!G:G,'Hợp tác'!A:A,B271,'Hợp tác'!H:H,$G$2,'Hợp tác'!I:I,$I$2),"")</f>
        <v>0</v>
      </c>
      <c r="H271" s="332">
        <f>SUMIFS(View!J:J,View!B:B,B271)</f>
        <v>0</v>
      </c>
      <c r="I271" s="332">
        <f>sumifs('Hoa Hồng'!L:L,'Hoa Hồng'!A:A,B271)</f>
        <v>0</v>
      </c>
      <c r="J271" s="332">
        <v>0.0</v>
      </c>
      <c r="K271" s="333" t="s">
        <v>1211</v>
      </c>
      <c r="L271" s="334"/>
      <c r="M271" s="334"/>
      <c r="N271" s="334"/>
      <c r="O271" s="334"/>
      <c r="P271" s="334"/>
      <c r="Q271" s="334"/>
      <c r="R271" s="334"/>
      <c r="S271" s="334"/>
      <c r="T271" s="334"/>
      <c r="U271" s="334"/>
      <c r="V271" s="334"/>
      <c r="W271" s="334"/>
      <c r="X271" s="334"/>
      <c r="Y271" s="334"/>
      <c r="Z271" s="334"/>
      <c r="AA271" s="334"/>
      <c r="AB271" s="334"/>
      <c r="AC271" s="334"/>
      <c r="AD271" s="334"/>
    </row>
    <row r="272" ht="16.5" customHeight="1">
      <c r="A272" s="334"/>
      <c r="B272" s="329" t="str">
        <f>IFERROR(__xludf.DUMMYFUNCTION("""COMPUTED_VALUE"""),"INFTHAO815")</f>
        <v>INFTHAO815</v>
      </c>
      <c r="C272" s="329" t="s">
        <v>1670</v>
      </c>
      <c r="D272" s="331">
        <v>1.016512566E9</v>
      </c>
      <c r="E272" s="331" t="s">
        <v>1671</v>
      </c>
      <c r="F272" s="331" t="s">
        <v>19</v>
      </c>
      <c r="G272" s="331">
        <f>iferror(sumifs('Hợp tác'!G:G,'Hợp tác'!A:A,B272,'Hợp tác'!H:H,$G$2,'Hợp tác'!I:I,$I$2),"")</f>
        <v>0</v>
      </c>
      <c r="H272" s="332">
        <f>SUMIFS(View!J:J,View!B:B,B272)</f>
        <v>0</v>
      </c>
      <c r="I272" s="332">
        <f>sumifs('Hoa Hồng'!L:L,'Hoa Hồng'!A:A,B272)</f>
        <v>0</v>
      </c>
      <c r="J272" s="332">
        <v>0.0</v>
      </c>
      <c r="K272" s="333" t="s">
        <v>1211</v>
      </c>
      <c r="L272" s="334"/>
      <c r="M272" s="334"/>
      <c r="N272" s="334"/>
      <c r="O272" s="334"/>
      <c r="P272" s="334"/>
      <c r="Q272" s="334"/>
      <c r="R272" s="334"/>
      <c r="S272" s="334"/>
      <c r="T272" s="334"/>
      <c r="U272" s="334"/>
      <c r="V272" s="334"/>
      <c r="W272" s="334"/>
      <c r="X272" s="334"/>
      <c r="Y272" s="334"/>
      <c r="Z272" s="334"/>
      <c r="AA272" s="334"/>
      <c r="AB272" s="334"/>
      <c r="AC272" s="334"/>
      <c r="AD272" s="334"/>
    </row>
    <row r="273" ht="16.5" customHeight="1">
      <c r="A273" s="334"/>
      <c r="B273" s="329" t="str">
        <f>IFERROR(__xludf.DUMMYFUNCTION("""COMPUTED_VALUE"""),"INFTRAN804")</f>
        <v>INFTRAN804</v>
      </c>
      <c r="C273" s="329" t="s">
        <v>1672</v>
      </c>
      <c r="D273" s="331">
        <v>1.012693657E9</v>
      </c>
      <c r="E273" s="331" t="s">
        <v>1673</v>
      </c>
      <c r="F273" s="331" t="s">
        <v>39</v>
      </c>
      <c r="G273" s="331">
        <f>iferror(sumifs('Hợp tác'!G:G,'Hợp tác'!A:A,B273,'Hợp tác'!H:H,$G$2,'Hợp tác'!I:I,$I$2),"")</f>
        <v>0</v>
      </c>
      <c r="H273" s="332">
        <f>SUMIFS(View!J:J,View!B:B,B273)</f>
        <v>0</v>
      </c>
      <c r="I273" s="332">
        <f>sumifs('Hoa Hồng'!L:L,'Hoa Hồng'!A:A,B273)</f>
        <v>0</v>
      </c>
      <c r="J273" s="332">
        <v>0.0</v>
      </c>
      <c r="K273" s="333" t="s">
        <v>1211</v>
      </c>
      <c r="L273" s="334"/>
      <c r="M273" s="334"/>
      <c r="N273" s="334"/>
      <c r="O273" s="334"/>
      <c r="P273" s="334"/>
      <c r="Q273" s="334"/>
      <c r="R273" s="334"/>
      <c r="S273" s="334"/>
      <c r="T273" s="334"/>
      <c r="U273" s="334"/>
      <c r="V273" s="334"/>
      <c r="W273" s="334"/>
      <c r="X273" s="334"/>
      <c r="Y273" s="334"/>
      <c r="Z273" s="334"/>
      <c r="AA273" s="334"/>
      <c r="AB273" s="334"/>
      <c r="AC273" s="334"/>
      <c r="AD273" s="334"/>
    </row>
    <row r="274" ht="16.5" customHeight="1">
      <c r="A274" s="334"/>
      <c r="B274" s="329" t="str">
        <f>IFERROR(__xludf.DUMMYFUNCTION("""COMPUTED_VALUE"""),"INFY145")</f>
        <v>INFY145</v>
      </c>
      <c r="C274" s="329" t="s">
        <v>1674</v>
      </c>
      <c r="D274" s="331" t="s">
        <v>1675</v>
      </c>
      <c r="E274" s="331" t="s">
        <v>1676</v>
      </c>
      <c r="F274" s="331" t="s">
        <v>39</v>
      </c>
      <c r="G274" s="331">
        <f>iferror(sumifs('Hợp tác'!G:G,'Hợp tác'!A:A,B274,'Hợp tác'!H:H,$G$2,'Hợp tác'!I:I,$I$2),"")</f>
        <v>0</v>
      </c>
      <c r="H274" s="332">
        <f>SUMIFS(View!J:J,View!B:B,B274)</f>
        <v>0</v>
      </c>
      <c r="I274" s="332">
        <f>sumifs('Hoa Hồng'!L:L,'Hoa Hồng'!A:A,B274)</f>
        <v>0</v>
      </c>
      <c r="J274" s="332">
        <v>0.0</v>
      </c>
      <c r="K274" s="333" t="s">
        <v>1211</v>
      </c>
      <c r="L274" s="334"/>
      <c r="M274" s="334"/>
      <c r="N274" s="334"/>
      <c r="O274" s="334"/>
      <c r="P274" s="334"/>
      <c r="Q274" s="334"/>
      <c r="R274" s="334"/>
      <c r="S274" s="334"/>
      <c r="T274" s="334"/>
      <c r="U274" s="334"/>
      <c r="V274" s="334"/>
      <c r="W274" s="334"/>
      <c r="X274" s="334"/>
      <c r="Y274" s="334"/>
      <c r="Z274" s="334"/>
      <c r="AA274" s="334"/>
      <c r="AB274" s="334"/>
      <c r="AC274" s="334"/>
      <c r="AD274" s="334"/>
    </row>
    <row r="275" ht="16.5" customHeight="1">
      <c r="A275" s="334"/>
      <c r="B275" s="329" t="str">
        <f>IFERROR(__xludf.DUMMYFUNCTION("""COMPUTED_VALUE"""),"INFVINH014")</f>
        <v>INFVINH014</v>
      </c>
      <c r="C275" s="329" t="s">
        <v>1677</v>
      </c>
      <c r="D275" s="331" t="s">
        <v>1678</v>
      </c>
      <c r="E275" s="331" t="s">
        <v>1679</v>
      </c>
      <c r="F275" s="331" t="s">
        <v>106</v>
      </c>
      <c r="G275" s="331">
        <f>iferror(sumifs('Hợp tác'!G:G,'Hợp tác'!A:A,B275,'Hợp tác'!H:H,$G$2,'Hợp tác'!I:I,$I$2),"")</f>
        <v>0</v>
      </c>
      <c r="H275" s="332">
        <f>SUMIFS(View!J:J,View!B:B,B275)</f>
        <v>0</v>
      </c>
      <c r="I275" s="332">
        <f>sumifs('Hoa Hồng'!L:L,'Hoa Hồng'!A:A,B275)</f>
        <v>0</v>
      </c>
      <c r="J275" s="332">
        <v>0.0</v>
      </c>
      <c r="K275" s="333" t="s">
        <v>1211</v>
      </c>
      <c r="L275" s="334"/>
      <c r="M275" s="334"/>
      <c r="N275" s="334"/>
      <c r="O275" s="334"/>
      <c r="P275" s="334"/>
      <c r="Q275" s="334"/>
      <c r="R275" s="334"/>
      <c r="S275" s="334"/>
      <c r="T275" s="334"/>
      <c r="U275" s="334"/>
      <c r="V275" s="334"/>
      <c r="W275" s="334"/>
      <c r="X275" s="334"/>
      <c r="Y275" s="334"/>
      <c r="Z275" s="334"/>
      <c r="AA275" s="334"/>
      <c r="AB275" s="334"/>
      <c r="AC275" s="334"/>
      <c r="AD275" s="334"/>
    </row>
    <row r="276" ht="16.5" customHeight="1">
      <c r="A276" s="334"/>
      <c r="B276" s="329" t="str">
        <f>IFERROR(__xludf.DUMMYFUNCTION("""COMPUTED_VALUE"""),"INFHUONG996")</f>
        <v>INFHUONG996</v>
      </c>
      <c r="C276" s="329" t="s">
        <v>1680</v>
      </c>
      <c r="D276" s="331"/>
      <c r="E276" s="331" t="s">
        <v>1457</v>
      </c>
      <c r="F276" s="331"/>
      <c r="G276" s="331">
        <f>iferror(sumifs('Hợp tác'!G:G,'Hợp tác'!A:A,B276,'Hợp tác'!H:H,$G$2,'Hợp tác'!I:I,$I$2),"")</f>
        <v>0</v>
      </c>
      <c r="H276" s="332">
        <f>SUMIFS(View!J:J,View!B:B,B276)</f>
        <v>0</v>
      </c>
      <c r="I276" s="332">
        <f>sumifs('Hoa Hồng'!L:L,'Hoa Hồng'!A:A,B276)</f>
        <v>0</v>
      </c>
      <c r="J276" s="332">
        <v>0.0</v>
      </c>
      <c r="K276" s="333" t="s">
        <v>1211</v>
      </c>
      <c r="L276" s="334"/>
      <c r="M276" s="334"/>
      <c r="N276" s="334"/>
      <c r="O276" s="334"/>
      <c r="P276" s="334"/>
      <c r="Q276" s="334"/>
      <c r="R276" s="334"/>
      <c r="S276" s="334"/>
      <c r="T276" s="334"/>
      <c r="U276" s="334"/>
      <c r="V276" s="334"/>
      <c r="W276" s="334"/>
      <c r="X276" s="334"/>
      <c r="Y276" s="334"/>
      <c r="Z276" s="334"/>
      <c r="AA276" s="334"/>
      <c r="AB276" s="334"/>
      <c r="AC276" s="334"/>
      <c r="AD276" s="334"/>
    </row>
    <row r="277" ht="16.5" customHeight="1">
      <c r="A277" s="334"/>
      <c r="B277" s="329" t="str">
        <f>IFERROR(__xludf.DUMMYFUNCTION("""COMPUTED_VALUE"""),"INFDUY153")</f>
        <v>INFDUY153</v>
      </c>
      <c r="C277" s="329" t="s">
        <v>1681</v>
      </c>
      <c r="D277" s="331" t="s">
        <v>1682</v>
      </c>
      <c r="E277" s="331"/>
      <c r="F277" s="331"/>
      <c r="G277" s="331">
        <f>iferror(sumifs('Hợp tác'!G:G,'Hợp tác'!A:A,B277,'Hợp tác'!H:H,$G$2,'Hợp tác'!I:I,$I$2),"")</f>
        <v>0</v>
      </c>
      <c r="H277" s="332">
        <f>SUMIFS(View!J:J,View!B:B,B277)</f>
        <v>0</v>
      </c>
      <c r="I277" s="332">
        <f>sumifs('Hoa Hồng'!L:L,'Hoa Hồng'!A:A,B277)</f>
        <v>0</v>
      </c>
      <c r="J277" s="332">
        <v>0.0</v>
      </c>
      <c r="K277" s="333" t="s">
        <v>1211</v>
      </c>
      <c r="L277" s="334"/>
      <c r="M277" s="334"/>
      <c r="N277" s="334"/>
      <c r="O277" s="334"/>
      <c r="P277" s="334"/>
      <c r="Q277" s="334"/>
      <c r="R277" s="334"/>
      <c r="S277" s="334"/>
      <c r="T277" s="334"/>
      <c r="U277" s="334"/>
      <c r="V277" s="334"/>
      <c r="W277" s="334"/>
      <c r="X277" s="334"/>
      <c r="Y277" s="334"/>
      <c r="Z277" s="334"/>
      <c r="AA277" s="334"/>
      <c r="AB277" s="334"/>
      <c r="AC277" s="334"/>
      <c r="AD277" s="334"/>
    </row>
    <row r="278" ht="16.5" customHeight="1">
      <c r="A278" s="334"/>
      <c r="B278" s="329" t="str">
        <f>IFERROR(__xludf.DUMMYFUNCTION("""COMPUTED_VALUE"""),"INFTIEN989")</f>
        <v>INFTIEN989</v>
      </c>
      <c r="C278" s="329" t="s">
        <v>1683</v>
      </c>
      <c r="D278" s="331" t="s">
        <v>1684</v>
      </c>
      <c r="E278" s="331" t="s">
        <v>1683</v>
      </c>
      <c r="F278" s="331" t="s">
        <v>1685</v>
      </c>
      <c r="G278" s="331">
        <f>iferror(sumifs('Hợp tác'!G:G,'Hợp tác'!A:A,B278,'Hợp tác'!H:H,$G$2,'Hợp tác'!I:I,$I$2),"")</f>
        <v>0</v>
      </c>
      <c r="H278" s="332">
        <f>SUMIFS(View!J:J,View!B:B,B278)</f>
        <v>0</v>
      </c>
      <c r="I278" s="332">
        <f>sumifs('Hoa Hồng'!L:L,'Hoa Hồng'!A:A,B278)</f>
        <v>0</v>
      </c>
      <c r="J278" s="332">
        <v>0.0</v>
      </c>
      <c r="K278" s="333" t="s">
        <v>1211</v>
      </c>
      <c r="L278" s="334"/>
      <c r="M278" s="334"/>
      <c r="N278" s="334"/>
      <c r="O278" s="334"/>
      <c r="P278" s="334"/>
      <c r="Q278" s="334"/>
      <c r="R278" s="334"/>
      <c r="S278" s="334"/>
      <c r="T278" s="334"/>
      <c r="U278" s="334"/>
      <c r="V278" s="334"/>
      <c r="W278" s="334"/>
      <c r="X278" s="334"/>
      <c r="Y278" s="334"/>
      <c r="Z278" s="334"/>
      <c r="AA278" s="334"/>
      <c r="AB278" s="334"/>
      <c r="AC278" s="334"/>
      <c r="AD278" s="334"/>
    </row>
    <row r="279" ht="16.5" customHeight="1">
      <c r="A279" s="334"/>
      <c r="B279" s="329" t="str">
        <f>IFERROR(__xludf.DUMMYFUNCTION("""COMPUTED_VALUE"""),"INFLUONG898")</f>
        <v>INFLUONG898</v>
      </c>
      <c r="C279" s="329" t="s">
        <v>1686</v>
      </c>
      <c r="D279" s="331" t="s">
        <v>1687</v>
      </c>
      <c r="E279" s="331" t="s">
        <v>1688</v>
      </c>
      <c r="F279" s="331" t="s">
        <v>187</v>
      </c>
      <c r="G279" s="331">
        <f>iferror(sumifs('Hợp tác'!G:G,'Hợp tác'!A:A,B279,'Hợp tác'!H:H,$G$2,'Hợp tác'!I:I,$I$2),"")</f>
        <v>0</v>
      </c>
      <c r="H279" s="332">
        <f>SUMIFS(View!J:J,View!B:B,B279)</f>
        <v>0</v>
      </c>
      <c r="I279" s="332">
        <f>sumifs('Hoa Hồng'!L:L,'Hoa Hồng'!A:A,B279)</f>
        <v>0</v>
      </c>
      <c r="J279" s="332">
        <v>0.0</v>
      </c>
      <c r="K279" s="333" t="s">
        <v>1211</v>
      </c>
      <c r="L279" s="334"/>
      <c r="M279" s="334"/>
      <c r="N279" s="334"/>
      <c r="O279" s="334"/>
      <c r="P279" s="334"/>
      <c r="Q279" s="334"/>
      <c r="R279" s="334"/>
      <c r="S279" s="334"/>
      <c r="T279" s="334"/>
      <c r="U279" s="334"/>
      <c r="V279" s="334"/>
      <c r="W279" s="334"/>
      <c r="X279" s="334"/>
      <c r="Y279" s="334"/>
      <c r="Z279" s="334"/>
      <c r="AA279" s="334"/>
      <c r="AB279" s="334"/>
      <c r="AC279" s="334"/>
      <c r="AD279" s="334"/>
    </row>
    <row r="280" ht="16.5" customHeight="1">
      <c r="A280" s="334"/>
      <c r="B280" s="329" t="str">
        <f>IFERROR(__xludf.DUMMYFUNCTION("""COMPUTED_VALUE"""),"INFHUONG633")</f>
        <v>INFHUONG633</v>
      </c>
      <c r="C280" s="329" t="s">
        <v>1680</v>
      </c>
      <c r="D280" s="331" t="s">
        <v>1689</v>
      </c>
      <c r="E280" s="331" t="s">
        <v>1690</v>
      </c>
      <c r="F280" s="331" t="s">
        <v>1288</v>
      </c>
      <c r="G280" s="331">
        <f>iferror(sumifs('Hợp tác'!G:G,'Hợp tác'!A:A,B280,'Hợp tác'!H:H,$G$2,'Hợp tác'!I:I,$I$2),"")</f>
        <v>0</v>
      </c>
      <c r="H280" s="332">
        <f>SUMIFS(View!J:J,View!B:B,B280)</f>
        <v>0</v>
      </c>
      <c r="I280" s="332">
        <f>sumifs('Hoa Hồng'!L:L,'Hoa Hồng'!A:A,B280)</f>
        <v>0</v>
      </c>
      <c r="J280" s="332">
        <v>0.0</v>
      </c>
      <c r="K280" s="333" t="s">
        <v>1211</v>
      </c>
      <c r="L280" s="334"/>
      <c r="M280" s="334"/>
      <c r="N280" s="334"/>
      <c r="O280" s="334"/>
      <c r="P280" s="334"/>
      <c r="Q280" s="334"/>
      <c r="R280" s="334"/>
      <c r="S280" s="334"/>
      <c r="T280" s="334"/>
      <c r="U280" s="334"/>
      <c r="V280" s="334"/>
      <c r="W280" s="334"/>
      <c r="X280" s="334"/>
      <c r="Y280" s="334"/>
      <c r="Z280" s="334"/>
      <c r="AA280" s="334"/>
      <c r="AB280" s="334"/>
      <c r="AC280" s="334"/>
      <c r="AD280" s="334"/>
    </row>
    <row r="281" ht="16.5" customHeight="1">
      <c r="A281" s="334"/>
      <c r="B281" s="329" t="str">
        <f>IFERROR(__xludf.DUMMYFUNCTION("""COMPUTED_VALUE"""),"INFTHU186")</f>
        <v>INFTHU186</v>
      </c>
      <c r="C281" s="329" t="s">
        <v>1691</v>
      </c>
      <c r="D281" s="331">
        <v>1.5110000846231E13</v>
      </c>
      <c r="E281" s="331" t="s">
        <v>1692</v>
      </c>
      <c r="F281" s="331" t="s">
        <v>90</v>
      </c>
      <c r="G281" s="331">
        <f>iferror(sumifs('Hợp tác'!G:G,'Hợp tác'!A:A,B281,'Hợp tác'!H:H,$G$2,'Hợp tác'!I:I,$I$2),"")</f>
        <v>0</v>
      </c>
      <c r="H281" s="332">
        <f>SUMIFS(View!J:J,View!B:B,B281)</f>
        <v>0</v>
      </c>
      <c r="I281" s="332">
        <f>sumifs('Hoa Hồng'!L:L,'Hoa Hồng'!A:A,B281)</f>
        <v>0</v>
      </c>
      <c r="J281" s="332">
        <v>0.0</v>
      </c>
      <c r="K281" s="333" t="s">
        <v>1211</v>
      </c>
      <c r="L281" s="334"/>
      <c r="M281" s="334"/>
      <c r="N281" s="334"/>
      <c r="O281" s="334"/>
      <c r="P281" s="334"/>
      <c r="Q281" s="334"/>
      <c r="R281" s="334"/>
      <c r="S281" s="334"/>
      <c r="T281" s="334"/>
      <c r="U281" s="334"/>
      <c r="V281" s="334"/>
      <c r="W281" s="334"/>
      <c r="X281" s="334"/>
      <c r="Y281" s="334"/>
      <c r="Z281" s="334"/>
      <c r="AA281" s="334"/>
      <c r="AB281" s="334"/>
      <c r="AC281" s="334"/>
      <c r="AD281" s="334"/>
    </row>
    <row r="282" ht="16.5" customHeight="1">
      <c r="A282" s="335">
        <v>97.0</v>
      </c>
      <c r="B282" s="329" t="str">
        <f>IFERROR(__xludf.DUMMYFUNCTION("""COMPUTED_VALUE"""),"INFPHUONG681")</f>
        <v>INFPHUONG681</v>
      </c>
      <c r="C282" s="329" t="s">
        <v>1693</v>
      </c>
      <c r="D282" s="331">
        <v>3.521205189783E12</v>
      </c>
      <c r="E282" s="331" t="s">
        <v>1693</v>
      </c>
      <c r="F282" s="331" t="s">
        <v>1219</v>
      </c>
      <c r="G282" s="331">
        <f>iferror(sumifs('Hợp tác'!G:G,'Hợp tác'!A:A,B282,'Hợp tác'!H:H,$G$2,'Hợp tác'!I:I,$I$2),"")</f>
        <v>0</v>
      </c>
      <c r="H282" s="332">
        <f>SUMIFS(View!J:J,View!B:B,B282)</f>
        <v>0</v>
      </c>
      <c r="I282" s="332">
        <f>sumifs('Hoa Hồng'!L:L,'Hoa Hồng'!A:A,B282)</f>
        <v>0</v>
      </c>
      <c r="J282" s="341">
        <v>0.0</v>
      </c>
      <c r="K282" s="333" t="s">
        <v>1211</v>
      </c>
      <c r="L282" s="334"/>
      <c r="M282" s="334"/>
      <c r="N282" s="334"/>
      <c r="O282" s="334"/>
      <c r="P282" s="334"/>
      <c r="Q282" s="334"/>
      <c r="R282" s="334"/>
      <c r="S282" s="334"/>
      <c r="T282" s="334"/>
      <c r="U282" s="334"/>
      <c r="V282" s="334"/>
      <c r="W282" s="334"/>
      <c r="X282" s="334"/>
      <c r="Y282" s="334"/>
      <c r="Z282" s="334"/>
      <c r="AA282" s="334"/>
      <c r="AB282" s="334"/>
      <c r="AC282" s="334"/>
      <c r="AD282" s="334"/>
    </row>
    <row r="283" ht="16.5" customHeight="1">
      <c r="A283" s="334"/>
      <c r="B283" s="329" t="str">
        <f>IFERROR(__xludf.DUMMYFUNCTION("""COMPUTED_VALUE"""),"INFDUYEN818")</f>
        <v>INFDUYEN818</v>
      </c>
      <c r="C283" s="329" t="s">
        <v>1694</v>
      </c>
      <c r="D283" s="331">
        <v>1.9028261550027E13</v>
      </c>
      <c r="E283" s="331" t="s">
        <v>1694</v>
      </c>
      <c r="F283" s="331" t="s">
        <v>1695</v>
      </c>
      <c r="G283" s="331">
        <f>iferror(sumifs('Hợp tác'!G:G,'Hợp tác'!A:A,B283,'Hợp tác'!H:H,$G$2,'Hợp tác'!I:I,$I$2),"")</f>
        <v>0</v>
      </c>
      <c r="H283" s="332">
        <f>SUMIFS(View!J:J,View!B:B,B283)</f>
        <v>0</v>
      </c>
      <c r="I283" s="332">
        <f>sumifs('Hoa Hồng'!L:L,'Hoa Hồng'!A:A,B283)</f>
        <v>0</v>
      </c>
      <c r="J283" s="332">
        <v>0.0</v>
      </c>
      <c r="K283" s="333" t="s">
        <v>1211</v>
      </c>
      <c r="L283" s="334"/>
      <c r="M283" s="334"/>
      <c r="N283" s="334"/>
      <c r="O283" s="334"/>
      <c r="P283" s="334"/>
      <c r="Q283" s="334"/>
      <c r="R283" s="334"/>
      <c r="S283" s="334"/>
      <c r="T283" s="334"/>
      <c r="U283" s="334"/>
      <c r="V283" s="334"/>
      <c r="W283" s="334"/>
      <c r="X283" s="334"/>
      <c r="Y283" s="334"/>
      <c r="Z283" s="334"/>
      <c r="AA283" s="334"/>
      <c r="AB283" s="334"/>
      <c r="AC283" s="334"/>
      <c r="AD283" s="334"/>
    </row>
    <row r="284" ht="16.5" customHeight="1">
      <c r="A284" s="334"/>
      <c r="B284" s="329" t="str">
        <f>IFERROR(__xludf.DUMMYFUNCTION("""COMPUTED_VALUE"""),"INFTHUY949")</f>
        <v>INFTHUY949</v>
      </c>
      <c r="C284" s="329" t="s">
        <v>1696</v>
      </c>
      <c r="D284" s="331">
        <v>2390637.0</v>
      </c>
      <c r="E284" s="331" t="s">
        <v>1696</v>
      </c>
      <c r="F284" s="331" t="s">
        <v>112</v>
      </c>
      <c r="G284" s="331">
        <f>iferror(sumifs('Hợp tác'!G:G,'Hợp tác'!A:A,B284,'Hợp tác'!H:H,$G$2,'Hợp tác'!I:I,$I$2),"")</f>
        <v>0</v>
      </c>
      <c r="H284" s="332">
        <f>SUMIFS(View!J:J,View!B:B,B284)</f>
        <v>0</v>
      </c>
      <c r="I284" s="332">
        <f>sumifs('Hoa Hồng'!L:L,'Hoa Hồng'!A:A,B284)</f>
        <v>0</v>
      </c>
      <c r="J284" s="332">
        <v>0.0</v>
      </c>
      <c r="K284" s="333" t="s">
        <v>1211</v>
      </c>
      <c r="L284" s="334"/>
      <c r="M284" s="334"/>
      <c r="N284" s="334"/>
      <c r="O284" s="334"/>
      <c r="P284" s="334"/>
      <c r="Q284" s="334"/>
      <c r="R284" s="334"/>
      <c r="S284" s="334"/>
      <c r="T284" s="334"/>
      <c r="U284" s="334"/>
      <c r="V284" s="334"/>
      <c r="W284" s="334"/>
      <c r="X284" s="334"/>
      <c r="Y284" s="334"/>
      <c r="Z284" s="334"/>
      <c r="AA284" s="334"/>
      <c r="AB284" s="334"/>
      <c r="AC284" s="334"/>
      <c r="AD284" s="334"/>
    </row>
    <row r="285" ht="16.5" customHeight="1">
      <c r="A285" s="334"/>
      <c r="B285" s="329" t="str">
        <f>IFERROR(__xludf.DUMMYFUNCTION("""COMPUTED_VALUE"""),"INFTRANG116")</f>
        <v>INFTRANG116</v>
      </c>
      <c r="C285" s="329" t="s">
        <v>1697</v>
      </c>
      <c r="D285" s="331">
        <v>8.800156956666E12</v>
      </c>
      <c r="E285" s="331" t="s">
        <v>1698</v>
      </c>
      <c r="F285" s="331" t="s">
        <v>1288</v>
      </c>
      <c r="G285" s="331">
        <f>iferror(sumifs('Hợp tác'!G:G,'Hợp tác'!A:A,B285,'Hợp tác'!H:H,$G$2,'Hợp tác'!I:I,$I$2),"")</f>
        <v>0</v>
      </c>
      <c r="H285" s="332">
        <f>SUMIFS(View!J:J,View!B:B,B285)</f>
        <v>0</v>
      </c>
      <c r="I285" s="332">
        <f>sumifs('Hoa Hồng'!L:L,'Hoa Hồng'!A:A,B285)</f>
        <v>0</v>
      </c>
      <c r="J285" s="332">
        <v>0.0</v>
      </c>
      <c r="K285" s="333" t="s">
        <v>1211</v>
      </c>
      <c r="L285" s="334"/>
      <c r="M285" s="334"/>
      <c r="N285" s="334"/>
      <c r="O285" s="334"/>
      <c r="P285" s="334"/>
      <c r="Q285" s="334"/>
      <c r="R285" s="334"/>
      <c r="S285" s="334"/>
      <c r="T285" s="334"/>
      <c r="U285" s="334"/>
      <c r="V285" s="334"/>
      <c r="W285" s="334"/>
      <c r="X285" s="334"/>
      <c r="Y285" s="334"/>
      <c r="Z285" s="334"/>
      <c r="AA285" s="334"/>
      <c r="AB285" s="334"/>
      <c r="AC285" s="334"/>
      <c r="AD285" s="334"/>
    </row>
    <row r="286" ht="16.5" customHeight="1">
      <c r="A286" s="334"/>
      <c r="B286" s="329" t="str">
        <f>IFERROR(__xludf.DUMMYFUNCTION("""COMPUTED_VALUE"""),"INFANH017")</f>
        <v>INFANH017</v>
      </c>
      <c r="C286" s="329" t="s">
        <v>1699</v>
      </c>
      <c r="D286" s="331">
        <v>1.9120784818019E13</v>
      </c>
      <c r="E286" s="331" t="s">
        <v>1699</v>
      </c>
      <c r="F286" s="331" t="s">
        <v>48</v>
      </c>
      <c r="G286" s="331">
        <f>iferror(sumifs('Hợp tác'!G:G,'Hợp tác'!A:A,B286,'Hợp tác'!H:H,$G$2,'Hợp tác'!I:I,$I$2),"")</f>
        <v>0</v>
      </c>
      <c r="H286" s="332">
        <f>SUMIFS(View!J:J,View!B:B,B286)</f>
        <v>0</v>
      </c>
      <c r="I286" s="332">
        <f>sumifs('Hoa Hồng'!L:L,'Hoa Hồng'!A:A,B286)</f>
        <v>0</v>
      </c>
      <c r="J286" s="332">
        <v>0.0</v>
      </c>
      <c r="K286" s="333" t="s">
        <v>1211</v>
      </c>
      <c r="L286" s="334"/>
      <c r="M286" s="334"/>
      <c r="N286" s="334"/>
      <c r="O286" s="334"/>
      <c r="P286" s="334"/>
      <c r="Q286" s="334"/>
      <c r="R286" s="334"/>
      <c r="S286" s="334"/>
      <c r="T286" s="334"/>
      <c r="U286" s="334"/>
      <c r="V286" s="334"/>
      <c r="W286" s="334"/>
      <c r="X286" s="334"/>
      <c r="Y286" s="334"/>
      <c r="Z286" s="334"/>
      <c r="AA286" s="334"/>
      <c r="AB286" s="334"/>
      <c r="AC286" s="334"/>
      <c r="AD286" s="334"/>
    </row>
    <row r="287" ht="16.5" customHeight="1">
      <c r="A287" s="334"/>
      <c r="B287" s="329" t="str">
        <f>IFERROR(__xludf.DUMMYFUNCTION("""COMPUTED_VALUE"""),"INFLAN889")</f>
        <v>INFLAN889</v>
      </c>
      <c r="C287" s="329" t="s">
        <v>1700</v>
      </c>
      <c r="D287" s="331">
        <v>3.9010000540068E13</v>
      </c>
      <c r="E287" s="331" t="s">
        <v>1701</v>
      </c>
      <c r="F287" s="331" t="s">
        <v>1702</v>
      </c>
      <c r="G287" s="331">
        <f>iferror(sumifs('Hợp tác'!G:G,'Hợp tác'!A:A,B287,'Hợp tác'!H:H,$G$2,'Hợp tác'!I:I,$I$2),"")</f>
        <v>0</v>
      </c>
      <c r="H287" s="332">
        <f>SUMIFS(View!J:J,View!B:B,B287)</f>
        <v>0</v>
      </c>
      <c r="I287" s="332">
        <f>sumifs('Hoa Hồng'!L:L,'Hoa Hồng'!A:A,B287)</f>
        <v>0</v>
      </c>
      <c r="J287" s="332">
        <v>0.0</v>
      </c>
      <c r="K287" s="333" t="s">
        <v>1211</v>
      </c>
      <c r="L287" s="334"/>
      <c r="M287" s="334"/>
      <c r="N287" s="334"/>
      <c r="O287" s="334"/>
      <c r="P287" s="334"/>
      <c r="Q287" s="334"/>
      <c r="R287" s="334"/>
      <c r="S287" s="334"/>
      <c r="T287" s="334"/>
      <c r="U287" s="334"/>
      <c r="V287" s="334"/>
      <c r="W287" s="334"/>
      <c r="X287" s="334"/>
      <c r="Y287" s="334"/>
      <c r="Z287" s="334"/>
      <c r="AA287" s="334"/>
      <c r="AB287" s="334"/>
      <c r="AC287" s="334"/>
      <c r="AD287" s="334"/>
    </row>
    <row r="288" ht="16.5" customHeight="1">
      <c r="A288" s="334"/>
      <c r="B288" s="329" t="str">
        <f>IFERROR(__xludf.DUMMYFUNCTION("""COMPUTED_VALUE"""),"INFLINH333")</f>
        <v>INFLINH333</v>
      </c>
      <c r="C288" s="329" t="s">
        <v>1703</v>
      </c>
      <c r="D288" s="331">
        <v>9996317.0</v>
      </c>
      <c r="E288" s="331" t="s">
        <v>1704</v>
      </c>
      <c r="F288" s="331" t="s">
        <v>1705</v>
      </c>
      <c r="G288" s="331">
        <f>iferror(sumifs('Hợp tác'!G:G,'Hợp tác'!A:A,B288,'Hợp tác'!H:H,$G$2,'Hợp tác'!I:I,$I$2),"")</f>
        <v>0</v>
      </c>
      <c r="H288" s="332">
        <f>SUMIFS(View!J:J,View!B:B,B288)</f>
        <v>0</v>
      </c>
      <c r="I288" s="332">
        <f>sumifs('Hoa Hồng'!L:L,'Hoa Hồng'!A:A,B288)</f>
        <v>0</v>
      </c>
      <c r="J288" s="332">
        <v>0.0</v>
      </c>
      <c r="K288" s="333" t="s">
        <v>1211</v>
      </c>
      <c r="L288" s="334"/>
      <c r="M288" s="334"/>
      <c r="N288" s="334"/>
      <c r="O288" s="334"/>
      <c r="P288" s="334"/>
      <c r="Q288" s="334"/>
      <c r="R288" s="334"/>
      <c r="S288" s="334"/>
      <c r="T288" s="334"/>
      <c r="U288" s="334"/>
      <c r="V288" s="334"/>
      <c r="W288" s="334"/>
      <c r="X288" s="334"/>
      <c r="Y288" s="334"/>
      <c r="Z288" s="334"/>
      <c r="AA288" s="334"/>
      <c r="AB288" s="334"/>
      <c r="AC288" s="334"/>
      <c r="AD288" s="334"/>
    </row>
    <row r="289" ht="16.5" customHeight="1">
      <c r="A289" s="334"/>
      <c r="B289" s="329" t="str">
        <f>IFERROR(__xludf.DUMMYFUNCTION("""COMPUTED_VALUE"""),"INFTHANH912")</f>
        <v>INFTHANH912</v>
      </c>
      <c r="C289" s="329" t="s">
        <v>1706</v>
      </c>
      <c r="D289" s="331" t="s">
        <v>1707</v>
      </c>
      <c r="E289" s="331" t="s">
        <v>1708</v>
      </c>
      <c r="F289" s="331" t="s">
        <v>19</v>
      </c>
      <c r="G289" s="331">
        <f>iferror(sumifs('Hợp tác'!G:G,'Hợp tác'!A:A,B289,'Hợp tác'!H:H,$G$2,'Hợp tác'!I:I,$I$2),"")</f>
        <v>0</v>
      </c>
      <c r="H289" s="332">
        <f>SUMIFS(View!J:J,View!B:B,B289)</f>
        <v>0</v>
      </c>
      <c r="I289" s="332">
        <f>sumifs('Hoa Hồng'!L:L,'Hoa Hồng'!A:A,B289)</f>
        <v>0</v>
      </c>
      <c r="J289" s="332">
        <v>0.0</v>
      </c>
      <c r="K289" s="333" t="s">
        <v>1211</v>
      </c>
      <c r="L289" s="334"/>
      <c r="M289" s="334"/>
      <c r="N289" s="334"/>
      <c r="O289" s="334"/>
      <c r="P289" s="334"/>
      <c r="Q289" s="334"/>
      <c r="R289" s="334"/>
      <c r="S289" s="334"/>
      <c r="T289" s="334"/>
      <c r="U289" s="334"/>
      <c r="V289" s="334"/>
      <c r="W289" s="334"/>
      <c r="X289" s="334"/>
      <c r="Y289" s="334"/>
      <c r="Z289" s="334"/>
      <c r="AA289" s="334"/>
      <c r="AB289" s="334"/>
      <c r="AC289" s="334"/>
      <c r="AD289" s="334"/>
    </row>
    <row r="290" ht="16.5" customHeight="1">
      <c r="A290" s="334"/>
      <c r="B290" s="329" t="str">
        <f>IFERROR(__xludf.DUMMYFUNCTION("""COMPUTED_VALUE"""),"INFDUC556")</f>
        <v>INFDUC556</v>
      </c>
      <c r="C290" s="329" t="s">
        <v>1709</v>
      </c>
      <c r="D290" s="331">
        <v>9.130102020205E12</v>
      </c>
      <c r="E290" s="331"/>
      <c r="F290" s="331" t="s">
        <v>1288</v>
      </c>
      <c r="G290" s="331">
        <f>iferror(sumifs('Hợp tác'!G:G,'Hợp tác'!A:A,B290,'Hợp tác'!H:H,$G$2,'Hợp tác'!I:I,$I$2),"")</f>
        <v>0</v>
      </c>
      <c r="H290" s="332">
        <f>SUMIFS(View!J:J,View!B:B,B290)</f>
        <v>0</v>
      </c>
      <c r="I290" s="332">
        <f>sumifs('Hoa Hồng'!L:L,'Hoa Hồng'!A:A,B290)</f>
        <v>0</v>
      </c>
      <c r="J290" s="332">
        <v>0.0</v>
      </c>
      <c r="K290" s="333" t="s">
        <v>1211</v>
      </c>
      <c r="L290" s="334"/>
      <c r="M290" s="334"/>
      <c r="N290" s="334"/>
      <c r="O290" s="334"/>
      <c r="P290" s="334"/>
      <c r="Q290" s="334"/>
      <c r="R290" s="334"/>
      <c r="S290" s="334"/>
      <c r="T290" s="334"/>
      <c r="U290" s="334"/>
      <c r="V290" s="334"/>
      <c r="W290" s="334"/>
      <c r="X290" s="334"/>
      <c r="Y290" s="334"/>
      <c r="Z290" s="334"/>
      <c r="AA290" s="334"/>
      <c r="AB290" s="334"/>
      <c r="AC290" s="334"/>
      <c r="AD290" s="334"/>
    </row>
    <row r="291" ht="16.5" customHeight="1">
      <c r="A291" s="334"/>
      <c r="B291" s="329" t="str">
        <f>IFERROR(__xludf.DUMMYFUNCTION("""COMPUTED_VALUE"""),"INFNHU058")</f>
        <v>INFNHU058</v>
      </c>
      <c r="C291" s="329" t="s">
        <v>1710</v>
      </c>
      <c r="D291" s="331" t="s">
        <v>1711</v>
      </c>
      <c r="E291" s="331" t="s">
        <v>1712</v>
      </c>
      <c r="F291" s="331" t="s">
        <v>1713</v>
      </c>
      <c r="G291" s="331">
        <f>iferror(sumifs('Hợp tác'!G:G,'Hợp tác'!A:A,B291,'Hợp tác'!H:H,$G$2,'Hợp tác'!I:I,$I$2),"")</f>
        <v>0</v>
      </c>
      <c r="H291" s="332">
        <f>SUMIFS(View!J:J,View!B:B,B291)</f>
        <v>0</v>
      </c>
      <c r="I291" s="332">
        <f>sumifs('Hoa Hồng'!L:L,'Hoa Hồng'!A:A,B291)</f>
        <v>0</v>
      </c>
      <c r="J291" s="332">
        <v>0.0</v>
      </c>
      <c r="K291" s="333" t="s">
        <v>1211</v>
      </c>
      <c r="L291" s="334"/>
      <c r="M291" s="334"/>
      <c r="N291" s="334"/>
      <c r="O291" s="334"/>
      <c r="P291" s="334"/>
      <c r="Q291" s="334"/>
      <c r="R291" s="334"/>
      <c r="S291" s="334"/>
      <c r="T291" s="334"/>
      <c r="U291" s="334"/>
      <c r="V291" s="334"/>
      <c r="W291" s="334"/>
      <c r="X291" s="334"/>
      <c r="Y291" s="334"/>
      <c r="Z291" s="334"/>
      <c r="AA291" s="334"/>
      <c r="AB291" s="334"/>
      <c r="AC291" s="334"/>
      <c r="AD291" s="334"/>
    </row>
    <row r="292" ht="16.5" customHeight="1">
      <c r="A292" s="334"/>
      <c r="B292" s="329" t="str">
        <f>IFERROR(__xludf.DUMMYFUNCTION("""COMPUTED_VALUE"""),"INFTRUONG023")</f>
        <v>INFTRUONG023</v>
      </c>
      <c r="C292" s="329" t="s">
        <v>1714</v>
      </c>
      <c r="D292" s="331">
        <v>1.04888311999E11</v>
      </c>
      <c r="E292" s="331" t="s">
        <v>1715</v>
      </c>
      <c r="F292" s="331" t="s">
        <v>1716</v>
      </c>
      <c r="G292" s="331">
        <f>iferror(sumifs('Hợp tác'!G:G,'Hợp tác'!A:A,B292,'Hợp tác'!H:H,$G$2,'Hợp tác'!I:I,$I$2),"")</f>
        <v>0</v>
      </c>
      <c r="H292" s="332">
        <f>SUMIFS(View!J:J,View!B:B,B292)</f>
        <v>0</v>
      </c>
      <c r="I292" s="332">
        <f>sumifs('Hoa Hồng'!L:L,'Hoa Hồng'!A:A,B292)</f>
        <v>0</v>
      </c>
      <c r="J292" s="332">
        <v>0.0</v>
      </c>
      <c r="K292" s="333" t="s">
        <v>1211</v>
      </c>
      <c r="L292" s="334"/>
      <c r="M292" s="334"/>
      <c r="N292" s="334"/>
      <c r="O292" s="334"/>
      <c r="P292" s="334"/>
      <c r="Q292" s="334"/>
      <c r="R292" s="334"/>
      <c r="S292" s="334"/>
      <c r="T292" s="334"/>
      <c r="U292" s="334"/>
      <c r="V292" s="334"/>
      <c r="W292" s="334"/>
      <c r="X292" s="334"/>
      <c r="Y292" s="334"/>
      <c r="Z292" s="334"/>
      <c r="AA292" s="334"/>
      <c r="AB292" s="334"/>
      <c r="AC292" s="334"/>
      <c r="AD292" s="334"/>
    </row>
    <row r="293" ht="16.5" customHeight="1">
      <c r="A293" s="334"/>
      <c r="B293" s="329" t="str">
        <f>IFERROR(__xludf.DUMMYFUNCTION("""COMPUTED_VALUE"""),"INFYODYVICTO")</f>
        <v>INFYODYVICTO</v>
      </c>
      <c r="C293" s="329" t="s">
        <v>1717</v>
      </c>
      <c r="D293" s="331">
        <v>1.9030503639014E13</v>
      </c>
      <c r="E293" s="331" t="s">
        <v>1717</v>
      </c>
      <c r="F293" s="331" t="s">
        <v>48</v>
      </c>
      <c r="G293" s="331">
        <f>iferror(sumifs('Hợp tác'!G:G,'Hợp tác'!A:A,B293,'Hợp tác'!H:H,$G$2,'Hợp tác'!I:I,$I$2),"")</f>
        <v>0</v>
      </c>
      <c r="H293" s="332">
        <f>SUMIFS(View!J:J,View!B:B,B293)</f>
        <v>10500000</v>
      </c>
      <c r="I293" s="332">
        <f>sumifs('Hoa Hồng'!L:L,'Hoa Hồng'!A:A,B293)</f>
        <v>0</v>
      </c>
      <c r="J293" s="332">
        <v>1.05E7</v>
      </c>
      <c r="K293" s="333" t="s">
        <v>1211</v>
      </c>
      <c r="L293" s="334"/>
      <c r="M293" s="334"/>
      <c r="N293" s="334"/>
      <c r="O293" s="334"/>
      <c r="P293" s="334"/>
      <c r="Q293" s="334"/>
      <c r="R293" s="334"/>
      <c r="S293" s="334"/>
      <c r="T293" s="334"/>
      <c r="U293" s="334"/>
      <c r="V293" s="334"/>
      <c r="W293" s="334"/>
      <c r="X293" s="334"/>
      <c r="Y293" s="334"/>
      <c r="Z293" s="334"/>
      <c r="AA293" s="334"/>
      <c r="AB293" s="334"/>
      <c r="AC293" s="334"/>
      <c r="AD293" s="334"/>
    </row>
    <row r="294" ht="16.5" customHeight="1">
      <c r="A294" s="334"/>
      <c r="B294" s="329" t="str">
        <f>IFERROR(__xludf.DUMMYFUNCTION("""COMPUTED_VALUE"""),"INFTUYEN753")</f>
        <v>INFTUYEN753</v>
      </c>
      <c r="C294" s="329" t="s">
        <v>1718</v>
      </c>
      <c r="D294" s="331">
        <v>1.016884331E9</v>
      </c>
      <c r="E294" s="331" t="s">
        <v>1719</v>
      </c>
      <c r="F294" s="331" t="s">
        <v>19</v>
      </c>
      <c r="G294" s="331">
        <f>iferror(sumifs('Hợp tác'!G:G,'Hợp tác'!A:A,B294,'Hợp tác'!H:H,$G$2,'Hợp tác'!I:I,$I$2),"")</f>
        <v>0</v>
      </c>
      <c r="H294" s="332">
        <f>SUMIFS(View!J:J,View!B:B,B294)</f>
        <v>0</v>
      </c>
      <c r="I294" s="332">
        <f>sumifs('Hoa Hồng'!L:L,'Hoa Hồng'!A:A,B294)</f>
        <v>0</v>
      </c>
      <c r="J294" s="332">
        <v>0.0</v>
      </c>
      <c r="K294" s="333" t="s">
        <v>1211</v>
      </c>
      <c r="L294" s="334"/>
      <c r="M294" s="334"/>
      <c r="N294" s="334"/>
      <c r="O294" s="334"/>
      <c r="P294" s="334"/>
      <c r="Q294" s="334"/>
      <c r="R294" s="334"/>
      <c r="S294" s="334"/>
      <c r="T294" s="334"/>
      <c r="U294" s="334"/>
      <c r="V294" s="334"/>
      <c r="W294" s="334"/>
      <c r="X294" s="334"/>
      <c r="Y294" s="334"/>
      <c r="Z294" s="334"/>
      <c r="AA294" s="334"/>
      <c r="AB294" s="334"/>
      <c r="AC294" s="334"/>
      <c r="AD294" s="334"/>
    </row>
    <row r="295" ht="16.5" customHeight="1">
      <c r="A295" s="334"/>
      <c r="B295" s="329" t="str">
        <f>IFERROR(__xludf.DUMMYFUNCTION("""COMPUTED_VALUE"""),"INFNGOC336")</f>
        <v>INFNGOC336</v>
      </c>
      <c r="C295" s="329" t="s">
        <v>1720</v>
      </c>
      <c r="D295" s="331" t="s">
        <v>1721</v>
      </c>
      <c r="E295" s="331" t="s">
        <v>1720</v>
      </c>
      <c r="F295" s="331" t="s">
        <v>19</v>
      </c>
      <c r="G295" s="331">
        <f>iferror(sumifs('Hợp tác'!G:G,'Hợp tác'!A:A,B295,'Hợp tác'!H:H,$G$2,'Hợp tác'!I:I,$I$2),"")</f>
        <v>0</v>
      </c>
      <c r="H295" s="332">
        <f>SUMIFS(View!J:J,View!B:B,B295)</f>
        <v>0</v>
      </c>
      <c r="I295" s="332">
        <f>sumifs('Hoa Hồng'!L:L,'Hoa Hồng'!A:A,B295)</f>
        <v>0</v>
      </c>
      <c r="J295" s="332">
        <v>0.0</v>
      </c>
      <c r="K295" s="333" t="s">
        <v>1211</v>
      </c>
      <c r="L295" s="334"/>
      <c r="M295" s="334"/>
      <c r="N295" s="334"/>
      <c r="O295" s="334"/>
      <c r="P295" s="334"/>
      <c r="Q295" s="334"/>
      <c r="R295" s="334"/>
      <c r="S295" s="334"/>
      <c r="T295" s="334"/>
      <c r="U295" s="334"/>
      <c r="V295" s="334"/>
      <c r="W295" s="334"/>
      <c r="X295" s="334"/>
      <c r="Y295" s="334"/>
      <c r="Z295" s="334"/>
      <c r="AA295" s="334"/>
      <c r="AB295" s="334"/>
      <c r="AC295" s="334"/>
      <c r="AD295" s="334"/>
    </row>
    <row r="296" ht="16.5" customHeight="1">
      <c r="A296" s="334"/>
      <c r="B296" s="329" t="str">
        <f>IFERROR(__xludf.DUMMYFUNCTION("""COMPUTED_VALUE"""),"INFVY259")</f>
        <v>INFVY259</v>
      </c>
      <c r="C296" s="329" t="s">
        <v>1722</v>
      </c>
      <c r="D296" s="331">
        <v>1.9036317913015E13</v>
      </c>
      <c r="E296" s="331" t="s">
        <v>1723</v>
      </c>
      <c r="F296" s="331" t="s">
        <v>48</v>
      </c>
      <c r="G296" s="331">
        <f>iferror(sumifs('Hợp tác'!G:G,'Hợp tác'!A:A,B296,'Hợp tác'!H:H,$G$2,'Hợp tác'!I:I,$I$2),"")</f>
        <v>0</v>
      </c>
      <c r="H296" s="332">
        <f>SUMIFS(View!J:J,View!B:B,B296)</f>
        <v>0</v>
      </c>
      <c r="I296" s="332">
        <f>sumifs('Hoa Hồng'!L:L,'Hoa Hồng'!A:A,B296)</f>
        <v>0</v>
      </c>
      <c r="J296" s="332">
        <v>0.0</v>
      </c>
      <c r="K296" s="333" t="s">
        <v>1211</v>
      </c>
      <c r="L296" s="334"/>
      <c r="M296" s="334"/>
      <c r="N296" s="334"/>
      <c r="O296" s="334"/>
      <c r="P296" s="334"/>
      <c r="Q296" s="334"/>
      <c r="R296" s="334"/>
      <c r="S296" s="334"/>
      <c r="T296" s="334"/>
      <c r="U296" s="334"/>
      <c r="V296" s="334"/>
      <c r="W296" s="334"/>
      <c r="X296" s="334"/>
      <c r="Y296" s="334"/>
      <c r="Z296" s="334"/>
      <c r="AA296" s="334"/>
      <c r="AB296" s="334"/>
      <c r="AC296" s="334"/>
      <c r="AD296" s="334"/>
    </row>
    <row r="297" ht="16.5" customHeight="1">
      <c r="A297" s="334"/>
      <c r="B297" s="329" t="str">
        <f>IFERROR(__xludf.DUMMYFUNCTION("""COMPUTED_VALUE"""),"INFTUNG923")</f>
        <v>INFTUNG923</v>
      </c>
      <c r="C297" s="329" t="s">
        <v>1724</v>
      </c>
      <c r="D297" s="331">
        <v>1.12575561E8</v>
      </c>
      <c r="E297" s="331" t="s">
        <v>1725</v>
      </c>
      <c r="F297" s="331" t="s">
        <v>1726</v>
      </c>
      <c r="G297" s="331">
        <f>iferror(sumifs('Hợp tác'!G:G,'Hợp tác'!A:A,B297,'Hợp tác'!H:H,$G$2,'Hợp tác'!I:I,$I$2),"")</f>
        <v>0</v>
      </c>
      <c r="H297" s="332">
        <f>SUMIFS(View!J:J,View!B:B,B297)</f>
        <v>0</v>
      </c>
      <c r="I297" s="332">
        <f>sumifs('Hoa Hồng'!L:L,'Hoa Hồng'!A:A,B297)</f>
        <v>0</v>
      </c>
      <c r="J297" s="332">
        <v>0.0</v>
      </c>
      <c r="K297" s="333" t="s">
        <v>1211</v>
      </c>
      <c r="L297" s="334"/>
      <c r="M297" s="334"/>
      <c r="N297" s="334"/>
      <c r="O297" s="334"/>
      <c r="P297" s="334"/>
      <c r="Q297" s="334"/>
      <c r="R297" s="334"/>
      <c r="S297" s="334"/>
      <c r="T297" s="334"/>
      <c r="U297" s="334"/>
      <c r="V297" s="334"/>
      <c r="W297" s="334"/>
      <c r="X297" s="334"/>
      <c r="Y297" s="334"/>
      <c r="Z297" s="334"/>
      <c r="AA297" s="334"/>
      <c r="AB297" s="334"/>
      <c r="AC297" s="334"/>
      <c r="AD297" s="334"/>
    </row>
    <row r="298" ht="16.5" customHeight="1">
      <c r="A298" s="334"/>
      <c r="B298" s="329" t="str">
        <f>IFERROR(__xludf.DUMMYFUNCTION("""COMPUTED_VALUE"""),"INFHANH836")</f>
        <v>INFHANH836</v>
      </c>
      <c r="C298" s="329"/>
      <c r="D298" s="331">
        <v>1.9035672599015E13</v>
      </c>
      <c r="E298" s="331" t="s">
        <v>1727</v>
      </c>
      <c r="F298" s="331" t="s">
        <v>48</v>
      </c>
      <c r="G298" s="331">
        <f>iferror(sumifs('Hợp tác'!G:G,'Hợp tác'!A:A,B298,'Hợp tác'!H:H,$G$2,'Hợp tác'!I:I,$I$2),"")</f>
        <v>0</v>
      </c>
      <c r="H298" s="332">
        <f>SUMIFS(View!J:J,View!B:B,B298)</f>
        <v>0</v>
      </c>
      <c r="I298" s="332">
        <f>sumifs('Hoa Hồng'!L:L,'Hoa Hồng'!A:A,B298)</f>
        <v>0</v>
      </c>
      <c r="J298" s="332">
        <v>0.0</v>
      </c>
      <c r="K298" s="333" t="s">
        <v>1211</v>
      </c>
      <c r="L298" s="334"/>
      <c r="M298" s="334"/>
      <c r="N298" s="334"/>
      <c r="O298" s="334"/>
      <c r="P298" s="334"/>
      <c r="Q298" s="334"/>
      <c r="R298" s="334"/>
      <c r="S298" s="334"/>
      <c r="T298" s="334"/>
      <c r="U298" s="334"/>
      <c r="V298" s="334"/>
      <c r="W298" s="334"/>
      <c r="X298" s="334"/>
      <c r="Y298" s="334"/>
      <c r="Z298" s="334"/>
      <c r="AA298" s="334"/>
      <c r="AB298" s="334"/>
      <c r="AC298" s="334"/>
      <c r="AD298" s="334"/>
    </row>
    <row r="299" ht="16.5" customHeight="1">
      <c r="A299" s="334"/>
      <c r="B299" s="329" t="str">
        <f>IFERROR(__xludf.DUMMYFUNCTION("""COMPUTED_VALUE"""),"INFLOI543")</f>
        <v>INFLOI543</v>
      </c>
      <c r="C299" s="329" t="s">
        <v>1728</v>
      </c>
      <c r="D299" s="331"/>
      <c r="E299" s="331"/>
      <c r="F299" s="331"/>
      <c r="G299" s="331">
        <f>iferror(sumifs('Hợp tác'!G:G,'Hợp tác'!A:A,B299,'Hợp tác'!H:H,$G$2,'Hợp tác'!I:I,$I$2),"")</f>
        <v>0</v>
      </c>
      <c r="H299" s="332">
        <f>SUMIFS(View!J:J,View!B:B,B299)</f>
        <v>0</v>
      </c>
      <c r="I299" s="332">
        <f>sumifs('Hoa Hồng'!L:L,'Hoa Hồng'!A:A,B299)</f>
        <v>0</v>
      </c>
      <c r="J299" s="332">
        <v>0.0</v>
      </c>
      <c r="K299" s="333" t="s">
        <v>1211</v>
      </c>
      <c r="L299" s="334"/>
      <c r="M299" s="334"/>
      <c r="N299" s="334"/>
      <c r="O299" s="334"/>
      <c r="P299" s="334"/>
      <c r="Q299" s="334"/>
      <c r="R299" s="334"/>
      <c r="S299" s="334"/>
      <c r="T299" s="334"/>
      <c r="U299" s="334"/>
      <c r="V299" s="334"/>
      <c r="W299" s="334"/>
      <c r="X299" s="334"/>
      <c r="Y299" s="334"/>
      <c r="Z299" s="334"/>
      <c r="AA299" s="334"/>
      <c r="AB299" s="334"/>
      <c r="AC299" s="334"/>
      <c r="AD299" s="334"/>
    </row>
    <row r="300" ht="16.5" customHeight="1">
      <c r="A300" s="334"/>
      <c r="B300" s="329" t="str">
        <f>IFERROR(__xludf.DUMMYFUNCTION("""COMPUTED_VALUE"""),"INFHA392")</f>
        <v>INFHA392</v>
      </c>
      <c r="C300" s="329" t="s">
        <v>1729</v>
      </c>
      <c r="D300" s="331"/>
      <c r="E300" s="331"/>
      <c r="F300" s="331"/>
      <c r="G300" s="331">
        <f>iferror(sumifs('Hợp tác'!G:G,'Hợp tác'!A:A,B300,'Hợp tác'!H:H,$G$2,'Hợp tác'!I:I,$I$2),"")</f>
        <v>0</v>
      </c>
      <c r="H300" s="332">
        <f>SUMIFS(View!J:J,View!B:B,B300)</f>
        <v>0</v>
      </c>
      <c r="I300" s="332">
        <f>sumifs('Hoa Hồng'!L:L,'Hoa Hồng'!A:A,B300)</f>
        <v>0</v>
      </c>
      <c r="J300" s="332">
        <v>0.0</v>
      </c>
      <c r="K300" s="333" t="s">
        <v>1211</v>
      </c>
      <c r="L300" s="334"/>
      <c r="M300" s="334"/>
      <c r="N300" s="334"/>
      <c r="O300" s="334"/>
      <c r="P300" s="334"/>
      <c r="Q300" s="334"/>
      <c r="R300" s="334"/>
      <c r="S300" s="334"/>
      <c r="T300" s="334"/>
      <c r="U300" s="334"/>
      <c r="V300" s="334"/>
      <c r="W300" s="334"/>
      <c r="X300" s="334"/>
      <c r="Y300" s="334"/>
      <c r="Z300" s="334"/>
      <c r="AA300" s="334"/>
      <c r="AB300" s="334"/>
      <c r="AC300" s="334"/>
      <c r="AD300" s="334"/>
    </row>
    <row r="301" ht="16.5" customHeight="1">
      <c r="A301" s="334"/>
      <c r="B301" s="329" t="str">
        <f>IFERROR(__xludf.DUMMYFUNCTION("""COMPUTED_VALUE"""),"INFTU498")</f>
        <v>INFTU498</v>
      </c>
      <c r="C301" s="329" t="s">
        <v>1730</v>
      </c>
      <c r="D301" s="331"/>
      <c r="E301" s="331"/>
      <c r="F301" s="331"/>
      <c r="G301" s="331">
        <f>iferror(sumifs('Hợp tác'!G:G,'Hợp tác'!A:A,B301,'Hợp tác'!H:H,$G$2,'Hợp tác'!I:I,$I$2),"")</f>
        <v>0</v>
      </c>
      <c r="H301" s="332">
        <f>SUMIFS(View!J:J,View!B:B,B301)</f>
        <v>0</v>
      </c>
      <c r="I301" s="332">
        <f>sumifs('Hoa Hồng'!L:L,'Hoa Hồng'!A:A,B301)</f>
        <v>0</v>
      </c>
      <c r="J301" s="332">
        <v>0.0</v>
      </c>
      <c r="K301" s="333" t="s">
        <v>1211</v>
      </c>
      <c r="L301" s="334"/>
      <c r="M301" s="334"/>
      <c r="N301" s="334"/>
      <c r="O301" s="334"/>
      <c r="P301" s="334"/>
      <c r="Q301" s="334"/>
      <c r="R301" s="334"/>
      <c r="S301" s="334"/>
      <c r="T301" s="334"/>
      <c r="U301" s="334"/>
      <c r="V301" s="334"/>
      <c r="W301" s="334"/>
      <c r="X301" s="334"/>
      <c r="Y301" s="334"/>
      <c r="Z301" s="334"/>
      <c r="AA301" s="334"/>
      <c r="AB301" s="334"/>
      <c r="AC301" s="334"/>
      <c r="AD301" s="334"/>
    </row>
    <row r="302" ht="16.5" customHeight="1">
      <c r="A302" s="334"/>
      <c r="B302" s="329" t="str">
        <f>IFERROR(__xludf.DUMMYFUNCTION("""COMPUTED_VALUE"""),"INFVU350")</f>
        <v>INFVU350</v>
      </c>
      <c r="C302" s="329" t="s">
        <v>1731</v>
      </c>
      <c r="D302" s="331"/>
      <c r="E302" s="331"/>
      <c r="F302" s="331"/>
      <c r="G302" s="331">
        <f>iferror(sumifs('Hợp tác'!G:G,'Hợp tác'!A:A,B302,'Hợp tác'!H:H,$G$2,'Hợp tác'!I:I,$I$2),"")</f>
        <v>0</v>
      </c>
      <c r="H302" s="332">
        <f>SUMIFS(View!J:J,View!B:B,B302)</f>
        <v>0</v>
      </c>
      <c r="I302" s="332">
        <f>sumifs('Hoa Hồng'!L:L,'Hoa Hồng'!A:A,B302)</f>
        <v>0</v>
      </c>
      <c r="J302" s="332">
        <v>0.0</v>
      </c>
      <c r="K302" s="333" t="s">
        <v>1211</v>
      </c>
      <c r="L302" s="334"/>
      <c r="M302" s="334"/>
      <c r="N302" s="334"/>
      <c r="O302" s="334"/>
      <c r="P302" s="334"/>
      <c r="Q302" s="334"/>
      <c r="R302" s="334"/>
      <c r="S302" s="334"/>
      <c r="T302" s="334"/>
      <c r="U302" s="334"/>
      <c r="V302" s="334"/>
      <c r="W302" s="334"/>
      <c r="X302" s="334"/>
      <c r="Y302" s="334"/>
      <c r="Z302" s="334"/>
      <c r="AA302" s="334"/>
      <c r="AB302" s="334"/>
      <c r="AC302" s="334"/>
      <c r="AD302" s="334"/>
    </row>
    <row r="303" ht="16.5" customHeight="1">
      <c r="A303" s="334"/>
      <c r="B303" s="329" t="str">
        <f>IFERROR(__xludf.DUMMYFUNCTION("""COMPUTED_VALUE"""),"INFMY904")</f>
        <v>INFMY904</v>
      </c>
      <c r="C303" s="329" t="s">
        <v>1732</v>
      </c>
      <c r="D303" s="331"/>
      <c r="E303" s="331"/>
      <c r="F303" s="331"/>
      <c r="G303" s="331">
        <f>iferror(sumifs('Hợp tác'!G:G,'Hợp tác'!A:A,B303,'Hợp tác'!H:H,$G$2,'Hợp tác'!I:I,$I$2),"")</f>
        <v>0</v>
      </c>
      <c r="H303" s="332">
        <f>SUMIFS(View!J:J,View!B:B,B303)</f>
        <v>0</v>
      </c>
      <c r="I303" s="332">
        <f>sumifs('Hoa Hồng'!L:L,'Hoa Hồng'!A:A,B303)</f>
        <v>0</v>
      </c>
      <c r="J303" s="332">
        <v>0.0</v>
      </c>
      <c r="K303" s="333" t="s">
        <v>1211</v>
      </c>
      <c r="L303" s="334"/>
      <c r="M303" s="334"/>
      <c r="N303" s="334"/>
      <c r="O303" s="334"/>
      <c r="P303" s="334"/>
      <c r="Q303" s="334"/>
      <c r="R303" s="334"/>
      <c r="S303" s="334"/>
      <c r="T303" s="334"/>
      <c r="U303" s="334"/>
      <c r="V303" s="334"/>
      <c r="W303" s="334"/>
      <c r="X303" s="334"/>
      <c r="Y303" s="334"/>
      <c r="Z303" s="334"/>
      <c r="AA303" s="334"/>
      <c r="AB303" s="334"/>
      <c r="AC303" s="334"/>
      <c r="AD303" s="334"/>
    </row>
    <row r="304" ht="16.5" customHeight="1">
      <c r="A304" s="334"/>
      <c r="B304" s="329" t="str">
        <f>IFERROR(__xludf.DUMMYFUNCTION("""COMPUTED_VALUE"""),"INFTHANH703")</f>
        <v>INFTHANH703</v>
      </c>
      <c r="C304" s="329" t="s">
        <v>1733</v>
      </c>
      <c r="D304" s="331"/>
      <c r="E304" s="331"/>
      <c r="F304" s="331"/>
      <c r="G304" s="331">
        <f>iferror(sumifs('Hợp tác'!G:G,'Hợp tác'!A:A,B304,'Hợp tác'!H:H,$G$2,'Hợp tác'!I:I,$I$2),"")</f>
        <v>0</v>
      </c>
      <c r="H304" s="332">
        <f>SUMIFS(View!J:J,View!B:B,B304)</f>
        <v>0</v>
      </c>
      <c r="I304" s="332">
        <f>sumifs('Hoa Hồng'!L:L,'Hoa Hồng'!A:A,B304)</f>
        <v>0</v>
      </c>
      <c r="J304" s="332">
        <v>0.0</v>
      </c>
      <c r="K304" s="333" t="s">
        <v>1211</v>
      </c>
      <c r="L304" s="334"/>
      <c r="M304" s="334"/>
      <c r="N304" s="334"/>
      <c r="O304" s="334"/>
      <c r="P304" s="334"/>
      <c r="Q304" s="334"/>
      <c r="R304" s="334"/>
      <c r="S304" s="334"/>
      <c r="T304" s="334"/>
      <c r="U304" s="334"/>
      <c r="V304" s="334"/>
      <c r="W304" s="334"/>
      <c r="X304" s="334"/>
      <c r="Y304" s="334"/>
      <c r="Z304" s="334"/>
      <c r="AA304" s="334"/>
      <c r="AB304" s="334"/>
      <c r="AC304" s="334"/>
      <c r="AD304" s="334"/>
    </row>
    <row r="305" ht="16.5" customHeight="1">
      <c r="A305" s="334"/>
      <c r="B305" s="329" t="str">
        <f>IFERROR(__xludf.DUMMYFUNCTION("""COMPUTED_VALUE"""),"INFANH430")</f>
        <v>INFANH430</v>
      </c>
      <c r="C305" s="329" t="s">
        <v>1734</v>
      </c>
      <c r="D305" s="331"/>
      <c r="E305" s="331"/>
      <c r="F305" s="331"/>
      <c r="G305" s="331">
        <f>iferror(sumifs('Hợp tác'!G:G,'Hợp tác'!A:A,B305,'Hợp tác'!H:H,$G$2,'Hợp tác'!I:I,$I$2),"")</f>
        <v>0</v>
      </c>
      <c r="H305" s="332">
        <f>SUMIFS(View!J:J,View!B:B,B305)</f>
        <v>0</v>
      </c>
      <c r="I305" s="332">
        <f>sumifs('Hoa Hồng'!L:L,'Hoa Hồng'!A:A,B305)</f>
        <v>0</v>
      </c>
      <c r="J305" s="332">
        <v>0.0</v>
      </c>
      <c r="K305" s="333" t="s">
        <v>1211</v>
      </c>
      <c r="L305" s="334"/>
      <c r="M305" s="334"/>
      <c r="N305" s="334"/>
      <c r="O305" s="334"/>
      <c r="P305" s="334"/>
      <c r="Q305" s="334"/>
      <c r="R305" s="334"/>
      <c r="S305" s="334"/>
      <c r="T305" s="334"/>
      <c r="U305" s="334"/>
      <c r="V305" s="334"/>
      <c r="W305" s="334"/>
      <c r="X305" s="334"/>
      <c r="Y305" s="334"/>
      <c r="Z305" s="334"/>
      <c r="AA305" s="334"/>
      <c r="AB305" s="334"/>
      <c r="AC305" s="334"/>
      <c r="AD305" s="334"/>
    </row>
    <row r="306" ht="16.5" customHeight="1">
      <c r="A306" s="334"/>
      <c r="B306" s="329" t="str">
        <f>IFERROR(__xludf.DUMMYFUNCTION("""COMPUTED_VALUE"""),"INFTHAO401")</f>
        <v>INFTHAO401</v>
      </c>
      <c r="C306" s="329" t="s">
        <v>1735</v>
      </c>
      <c r="D306" s="331"/>
      <c r="E306" s="331"/>
      <c r="F306" s="331"/>
      <c r="G306" s="331">
        <f>iferror(sumifs('Hợp tác'!G:G,'Hợp tác'!A:A,B306,'Hợp tác'!H:H,$G$2,'Hợp tác'!I:I,$I$2),"")</f>
        <v>0</v>
      </c>
      <c r="H306" s="332">
        <f>SUMIFS(View!J:J,View!B:B,B306)</f>
        <v>0</v>
      </c>
      <c r="I306" s="332">
        <f>sumifs('Hoa Hồng'!L:L,'Hoa Hồng'!A:A,B306)</f>
        <v>0</v>
      </c>
      <c r="J306" s="332">
        <v>0.0</v>
      </c>
      <c r="K306" s="333" t="s">
        <v>1211</v>
      </c>
      <c r="L306" s="334"/>
      <c r="M306" s="334"/>
      <c r="N306" s="334"/>
      <c r="O306" s="334"/>
      <c r="P306" s="334"/>
      <c r="Q306" s="334"/>
      <c r="R306" s="334"/>
      <c r="S306" s="334"/>
      <c r="T306" s="334"/>
      <c r="U306" s="334"/>
      <c r="V306" s="334"/>
      <c r="W306" s="334"/>
      <c r="X306" s="334"/>
      <c r="Y306" s="334"/>
      <c r="Z306" s="334"/>
      <c r="AA306" s="334"/>
      <c r="AB306" s="334"/>
      <c r="AC306" s="334"/>
      <c r="AD306" s="334"/>
    </row>
    <row r="307" ht="16.5" customHeight="1">
      <c r="A307" s="334"/>
      <c r="B307" s="329" t="str">
        <f>IFERROR(__xludf.DUMMYFUNCTION("""COMPUTED_VALUE"""),"INFQUAN352")</f>
        <v>INFQUAN352</v>
      </c>
      <c r="C307" s="329" t="s">
        <v>1736</v>
      </c>
      <c r="D307" s="331"/>
      <c r="E307" s="331"/>
      <c r="F307" s="331"/>
      <c r="G307" s="331">
        <f>iferror(sumifs('Hợp tác'!G:G,'Hợp tác'!A:A,B307,'Hợp tác'!H:H,$G$2,'Hợp tác'!I:I,$I$2),"")</f>
        <v>0</v>
      </c>
      <c r="H307" s="332">
        <f>SUMIFS(View!J:J,View!B:B,B307)</f>
        <v>0</v>
      </c>
      <c r="I307" s="332">
        <f>sumifs('Hoa Hồng'!L:L,'Hoa Hồng'!A:A,B307)</f>
        <v>0</v>
      </c>
      <c r="J307" s="332">
        <v>0.0</v>
      </c>
      <c r="K307" s="333" t="s">
        <v>1211</v>
      </c>
      <c r="L307" s="334"/>
      <c r="M307" s="334"/>
      <c r="N307" s="334"/>
      <c r="O307" s="334"/>
      <c r="P307" s="334"/>
      <c r="Q307" s="334"/>
      <c r="R307" s="334"/>
      <c r="S307" s="334"/>
      <c r="T307" s="334"/>
      <c r="U307" s="334"/>
      <c r="V307" s="334"/>
      <c r="W307" s="334"/>
      <c r="X307" s="334"/>
      <c r="Y307" s="334"/>
      <c r="Z307" s="334"/>
      <c r="AA307" s="334"/>
      <c r="AB307" s="334"/>
      <c r="AC307" s="334"/>
      <c r="AD307" s="334"/>
    </row>
    <row r="308" ht="16.5" customHeight="1">
      <c r="A308" s="334"/>
      <c r="B308" s="329" t="str">
        <f>IFERROR(__xludf.DUMMYFUNCTION("""COMPUTED_VALUE"""),"INFMIEN969")</f>
        <v>INFMIEN969</v>
      </c>
      <c r="C308" s="329" t="s">
        <v>1737</v>
      </c>
      <c r="D308" s="331"/>
      <c r="E308" s="331"/>
      <c r="F308" s="331"/>
      <c r="G308" s="331">
        <f>iferror(sumifs('Hợp tác'!G:G,'Hợp tác'!A:A,B308,'Hợp tác'!H:H,$G$2,'Hợp tác'!I:I,$I$2),"")</f>
        <v>0</v>
      </c>
      <c r="H308" s="332">
        <f>SUMIFS(View!J:J,View!B:B,B308)</f>
        <v>0</v>
      </c>
      <c r="I308" s="332">
        <f>sumifs('Hoa Hồng'!L:L,'Hoa Hồng'!A:A,B308)</f>
        <v>0</v>
      </c>
      <c r="J308" s="332">
        <v>0.0</v>
      </c>
      <c r="K308" s="333" t="s">
        <v>1211</v>
      </c>
      <c r="L308" s="334"/>
      <c r="M308" s="334"/>
      <c r="N308" s="334"/>
      <c r="O308" s="334"/>
      <c r="P308" s="334"/>
      <c r="Q308" s="334"/>
      <c r="R308" s="334"/>
      <c r="S308" s="334"/>
      <c r="T308" s="334"/>
      <c r="U308" s="334"/>
      <c r="V308" s="334"/>
      <c r="W308" s="334"/>
      <c r="X308" s="334"/>
      <c r="Y308" s="334"/>
      <c r="Z308" s="334"/>
      <c r="AA308" s="334"/>
      <c r="AB308" s="334"/>
      <c r="AC308" s="334"/>
      <c r="AD308" s="334"/>
    </row>
    <row r="309" ht="16.5" customHeight="1">
      <c r="A309" s="334"/>
      <c r="B309" s="329" t="str">
        <f>IFERROR(__xludf.DUMMYFUNCTION("""COMPUTED_VALUE"""),"INFANH502")</f>
        <v>INFANH502</v>
      </c>
      <c r="C309" s="329" t="s">
        <v>1738</v>
      </c>
      <c r="D309" s="331"/>
      <c r="E309" s="331"/>
      <c r="F309" s="331"/>
      <c r="G309" s="331">
        <f>iferror(sumifs('Hợp tác'!G:G,'Hợp tác'!A:A,B309,'Hợp tác'!H:H,$G$2,'Hợp tác'!I:I,$I$2),"")</f>
        <v>0</v>
      </c>
      <c r="H309" s="332">
        <f>SUMIFS(View!J:J,View!B:B,B309)</f>
        <v>0</v>
      </c>
      <c r="I309" s="332">
        <f>sumifs('Hoa Hồng'!L:L,'Hoa Hồng'!A:A,B309)</f>
        <v>0</v>
      </c>
      <c r="J309" s="332">
        <v>0.0</v>
      </c>
      <c r="K309" s="333" t="s">
        <v>1211</v>
      </c>
      <c r="L309" s="334"/>
      <c r="M309" s="334"/>
      <c r="N309" s="334"/>
      <c r="O309" s="334"/>
      <c r="P309" s="334"/>
      <c r="Q309" s="334"/>
      <c r="R309" s="334"/>
      <c r="S309" s="334"/>
      <c r="T309" s="334"/>
      <c r="U309" s="334"/>
      <c r="V309" s="334"/>
      <c r="W309" s="334"/>
      <c r="X309" s="334"/>
      <c r="Y309" s="334"/>
      <c r="Z309" s="334"/>
      <c r="AA309" s="334"/>
      <c r="AB309" s="334"/>
      <c r="AC309" s="334"/>
      <c r="AD309" s="334"/>
    </row>
    <row r="310" ht="16.5" customHeight="1">
      <c r="A310" s="334"/>
      <c r="B310" s="329" t="str">
        <f>IFERROR(__xludf.DUMMYFUNCTION("""COMPUTED_VALUE"""),"INFPHONG727")</f>
        <v>INFPHONG727</v>
      </c>
      <c r="C310" s="329" t="s">
        <v>1739</v>
      </c>
      <c r="D310" s="331"/>
      <c r="E310" s="331"/>
      <c r="F310" s="331"/>
      <c r="G310" s="331">
        <f>iferror(sumifs('Hợp tác'!G:G,'Hợp tác'!A:A,B310,'Hợp tác'!H:H,$G$2,'Hợp tác'!I:I,$I$2),"")</f>
        <v>0</v>
      </c>
      <c r="H310" s="332">
        <f>SUMIFS(View!J:J,View!B:B,B310)</f>
        <v>0</v>
      </c>
      <c r="I310" s="332">
        <f>sumifs('Hoa Hồng'!L:L,'Hoa Hồng'!A:A,B310)</f>
        <v>0</v>
      </c>
      <c r="J310" s="332">
        <v>0.0</v>
      </c>
      <c r="K310" s="333" t="s">
        <v>1211</v>
      </c>
      <c r="L310" s="334"/>
      <c r="M310" s="334"/>
      <c r="N310" s="334"/>
      <c r="O310" s="334"/>
      <c r="P310" s="334"/>
      <c r="Q310" s="334"/>
      <c r="R310" s="334"/>
      <c r="S310" s="334"/>
      <c r="T310" s="334"/>
      <c r="U310" s="334"/>
      <c r="V310" s="334"/>
      <c r="W310" s="334"/>
      <c r="X310" s="334"/>
      <c r="Y310" s="334"/>
      <c r="Z310" s="334"/>
      <c r="AA310" s="334"/>
      <c r="AB310" s="334"/>
      <c r="AC310" s="334"/>
      <c r="AD310" s="334"/>
    </row>
    <row r="311" ht="16.5" customHeight="1">
      <c r="A311" s="334"/>
      <c r="B311" s="329" t="str">
        <f>IFERROR(__xludf.DUMMYFUNCTION("""COMPUTED_VALUE"""),"INFMY920")</f>
        <v>INFMY920</v>
      </c>
      <c r="C311" s="329" t="s">
        <v>1740</v>
      </c>
      <c r="D311" s="331"/>
      <c r="E311" s="331"/>
      <c r="F311" s="331"/>
      <c r="G311" s="331">
        <f>iferror(sumifs('Hợp tác'!G:G,'Hợp tác'!A:A,B311,'Hợp tác'!H:H,$G$2,'Hợp tác'!I:I,$I$2),"")</f>
        <v>0</v>
      </c>
      <c r="H311" s="332">
        <f>SUMIFS(View!J:J,View!B:B,B311)</f>
        <v>0</v>
      </c>
      <c r="I311" s="332">
        <f>sumifs('Hoa Hồng'!L:L,'Hoa Hồng'!A:A,B311)</f>
        <v>0</v>
      </c>
      <c r="J311" s="332">
        <v>0.0</v>
      </c>
      <c r="K311" s="333" t="s">
        <v>1211</v>
      </c>
      <c r="L311" s="334"/>
      <c r="M311" s="334"/>
      <c r="N311" s="334"/>
      <c r="O311" s="334"/>
      <c r="P311" s="334"/>
      <c r="Q311" s="334"/>
      <c r="R311" s="334"/>
      <c r="S311" s="334"/>
      <c r="T311" s="334"/>
      <c r="U311" s="334"/>
      <c r="V311" s="334"/>
      <c r="W311" s="334"/>
      <c r="X311" s="334"/>
      <c r="Y311" s="334"/>
      <c r="Z311" s="334"/>
      <c r="AA311" s="334"/>
      <c r="AB311" s="334"/>
      <c r="AC311" s="334"/>
      <c r="AD311" s="334"/>
    </row>
    <row r="312" ht="16.5" customHeight="1">
      <c r="A312" s="334"/>
      <c r="B312" s="329" t="str">
        <f>IFERROR(__xludf.DUMMYFUNCTION("""COMPUTED_VALUE"""),"INFTHAO329")</f>
        <v>INFTHAO329</v>
      </c>
      <c r="C312" s="329" t="s">
        <v>1741</v>
      </c>
      <c r="D312" s="331"/>
      <c r="E312" s="331"/>
      <c r="F312" s="331"/>
      <c r="G312" s="331">
        <f>iferror(sumifs('Hợp tác'!G:G,'Hợp tác'!A:A,B312,'Hợp tác'!H:H,$G$2,'Hợp tác'!I:I,$I$2),"")</f>
        <v>0</v>
      </c>
      <c r="H312" s="332">
        <f>SUMIFS(View!J:J,View!B:B,B312)</f>
        <v>0</v>
      </c>
      <c r="I312" s="332">
        <f>sumifs('Hoa Hồng'!L:L,'Hoa Hồng'!A:A,B312)</f>
        <v>0</v>
      </c>
      <c r="J312" s="332">
        <v>0.0</v>
      </c>
      <c r="K312" s="333" t="s">
        <v>1211</v>
      </c>
      <c r="L312" s="334"/>
      <c r="M312" s="334"/>
      <c r="N312" s="334"/>
      <c r="O312" s="334"/>
      <c r="P312" s="334"/>
      <c r="Q312" s="334"/>
      <c r="R312" s="334"/>
      <c r="S312" s="334"/>
      <c r="T312" s="334"/>
      <c r="U312" s="334"/>
      <c r="V312" s="334"/>
      <c r="W312" s="334"/>
      <c r="X312" s="334"/>
      <c r="Y312" s="334"/>
      <c r="Z312" s="334"/>
      <c r="AA312" s="334"/>
      <c r="AB312" s="334"/>
      <c r="AC312" s="334"/>
      <c r="AD312" s="334"/>
    </row>
    <row r="313" ht="16.5" customHeight="1">
      <c r="A313" s="334"/>
      <c r="B313" s="329" t="str">
        <f>IFERROR(__xludf.DUMMYFUNCTION("""COMPUTED_VALUE"""),"INFTHANH435")</f>
        <v>INFTHANH435</v>
      </c>
      <c r="C313" s="329" t="s">
        <v>1742</v>
      </c>
      <c r="D313" s="331"/>
      <c r="E313" s="331"/>
      <c r="F313" s="331"/>
      <c r="G313" s="331">
        <f>iferror(sumifs('Hợp tác'!G:G,'Hợp tác'!A:A,B313,'Hợp tác'!H:H,$G$2,'Hợp tác'!I:I,$I$2),"")</f>
        <v>0</v>
      </c>
      <c r="H313" s="332">
        <f>SUMIFS(View!J:J,View!B:B,B313)</f>
        <v>0</v>
      </c>
      <c r="I313" s="332">
        <f>sumifs('Hoa Hồng'!L:L,'Hoa Hồng'!A:A,B313)</f>
        <v>0</v>
      </c>
      <c r="J313" s="332">
        <v>0.0</v>
      </c>
      <c r="K313" s="333" t="s">
        <v>1211</v>
      </c>
      <c r="L313" s="334"/>
      <c r="M313" s="334"/>
      <c r="N313" s="334"/>
      <c r="O313" s="334"/>
      <c r="P313" s="334"/>
      <c r="Q313" s="334"/>
      <c r="R313" s="334"/>
      <c r="S313" s="334"/>
      <c r="T313" s="334"/>
      <c r="U313" s="334"/>
      <c r="V313" s="334"/>
      <c r="W313" s="334"/>
      <c r="X313" s="334"/>
      <c r="Y313" s="334"/>
      <c r="Z313" s="334"/>
      <c r="AA313" s="334"/>
      <c r="AB313" s="334"/>
      <c r="AC313" s="334"/>
      <c r="AD313" s="334"/>
    </row>
    <row r="314" ht="16.5" customHeight="1">
      <c r="A314" s="334"/>
      <c r="B314" s="329" t="str">
        <f>IFERROR(__xludf.DUMMYFUNCTION("""COMPUTED_VALUE"""),"INFPHUONG847")</f>
        <v>INFPHUONG847</v>
      </c>
      <c r="C314" s="329" t="s">
        <v>1743</v>
      </c>
      <c r="D314" s="331"/>
      <c r="E314" s="331"/>
      <c r="F314" s="331"/>
      <c r="G314" s="331">
        <f>iferror(sumifs('Hợp tác'!G:G,'Hợp tác'!A:A,B314,'Hợp tác'!H:H,$G$2,'Hợp tác'!I:I,$I$2),"")</f>
        <v>0</v>
      </c>
      <c r="H314" s="332">
        <f>SUMIFS(View!J:J,View!B:B,B314)</f>
        <v>0</v>
      </c>
      <c r="I314" s="332">
        <f>sumifs('Hoa Hồng'!L:L,'Hoa Hồng'!A:A,B314)</f>
        <v>0</v>
      </c>
      <c r="J314" s="332">
        <v>0.0</v>
      </c>
      <c r="K314" s="333" t="s">
        <v>1211</v>
      </c>
      <c r="L314" s="334"/>
      <c r="M314" s="334"/>
      <c r="N314" s="334"/>
      <c r="O314" s="334"/>
      <c r="P314" s="334"/>
      <c r="Q314" s="334"/>
      <c r="R314" s="334"/>
      <c r="S314" s="334"/>
      <c r="T314" s="334"/>
      <c r="U314" s="334"/>
      <c r="V314" s="334"/>
      <c r="W314" s="334"/>
      <c r="X314" s="334"/>
      <c r="Y314" s="334"/>
      <c r="Z314" s="334"/>
      <c r="AA314" s="334"/>
      <c r="AB314" s="334"/>
      <c r="AC314" s="334"/>
      <c r="AD314" s="334"/>
    </row>
    <row r="315" ht="16.5" customHeight="1">
      <c r="A315" s="334"/>
      <c r="B315" s="329" t="str">
        <f>IFERROR(__xludf.DUMMYFUNCTION("""COMPUTED_VALUE"""),"INFKHUONG326")</f>
        <v>INFKHUONG326</v>
      </c>
      <c r="C315" s="329" t="s">
        <v>1744</v>
      </c>
      <c r="D315" s="331"/>
      <c r="E315" s="331"/>
      <c r="F315" s="331"/>
      <c r="G315" s="331">
        <f>iferror(sumifs('Hợp tác'!G:G,'Hợp tác'!A:A,B315,'Hợp tác'!H:H,$G$2,'Hợp tác'!I:I,$I$2),"")</f>
        <v>0</v>
      </c>
      <c r="H315" s="332">
        <f>SUMIFS(View!J:J,View!B:B,B315)</f>
        <v>0</v>
      </c>
      <c r="I315" s="332">
        <f>sumifs('Hoa Hồng'!L:L,'Hoa Hồng'!A:A,B315)</f>
        <v>0</v>
      </c>
      <c r="J315" s="332">
        <v>0.0</v>
      </c>
      <c r="K315" s="333" t="s">
        <v>1211</v>
      </c>
      <c r="L315" s="334"/>
      <c r="M315" s="334"/>
      <c r="N315" s="334"/>
      <c r="O315" s="334"/>
      <c r="P315" s="334"/>
      <c r="Q315" s="334"/>
      <c r="R315" s="334"/>
      <c r="S315" s="334"/>
      <c r="T315" s="334"/>
      <c r="U315" s="334"/>
      <c r="V315" s="334"/>
      <c r="W315" s="334"/>
      <c r="X315" s="334"/>
      <c r="Y315" s="334"/>
      <c r="Z315" s="334"/>
      <c r="AA315" s="334"/>
      <c r="AB315" s="334"/>
      <c r="AC315" s="334"/>
      <c r="AD315" s="334"/>
    </row>
    <row r="316" ht="16.5" customHeight="1">
      <c r="A316" s="334"/>
      <c r="B316" s="329" t="str">
        <f>IFERROR(__xludf.DUMMYFUNCTION("""COMPUTED_VALUE"""),"INFBICH563")</f>
        <v>INFBICH563</v>
      </c>
      <c r="C316" s="329" t="s">
        <v>1745</v>
      </c>
      <c r="D316" s="331"/>
      <c r="E316" s="331"/>
      <c r="F316" s="331"/>
      <c r="G316" s="331">
        <f>iferror(sumifs('Hợp tác'!G:G,'Hợp tác'!A:A,B316,'Hợp tác'!H:H,$G$2,'Hợp tác'!I:I,$I$2),"")</f>
        <v>0</v>
      </c>
      <c r="H316" s="332">
        <f>SUMIFS(View!J:J,View!B:B,B316)</f>
        <v>0</v>
      </c>
      <c r="I316" s="332">
        <f>sumifs('Hoa Hồng'!L:L,'Hoa Hồng'!A:A,B316)</f>
        <v>0</v>
      </c>
      <c r="J316" s="332">
        <v>0.0</v>
      </c>
      <c r="K316" s="333" t="s">
        <v>1211</v>
      </c>
      <c r="L316" s="334"/>
      <c r="M316" s="334"/>
      <c r="N316" s="334"/>
      <c r="O316" s="334"/>
      <c r="P316" s="334"/>
      <c r="Q316" s="334"/>
      <c r="R316" s="334"/>
      <c r="S316" s="334"/>
      <c r="T316" s="334"/>
      <c r="U316" s="334"/>
      <c r="V316" s="334"/>
      <c r="W316" s="334"/>
      <c r="X316" s="334"/>
      <c r="Y316" s="334"/>
      <c r="Z316" s="334"/>
      <c r="AA316" s="334"/>
      <c r="AB316" s="334"/>
      <c r="AC316" s="334"/>
      <c r="AD316" s="334"/>
    </row>
    <row r="317" ht="16.5" customHeight="1">
      <c r="A317" s="334"/>
      <c r="B317" s="329" t="str">
        <f>IFERROR(__xludf.DUMMYFUNCTION("""COMPUTED_VALUE"""),"INFDIEM577")</f>
        <v>INFDIEM577</v>
      </c>
      <c r="C317" s="329" t="s">
        <v>1746</v>
      </c>
      <c r="D317" s="331"/>
      <c r="E317" s="331"/>
      <c r="F317" s="331"/>
      <c r="G317" s="331">
        <f>iferror(sumifs('Hợp tác'!G:G,'Hợp tác'!A:A,B317,'Hợp tác'!H:H,$G$2,'Hợp tác'!I:I,$I$2),"")</f>
        <v>0</v>
      </c>
      <c r="H317" s="332">
        <f>SUMIFS(View!J:J,View!B:B,B317)</f>
        <v>0</v>
      </c>
      <c r="I317" s="332">
        <f>sumifs('Hoa Hồng'!L:L,'Hoa Hồng'!A:A,B317)</f>
        <v>0</v>
      </c>
      <c r="J317" s="332">
        <v>0.0</v>
      </c>
      <c r="K317" s="333" t="s">
        <v>1211</v>
      </c>
      <c r="L317" s="334"/>
      <c r="M317" s="334"/>
      <c r="N317" s="334"/>
      <c r="O317" s="334"/>
      <c r="P317" s="334"/>
      <c r="Q317" s="334"/>
      <c r="R317" s="334"/>
      <c r="S317" s="334"/>
      <c r="T317" s="334"/>
      <c r="U317" s="334"/>
      <c r="V317" s="334"/>
      <c r="W317" s="334"/>
      <c r="X317" s="334"/>
      <c r="Y317" s="334"/>
      <c r="Z317" s="334"/>
      <c r="AA317" s="334"/>
      <c r="AB317" s="334"/>
      <c r="AC317" s="334"/>
      <c r="AD317" s="334"/>
    </row>
    <row r="318" ht="16.5" customHeight="1">
      <c r="A318" s="334"/>
      <c r="B318" s="329" t="str">
        <f>IFERROR(__xludf.DUMMYFUNCTION("""COMPUTED_VALUE"""),"INFNHI046")</f>
        <v>INFNHI046</v>
      </c>
      <c r="C318" s="329" t="s">
        <v>1747</v>
      </c>
      <c r="D318" s="331" t="s">
        <v>1748</v>
      </c>
      <c r="E318" s="331" t="s">
        <v>1747</v>
      </c>
      <c r="F318" s="331" t="s">
        <v>19</v>
      </c>
      <c r="G318" s="331">
        <f>iferror(sumifs('Hợp tác'!G:G,'Hợp tác'!A:A,B318,'Hợp tác'!H:H,$G$2,'Hợp tác'!I:I,$I$2),"")</f>
        <v>0</v>
      </c>
      <c r="H318" s="332">
        <f>SUMIFS(View!J:J,View!B:B,B318)</f>
        <v>0</v>
      </c>
      <c r="I318" s="332">
        <f>sumifs('Hoa Hồng'!L:L,'Hoa Hồng'!A:A,B318)</f>
        <v>0</v>
      </c>
      <c r="J318" s="332">
        <v>0.0</v>
      </c>
      <c r="K318" s="333" t="s">
        <v>1211</v>
      </c>
      <c r="L318" s="334"/>
      <c r="M318" s="334"/>
      <c r="N318" s="334"/>
      <c r="O318" s="334"/>
      <c r="P318" s="334"/>
      <c r="Q318" s="334"/>
      <c r="R318" s="334"/>
      <c r="S318" s="334"/>
      <c r="T318" s="334"/>
      <c r="U318" s="334"/>
      <c r="V318" s="334"/>
      <c r="W318" s="334"/>
      <c r="X318" s="334"/>
      <c r="Y318" s="334"/>
      <c r="Z318" s="334"/>
      <c r="AA318" s="334"/>
      <c r="AB318" s="334"/>
      <c r="AC318" s="334"/>
      <c r="AD318" s="334"/>
    </row>
    <row r="319" ht="16.5" customHeight="1">
      <c r="A319" s="334"/>
      <c r="B319" s="329" t="str">
        <f>IFERROR(__xludf.DUMMYFUNCTION("""COMPUTED_VALUE"""),"INFVINH921")</f>
        <v>INFVINH921</v>
      </c>
      <c r="C319" s="329" t="s">
        <v>1749</v>
      </c>
      <c r="D319" s="331">
        <v>2.00937821E8</v>
      </c>
      <c r="E319" s="331" t="s">
        <v>1750</v>
      </c>
      <c r="F319" s="331" t="s">
        <v>1283</v>
      </c>
      <c r="G319" s="331">
        <f>iferror(sumifs('Hợp tác'!G:G,'Hợp tác'!A:A,B319,'Hợp tác'!H:H,$G$2,'Hợp tác'!I:I,$I$2),"")</f>
        <v>0</v>
      </c>
      <c r="H319" s="332">
        <f>SUMIFS(View!J:J,View!B:B,B319)</f>
        <v>0</v>
      </c>
      <c r="I319" s="332">
        <f>sumifs('Hoa Hồng'!L:L,'Hoa Hồng'!A:A,B319)</f>
        <v>0</v>
      </c>
      <c r="J319" s="332">
        <v>0.0</v>
      </c>
      <c r="K319" s="333" t="s">
        <v>1211</v>
      </c>
      <c r="L319" s="334"/>
      <c r="M319" s="334"/>
      <c r="N319" s="334"/>
      <c r="O319" s="334"/>
      <c r="P319" s="334"/>
      <c r="Q319" s="334"/>
      <c r="R319" s="334"/>
      <c r="S319" s="334"/>
      <c r="T319" s="334"/>
      <c r="U319" s="334"/>
      <c r="V319" s="334"/>
      <c r="W319" s="334"/>
      <c r="X319" s="334"/>
      <c r="Y319" s="334"/>
      <c r="Z319" s="334"/>
      <c r="AA319" s="334"/>
      <c r="AB319" s="334"/>
      <c r="AC319" s="334"/>
      <c r="AD319" s="334"/>
    </row>
    <row r="320" ht="16.5" customHeight="1">
      <c r="A320" s="334"/>
      <c r="B320" s="329" t="str">
        <f>IFERROR(__xludf.DUMMYFUNCTION("""COMPUTED_VALUE"""),"INFHOA021")</f>
        <v>INFHOA021</v>
      </c>
      <c r="C320" s="329" t="s">
        <v>1751</v>
      </c>
      <c r="D320" s="331">
        <v>1.903651675801E13</v>
      </c>
      <c r="E320" s="331" t="s">
        <v>1752</v>
      </c>
      <c r="F320" s="331" t="s">
        <v>48</v>
      </c>
      <c r="G320" s="331">
        <f>iferror(sumifs('Hợp tác'!G:G,'Hợp tác'!A:A,B320,'Hợp tác'!H:H,$G$2,'Hợp tác'!I:I,$I$2),"")</f>
        <v>0</v>
      </c>
      <c r="H320" s="332">
        <f>SUMIFS(View!J:J,View!B:B,B320)</f>
        <v>0</v>
      </c>
      <c r="I320" s="332">
        <f>sumifs('Hoa Hồng'!L:L,'Hoa Hồng'!A:A,B320)</f>
        <v>0</v>
      </c>
      <c r="J320" s="332">
        <v>0.0</v>
      </c>
      <c r="K320" s="333" t="s">
        <v>1211</v>
      </c>
      <c r="L320" s="334"/>
      <c r="M320" s="334"/>
      <c r="N320" s="334"/>
      <c r="O320" s="334"/>
      <c r="P320" s="334"/>
      <c r="Q320" s="334"/>
      <c r="R320" s="334"/>
      <c r="S320" s="334"/>
      <c r="T320" s="334"/>
      <c r="U320" s="334"/>
      <c r="V320" s="334"/>
      <c r="W320" s="334"/>
      <c r="X320" s="334"/>
      <c r="Y320" s="334"/>
      <c r="Z320" s="334"/>
      <c r="AA320" s="334"/>
      <c r="AB320" s="334"/>
      <c r="AC320" s="334"/>
      <c r="AD320" s="334"/>
    </row>
    <row r="321" ht="16.5" customHeight="1">
      <c r="A321" s="334"/>
      <c r="B321" s="329" t="str">
        <f>IFERROR(__xludf.DUMMYFUNCTION("""COMPUTED_VALUE"""),"INFNHI141")</f>
        <v>INFNHI141</v>
      </c>
      <c r="C321" s="329" t="s">
        <v>1753</v>
      </c>
      <c r="D321" s="331">
        <v>1.06820001906E11</v>
      </c>
      <c r="E321" s="331" t="s">
        <v>1754</v>
      </c>
      <c r="F321" s="331" t="s">
        <v>1755</v>
      </c>
      <c r="G321" s="331">
        <f>iferror(sumifs('Hợp tác'!G:G,'Hợp tác'!A:A,B321,'Hợp tác'!H:H,$G$2,'Hợp tác'!I:I,$I$2),"")</f>
        <v>0</v>
      </c>
      <c r="H321" s="332">
        <f>SUMIFS(View!J:J,View!B:B,B321)</f>
        <v>0</v>
      </c>
      <c r="I321" s="332">
        <f>sumifs('Hoa Hồng'!L:L,'Hoa Hồng'!A:A,B321)</f>
        <v>0</v>
      </c>
      <c r="J321" s="332">
        <v>0.0</v>
      </c>
      <c r="K321" s="333" t="s">
        <v>1211</v>
      </c>
      <c r="L321" s="334"/>
      <c r="M321" s="334"/>
      <c r="N321" s="334"/>
      <c r="O321" s="334"/>
      <c r="P321" s="334"/>
      <c r="Q321" s="334"/>
      <c r="R321" s="334"/>
      <c r="S321" s="334"/>
      <c r="T321" s="334"/>
      <c r="U321" s="334"/>
      <c r="V321" s="334"/>
      <c r="W321" s="334"/>
      <c r="X321" s="334"/>
      <c r="Y321" s="334"/>
      <c r="Z321" s="334"/>
      <c r="AA321" s="334"/>
      <c r="AB321" s="334"/>
      <c r="AC321" s="334"/>
      <c r="AD321" s="334"/>
    </row>
    <row r="322" ht="16.5" customHeight="1">
      <c r="A322" s="334"/>
      <c r="B322" s="329" t="str">
        <f>IFERROR(__xludf.DUMMYFUNCTION("""COMPUTED_VALUE"""),"INFNGA389")</f>
        <v>INFNGA389</v>
      </c>
      <c r="C322" s="329" t="s">
        <v>1756</v>
      </c>
      <c r="D322" s="331" t="s">
        <v>1757</v>
      </c>
      <c r="E322" s="331" t="s">
        <v>1756</v>
      </c>
      <c r="F322" s="331" t="s">
        <v>1758</v>
      </c>
      <c r="G322" s="331">
        <f>iferror(sumifs('Hợp tác'!G:G,'Hợp tác'!A:A,B322,'Hợp tác'!H:H,$G$2,'Hợp tác'!I:I,$I$2),"")</f>
        <v>0</v>
      </c>
      <c r="H322" s="332">
        <f>SUMIFS(View!J:J,View!B:B,B322)</f>
        <v>0</v>
      </c>
      <c r="I322" s="332">
        <f>sumifs('Hoa Hồng'!L:L,'Hoa Hồng'!A:A,B322)</f>
        <v>0</v>
      </c>
      <c r="J322" s="332">
        <v>0.0</v>
      </c>
      <c r="K322" s="333" t="s">
        <v>1211</v>
      </c>
      <c r="L322" s="334"/>
      <c r="M322" s="334"/>
      <c r="N322" s="334"/>
      <c r="O322" s="334"/>
      <c r="P322" s="334"/>
      <c r="Q322" s="334"/>
      <c r="R322" s="334"/>
      <c r="S322" s="334"/>
      <c r="T322" s="334"/>
      <c r="U322" s="334"/>
      <c r="V322" s="334"/>
      <c r="W322" s="334"/>
      <c r="X322" s="334"/>
      <c r="Y322" s="334"/>
      <c r="Z322" s="334"/>
      <c r="AA322" s="334"/>
      <c r="AB322" s="334"/>
      <c r="AC322" s="334"/>
      <c r="AD322" s="334"/>
    </row>
    <row r="323" ht="16.5" customHeight="1">
      <c r="A323" s="334"/>
      <c r="B323" s="329" t="str">
        <f>IFERROR(__xludf.DUMMYFUNCTION("""COMPUTED_VALUE"""),"INFHOC979")</f>
        <v>INFHOC979</v>
      </c>
      <c r="C323" s="329" t="s">
        <v>1759</v>
      </c>
      <c r="D323" s="331">
        <v>1.9253888888E10</v>
      </c>
      <c r="E323" s="331" t="s">
        <v>1759</v>
      </c>
      <c r="F323" s="331" t="s">
        <v>1760</v>
      </c>
      <c r="G323" s="331">
        <f>iferror(sumifs('Hợp tác'!G:G,'Hợp tác'!A:A,B323,'Hợp tác'!H:H,$G$2,'Hợp tác'!I:I,$I$2),"")</f>
        <v>0</v>
      </c>
      <c r="H323" s="332">
        <f>SUMIFS(View!J:J,View!B:B,B323)</f>
        <v>0</v>
      </c>
      <c r="I323" s="332">
        <f>sumifs('Hoa Hồng'!L:L,'Hoa Hồng'!A:A,B323)</f>
        <v>0</v>
      </c>
      <c r="J323" s="332">
        <v>0.0</v>
      </c>
      <c r="K323" s="333" t="s">
        <v>1211</v>
      </c>
      <c r="L323" s="334"/>
      <c r="M323" s="334"/>
      <c r="N323" s="334"/>
      <c r="O323" s="334"/>
      <c r="P323" s="334"/>
      <c r="Q323" s="334"/>
      <c r="R323" s="334"/>
      <c r="S323" s="334"/>
      <c r="T323" s="334"/>
      <c r="U323" s="334"/>
      <c r="V323" s="334"/>
      <c r="W323" s="334"/>
      <c r="X323" s="334"/>
      <c r="Y323" s="334"/>
      <c r="Z323" s="334"/>
      <c r="AA323" s="334"/>
      <c r="AB323" s="334"/>
      <c r="AC323" s="334"/>
      <c r="AD323" s="334"/>
    </row>
    <row r="324" ht="16.5" customHeight="1">
      <c r="A324" s="334"/>
      <c r="B324" s="329" t="str">
        <f>IFERROR(__xludf.DUMMYFUNCTION("""COMPUTED_VALUE"""),"INFQUANG889")</f>
        <v>INFQUANG889</v>
      </c>
      <c r="C324" s="329" t="s">
        <v>1761</v>
      </c>
      <c r="D324" s="331" t="s">
        <v>1762</v>
      </c>
      <c r="E324" s="331" t="s">
        <v>1761</v>
      </c>
      <c r="F324" s="331" t="s">
        <v>1763</v>
      </c>
      <c r="G324" s="331">
        <f>iferror(sumifs('Hợp tác'!G:G,'Hợp tác'!A:A,B324,'Hợp tác'!H:H,$G$2,'Hợp tác'!I:I,$I$2),"")</f>
        <v>0</v>
      </c>
      <c r="H324" s="332">
        <f>SUMIFS(View!J:J,View!B:B,B324)</f>
        <v>0</v>
      </c>
      <c r="I324" s="332">
        <f>sumifs('Hoa Hồng'!L:L,'Hoa Hồng'!A:A,B324)</f>
        <v>0</v>
      </c>
      <c r="J324" s="332">
        <v>0.0</v>
      </c>
      <c r="K324" s="333" t="s">
        <v>1211</v>
      </c>
      <c r="L324" s="334"/>
      <c r="M324" s="334"/>
      <c r="N324" s="334"/>
      <c r="O324" s="334"/>
      <c r="P324" s="334"/>
      <c r="Q324" s="334"/>
      <c r="R324" s="334"/>
      <c r="S324" s="334"/>
      <c r="T324" s="334"/>
      <c r="U324" s="334"/>
      <c r="V324" s="334"/>
      <c r="W324" s="334"/>
      <c r="X324" s="334"/>
      <c r="Y324" s="334"/>
      <c r="Z324" s="334"/>
      <c r="AA324" s="334"/>
      <c r="AB324" s="334"/>
      <c r="AC324" s="334"/>
      <c r="AD324" s="334"/>
    </row>
    <row r="325" ht="16.5" customHeight="1">
      <c r="A325" s="334"/>
      <c r="B325" s="329" t="str">
        <f>IFERROR(__xludf.DUMMYFUNCTION("""COMPUTED_VALUE"""),"INFNHUNG712")</f>
        <v>INFNHUNG712</v>
      </c>
      <c r="C325" s="329" t="s">
        <v>1764</v>
      </c>
      <c r="D325" s="331">
        <v>1.902814310366E13</v>
      </c>
      <c r="E325" s="331" t="s">
        <v>1764</v>
      </c>
      <c r="F325" s="331" t="s">
        <v>1765</v>
      </c>
      <c r="G325" s="331">
        <f>iferror(sumifs('Hợp tác'!G:G,'Hợp tác'!A:A,B325,'Hợp tác'!H:H,$G$2,'Hợp tác'!I:I,$I$2),"")</f>
        <v>0</v>
      </c>
      <c r="H325" s="332">
        <f>SUMIFS(View!J:J,View!B:B,B325)</f>
        <v>0</v>
      </c>
      <c r="I325" s="332">
        <f>sumifs('Hoa Hồng'!L:L,'Hoa Hồng'!A:A,B325)</f>
        <v>0</v>
      </c>
      <c r="J325" s="332">
        <v>0.0</v>
      </c>
      <c r="K325" s="333" t="s">
        <v>1211</v>
      </c>
      <c r="L325" s="334"/>
      <c r="M325" s="334"/>
      <c r="N325" s="334"/>
      <c r="O325" s="334"/>
      <c r="P325" s="334"/>
      <c r="Q325" s="334"/>
      <c r="R325" s="334"/>
      <c r="S325" s="334"/>
      <c r="T325" s="334"/>
      <c r="U325" s="334"/>
      <c r="V325" s="334"/>
      <c r="W325" s="334"/>
      <c r="X325" s="334"/>
      <c r="Y325" s="334"/>
      <c r="Z325" s="334"/>
      <c r="AA325" s="334"/>
      <c r="AB325" s="334"/>
      <c r="AC325" s="334"/>
      <c r="AD325" s="334"/>
    </row>
    <row r="326" ht="16.5" customHeight="1">
      <c r="A326" s="334"/>
      <c r="B326" s="329" t="str">
        <f>IFERROR(__xludf.DUMMYFUNCTION("""COMPUTED_VALUE"""),"INFHUE272")</f>
        <v>INFHUE272</v>
      </c>
      <c r="C326" s="329" t="s">
        <v>1766</v>
      </c>
      <c r="D326" s="331">
        <v>6.2410000177327E13</v>
      </c>
      <c r="E326" s="331" t="s">
        <v>1767</v>
      </c>
      <c r="F326" s="331" t="s">
        <v>1768</v>
      </c>
      <c r="G326" s="331">
        <f>iferror(sumifs('Hợp tác'!G:G,'Hợp tác'!A:A,B326,'Hợp tác'!H:H,$G$2,'Hợp tác'!I:I,$I$2),"")</f>
        <v>0</v>
      </c>
      <c r="H326" s="332">
        <f>SUMIFS(View!J:J,View!B:B,B326)</f>
        <v>0</v>
      </c>
      <c r="I326" s="332">
        <f>sumifs('Hoa Hồng'!L:L,'Hoa Hồng'!A:A,B326)</f>
        <v>0</v>
      </c>
      <c r="J326" s="332">
        <v>0.0</v>
      </c>
      <c r="K326" s="333" t="s">
        <v>1211</v>
      </c>
      <c r="L326" s="334"/>
      <c r="M326" s="334"/>
      <c r="N326" s="334"/>
      <c r="O326" s="334"/>
      <c r="P326" s="334"/>
      <c r="Q326" s="334"/>
      <c r="R326" s="334"/>
      <c r="S326" s="334"/>
      <c r="T326" s="334"/>
      <c r="U326" s="334"/>
      <c r="V326" s="334"/>
      <c r="W326" s="334"/>
      <c r="X326" s="334"/>
      <c r="Y326" s="334"/>
      <c r="Z326" s="334"/>
      <c r="AA326" s="334"/>
      <c r="AB326" s="334"/>
      <c r="AC326" s="334"/>
      <c r="AD326" s="334"/>
    </row>
    <row r="327" ht="16.5" customHeight="1">
      <c r="A327" s="334"/>
      <c r="B327" s="329" t="str">
        <f>IFERROR(__xludf.DUMMYFUNCTION("""COMPUTED_VALUE"""),"INFANH434")</f>
        <v>INFANH434</v>
      </c>
      <c r="C327" s="329" t="s">
        <v>1769</v>
      </c>
      <c r="D327" s="331" t="s">
        <v>1770</v>
      </c>
      <c r="E327" s="331" t="s">
        <v>1771</v>
      </c>
      <c r="F327" s="331" t="s">
        <v>1772</v>
      </c>
      <c r="G327" s="331">
        <f>iferror(sumifs('Hợp tác'!G:G,'Hợp tác'!A:A,B327,'Hợp tác'!H:H,$G$2,'Hợp tác'!I:I,$I$2),"")</f>
        <v>0</v>
      </c>
      <c r="H327" s="332">
        <f>SUMIFS(View!J:J,View!B:B,B327)</f>
        <v>0</v>
      </c>
      <c r="I327" s="332">
        <f>sumifs('Hoa Hồng'!L:L,'Hoa Hồng'!A:A,B327)</f>
        <v>0</v>
      </c>
      <c r="J327" s="332">
        <v>0.0</v>
      </c>
      <c r="K327" s="333" t="s">
        <v>1211</v>
      </c>
      <c r="L327" s="334"/>
      <c r="M327" s="334"/>
      <c r="N327" s="334"/>
      <c r="O327" s="334"/>
      <c r="P327" s="334"/>
      <c r="Q327" s="334"/>
      <c r="R327" s="334"/>
      <c r="S327" s="334"/>
      <c r="T327" s="334"/>
      <c r="U327" s="334"/>
      <c r="V327" s="334"/>
      <c r="W327" s="334"/>
      <c r="X327" s="334"/>
      <c r="Y327" s="334"/>
      <c r="Z327" s="334"/>
      <c r="AA327" s="334"/>
      <c r="AB327" s="334"/>
      <c r="AC327" s="334"/>
      <c r="AD327" s="334"/>
    </row>
    <row r="328" ht="16.5" customHeight="1">
      <c r="A328" s="334"/>
      <c r="B328" s="329" t="str">
        <f>IFERROR(__xludf.DUMMYFUNCTION("""COMPUTED_VALUE"""),"INFNGUYET899")</f>
        <v>INFNGUYET899</v>
      </c>
      <c r="C328" s="329" t="s">
        <v>1773</v>
      </c>
      <c r="D328" s="331"/>
      <c r="E328" s="331"/>
      <c r="F328" s="331"/>
      <c r="G328" s="331">
        <f>iferror(sumifs('Hợp tác'!G:G,'Hợp tác'!A:A,B328,'Hợp tác'!H:H,$G$2,'Hợp tác'!I:I,$I$2),"")</f>
        <v>0</v>
      </c>
      <c r="H328" s="332">
        <f>SUMIFS(View!J:J,View!B:B,B328)</f>
        <v>0</v>
      </c>
      <c r="I328" s="332">
        <f>sumifs('Hoa Hồng'!L:L,'Hoa Hồng'!A:A,B328)</f>
        <v>0</v>
      </c>
      <c r="J328" s="332">
        <v>0.0</v>
      </c>
      <c r="K328" s="333" t="s">
        <v>1211</v>
      </c>
      <c r="L328" s="334"/>
      <c r="M328" s="334"/>
      <c r="N328" s="334"/>
      <c r="O328" s="334"/>
      <c r="P328" s="334"/>
      <c r="Q328" s="334"/>
      <c r="R328" s="334"/>
      <c r="S328" s="334"/>
      <c r="T328" s="334"/>
      <c r="U328" s="334"/>
      <c r="V328" s="334"/>
      <c r="W328" s="334"/>
      <c r="X328" s="334"/>
      <c r="Y328" s="334"/>
      <c r="Z328" s="334"/>
      <c r="AA328" s="334"/>
      <c r="AB328" s="334"/>
      <c r="AC328" s="334"/>
      <c r="AD328" s="334"/>
    </row>
    <row r="329" ht="16.5" customHeight="1">
      <c r="A329" s="334"/>
      <c r="B329" s="329" t="str">
        <f>IFERROR(__xludf.DUMMYFUNCTION("""COMPUTED_VALUE"""),"INFTU867")</f>
        <v>INFTU867</v>
      </c>
      <c r="C329" s="329" t="s">
        <v>1774</v>
      </c>
      <c r="D329" s="331">
        <v>1.2210000269951E13</v>
      </c>
      <c r="E329" s="331" t="s">
        <v>1774</v>
      </c>
      <c r="F329" s="331" t="s">
        <v>90</v>
      </c>
      <c r="G329" s="331">
        <f>iferror(sumifs('Hợp tác'!G:G,'Hợp tác'!A:A,B329,'Hợp tác'!H:H,$G$2,'Hợp tác'!I:I,$I$2),"")</f>
        <v>0</v>
      </c>
      <c r="H329" s="332">
        <f>SUMIFS(View!J:J,View!B:B,B329)</f>
        <v>0</v>
      </c>
      <c r="I329" s="332">
        <f>sumifs('Hoa Hồng'!L:L,'Hoa Hồng'!A:A,B329)</f>
        <v>0</v>
      </c>
      <c r="J329" s="332">
        <v>0.0</v>
      </c>
      <c r="K329" s="333" t="s">
        <v>1211</v>
      </c>
      <c r="L329" s="334"/>
      <c r="M329" s="334"/>
      <c r="N329" s="334"/>
      <c r="O329" s="334"/>
      <c r="P329" s="334"/>
      <c r="Q329" s="334"/>
      <c r="R329" s="334"/>
      <c r="S329" s="334"/>
      <c r="T329" s="334"/>
      <c r="U329" s="334"/>
      <c r="V329" s="334"/>
      <c r="W329" s="334"/>
      <c r="X329" s="334"/>
      <c r="Y329" s="334"/>
      <c r="Z329" s="334"/>
      <c r="AA329" s="334"/>
      <c r="AB329" s="334"/>
      <c r="AC329" s="334"/>
      <c r="AD329" s="334"/>
    </row>
    <row r="330" ht="16.5" customHeight="1">
      <c r="A330" s="334"/>
      <c r="B330" s="329" t="str">
        <f>IFERROR(__xludf.DUMMYFUNCTION("""COMPUTED_VALUE"""),"INFNGOC484")</f>
        <v>INFNGOC484</v>
      </c>
      <c r="C330" s="329" t="s">
        <v>1775</v>
      </c>
      <c r="D330" s="331" t="s">
        <v>1776</v>
      </c>
      <c r="E330" s="331" t="s">
        <v>1777</v>
      </c>
      <c r="F330" s="331" t="s">
        <v>1778</v>
      </c>
      <c r="G330" s="331">
        <f>iferror(sumifs('Hợp tác'!G:G,'Hợp tác'!A:A,B330,'Hợp tác'!H:H,$G$2,'Hợp tác'!I:I,$I$2),"")</f>
        <v>0</v>
      </c>
      <c r="H330" s="332">
        <f>SUMIFS(View!J:J,View!B:B,B330)</f>
        <v>0</v>
      </c>
      <c r="I330" s="332">
        <f>sumifs('Hoa Hồng'!L:L,'Hoa Hồng'!A:A,B330)</f>
        <v>0</v>
      </c>
      <c r="J330" s="332">
        <v>0.0</v>
      </c>
      <c r="K330" s="333" t="s">
        <v>1211</v>
      </c>
      <c r="L330" s="334"/>
      <c r="M330" s="334"/>
      <c r="N330" s="334"/>
      <c r="O330" s="334"/>
      <c r="P330" s="334"/>
      <c r="Q330" s="334"/>
      <c r="R330" s="334"/>
      <c r="S330" s="334"/>
      <c r="T330" s="334"/>
      <c r="U330" s="334"/>
      <c r="V330" s="334"/>
      <c r="W330" s="334"/>
      <c r="X330" s="334"/>
      <c r="Y330" s="334"/>
      <c r="Z330" s="334"/>
      <c r="AA330" s="334"/>
      <c r="AB330" s="334"/>
      <c r="AC330" s="334"/>
      <c r="AD330" s="334"/>
    </row>
    <row r="331" ht="16.5" customHeight="1">
      <c r="A331" s="334"/>
      <c r="B331" s="329" t="str">
        <f>IFERROR(__xludf.DUMMYFUNCTION("""COMPUTED_VALUE"""),"INFANH776")</f>
        <v>INFANH776</v>
      </c>
      <c r="C331" s="329" t="s">
        <v>1779</v>
      </c>
      <c r="D331" s="331"/>
      <c r="E331" s="331"/>
      <c r="F331" s="331"/>
      <c r="G331" s="331">
        <f>iferror(sumifs('Hợp tác'!G:G,'Hợp tác'!A:A,B331,'Hợp tác'!H:H,$G$2,'Hợp tác'!I:I,$I$2),"")</f>
        <v>0</v>
      </c>
      <c r="H331" s="332">
        <f>SUMIFS(View!J:J,View!B:B,B331)</f>
        <v>0</v>
      </c>
      <c r="I331" s="332">
        <f>sumifs('Hoa Hồng'!L:L,'Hoa Hồng'!A:A,B331)</f>
        <v>0</v>
      </c>
      <c r="J331" s="332">
        <v>0.0</v>
      </c>
      <c r="K331" s="333" t="s">
        <v>1211</v>
      </c>
      <c r="L331" s="334"/>
      <c r="M331" s="334"/>
      <c r="N331" s="334"/>
      <c r="O331" s="334"/>
      <c r="P331" s="334"/>
      <c r="Q331" s="334"/>
      <c r="R331" s="334"/>
      <c r="S331" s="334"/>
      <c r="T331" s="334"/>
      <c r="U331" s="334"/>
      <c r="V331" s="334"/>
      <c r="W331" s="334"/>
      <c r="X331" s="334"/>
      <c r="Y331" s="334"/>
      <c r="Z331" s="334"/>
      <c r="AA331" s="334"/>
      <c r="AB331" s="334"/>
      <c r="AC331" s="334"/>
      <c r="AD331" s="334"/>
    </row>
    <row r="332" ht="16.5" customHeight="1">
      <c r="A332" s="334"/>
      <c r="B332" s="329" t="str">
        <f>IFERROR(__xludf.DUMMYFUNCTION("""COMPUTED_VALUE"""),"INFHAI456")</f>
        <v>INFHAI456</v>
      </c>
      <c r="C332" s="329" t="s">
        <v>1780</v>
      </c>
      <c r="D332" s="331">
        <v>1.9033718846011E13</v>
      </c>
      <c r="E332" s="331" t="s">
        <v>1781</v>
      </c>
      <c r="F332" s="331" t="s">
        <v>1782</v>
      </c>
      <c r="G332" s="331">
        <f>iferror(sumifs('Hợp tác'!G:G,'Hợp tác'!A:A,B332,'Hợp tác'!H:H,$G$2,'Hợp tác'!I:I,$I$2),"")</f>
        <v>0</v>
      </c>
      <c r="H332" s="332">
        <f>SUMIFS(View!J:J,View!B:B,B332)</f>
        <v>0</v>
      </c>
      <c r="I332" s="332">
        <f>sumifs('Hoa Hồng'!L:L,'Hoa Hồng'!A:A,B332)</f>
        <v>0</v>
      </c>
      <c r="J332" s="332">
        <v>0.0</v>
      </c>
      <c r="K332" s="333" t="s">
        <v>1211</v>
      </c>
      <c r="L332" s="334"/>
      <c r="M332" s="334"/>
      <c r="N332" s="334"/>
      <c r="O332" s="334"/>
      <c r="P332" s="334"/>
      <c r="Q332" s="334"/>
      <c r="R332" s="334"/>
      <c r="S332" s="334"/>
      <c r="T332" s="334"/>
      <c r="U332" s="334"/>
      <c r="V332" s="334"/>
      <c r="W332" s="334"/>
      <c r="X332" s="334"/>
      <c r="Y332" s="334"/>
      <c r="Z332" s="334"/>
      <c r="AA332" s="334"/>
      <c r="AB332" s="334"/>
      <c r="AC332" s="334"/>
      <c r="AD332" s="334"/>
    </row>
    <row r="333" ht="16.5" customHeight="1">
      <c r="A333" s="334"/>
      <c r="B333" s="329" t="str">
        <f>IFERROR(__xludf.DUMMYFUNCTION("""COMPUTED_VALUE"""),"INFPHUC334")</f>
        <v>INFPHUC334</v>
      </c>
      <c r="C333" s="329" t="s">
        <v>1783</v>
      </c>
      <c r="D333" s="331">
        <v>2.13594753E8</v>
      </c>
      <c r="E333" s="331" t="s">
        <v>1784</v>
      </c>
      <c r="F333" s="331" t="s">
        <v>1785</v>
      </c>
      <c r="G333" s="331">
        <f>iferror(sumifs('Hợp tác'!G:G,'Hợp tác'!A:A,B333,'Hợp tác'!H:H,$G$2,'Hợp tác'!I:I,$I$2),"")</f>
        <v>0</v>
      </c>
      <c r="H333" s="332">
        <f>SUMIFS(View!J:J,View!B:B,B333)</f>
        <v>0</v>
      </c>
      <c r="I333" s="332">
        <f>sumifs('Hoa Hồng'!L:L,'Hoa Hồng'!A:A,B333)</f>
        <v>0</v>
      </c>
      <c r="J333" s="332">
        <v>0.0</v>
      </c>
      <c r="K333" s="333" t="s">
        <v>1211</v>
      </c>
      <c r="L333" s="334"/>
      <c r="M333" s="334"/>
      <c r="N333" s="334"/>
      <c r="O333" s="334"/>
      <c r="P333" s="334"/>
      <c r="Q333" s="334"/>
      <c r="R333" s="334"/>
      <c r="S333" s="334"/>
      <c r="T333" s="334"/>
      <c r="U333" s="334"/>
      <c r="V333" s="334"/>
      <c r="W333" s="334"/>
      <c r="X333" s="334"/>
      <c r="Y333" s="334"/>
      <c r="Z333" s="334"/>
      <c r="AA333" s="334"/>
      <c r="AB333" s="334"/>
      <c r="AC333" s="334"/>
      <c r="AD333" s="334"/>
    </row>
    <row r="334" ht="16.5" customHeight="1">
      <c r="A334" s="334"/>
      <c r="B334" s="329" t="str">
        <f>IFERROR(__xludf.DUMMYFUNCTION("""COMPUTED_VALUE"""),"INFTHUY992")</f>
        <v>INFTHUY992</v>
      </c>
      <c r="C334" s="329" t="s">
        <v>1786</v>
      </c>
      <c r="D334" s="331" t="s">
        <v>1787</v>
      </c>
      <c r="E334" s="331" t="s">
        <v>1788</v>
      </c>
      <c r="F334" s="331" t="s">
        <v>39</v>
      </c>
      <c r="G334" s="331">
        <f>iferror(sumifs('Hợp tác'!G:G,'Hợp tác'!A:A,B334,'Hợp tác'!H:H,$G$2,'Hợp tác'!I:I,$I$2),"")</f>
        <v>0</v>
      </c>
      <c r="H334" s="332">
        <f>SUMIFS(View!J:J,View!B:B,B334)</f>
        <v>0</v>
      </c>
      <c r="I334" s="332">
        <f>sumifs('Hoa Hồng'!L:L,'Hoa Hồng'!A:A,B334)</f>
        <v>0</v>
      </c>
      <c r="J334" s="332">
        <v>0.0</v>
      </c>
      <c r="K334" s="333" t="s">
        <v>1211</v>
      </c>
      <c r="L334" s="334"/>
      <c r="M334" s="334"/>
      <c r="N334" s="334"/>
      <c r="O334" s="334"/>
      <c r="P334" s="334"/>
      <c r="Q334" s="334"/>
      <c r="R334" s="334"/>
      <c r="S334" s="334"/>
      <c r="T334" s="334"/>
      <c r="U334" s="334"/>
      <c r="V334" s="334"/>
      <c r="W334" s="334"/>
      <c r="X334" s="334"/>
      <c r="Y334" s="334"/>
      <c r="Z334" s="334"/>
      <c r="AA334" s="334"/>
      <c r="AB334" s="334"/>
      <c r="AC334" s="334"/>
      <c r="AD334" s="334"/>
    </row>
    <row r="335" ht="16.5" customHeight="1">
      <c r="A335" s="334"/>
      <c r="B335" s="329" t="str">
        <f>IFERROR(__xludf.DUMMYFUNCTION("""COMPUTED_VALUE"""),"INFQUYNH363")</f>
        <v>INFQUYNH363</v>
      </c>
      <c r="C335" s="329" t="s">
        <v>1789</v>
      </c>
      <c r="D335" s="331">
        <v>3.939234569999E12</v>
      </c>
      <c r="E335" s="331" t="s">
        <v>1789</v>
      </c>
      <c r="F335" s="331" t="s">
        <v>1790</v>
      </c>
      <c r="G335" s="331">
        <f>iferror(sumifs('Hợp tác'!G:G,'Hợp tác'!A:A,B335,'Hợp tác'!H:H,$G$2,'Hợp tác'!I:I,$I$2),"")</f>
        <v>0</v>
      </c>
      <c r="H335" s="332">
        <f>SUMIFS(View!J:J,View!B:B,B335)</f>
        <v>0</v>
      </c>
      <c r="I335" s="332">
        <f>sumifs('Hoa Hồng'!L:L,'Hoa Hồng'!A:A,B335)</f>
        <v>0</v>
      </c>
      <c r="J335" s="332">
        <v>0.0</v>
      </c>
      <c r="K335" s="333" t="s">
        <v>1211</v>
      </c>
      <c r="L335" s="334"/>
      <c r="M335" s="334"/>
      <c r="N335" s="334"/>
      <c r="O335" s="334"/>
      <c r="P335" s="334"/>
      <c r="Q335" s="334"/>
      <c r="R335" s="334"/>
      <c r="S335" s="334"/>
      <c r="T335" s="334"/>
      <c r="U335" s="334"/>
      <c r="V335" s="334"/>
      <c r="W335" s="334"/>
      <c r="X335" s="334"/>
      <c r="Y335" s="334"/>
      <c r="Z335" s="334"/>
      <c r="AA335" s="334"/>
      <c r="AB335" s="334"/>
      <c r="AC335" s="334"/>
      <c r="AD335" s="334"/>
    </row>
    <row r="336" ht="16.5" customHeight="1">
      <c r="A336" s="334"/>
      <c r="B336" s="329" t="str">
        <f>IFERROR(__xludf.DUMMYFUNCTION("""COMPUTED_VALUE"""),"INFPHUONG957")</f>
        <v>INFPHUONG957</v>
      </c>
      <c r="C336" s="329" t="s">
        <v>1791</v>
      </c>
      <c r="D336" s="331" t="s">
        <v>1792</v>
      </c>
      <c r="E336" s="331" t="s">
        <v>1793</v>
      </c>
      <c r="F336" s="331" t="s">
        <v>187</v>
      </c>
      <c r="G336" s="331">
        <f>iferror(sumifs('Hợp tác'!G:G,'Hợp tác'!A:A,B336,'Hợp tác'!H:H,$G$2,'Hợp tác'!I:I,$I$2),"")</f>
        <v>0</v>
      </c>
      <c r="H336" s="332">
        <f>SUMIFS(View!J:J,View!B:B,B336)</f>
        <v>0</v>
      </c>
      <c r="I336" s="332">
        <f>sumifs('Hoa Hồng'!L:L,'Hoa Hồng'!A:A,B336)</f>
        <v>0</v>
      </c>
      <c r="J336" s="332">
        <v>0.0</v>
      </c>
      <c r="K336" s="333" t="s">
        <v>1211</v>
      </c>
      <c r="L336" s="334"/>
      <c r="M336" s="334"/>
      <c r="N336" s="334"/>
      <c r="O336" s="334"/>
      <c r="P336" s="334"/>
      <c r="Q336" s="334"/>
      <c r="R336" s="334"/>
      <c r="S336" s="334"/>
      <c r="T336" s="334"/>
      <c r="U336" s="334"/>
      <c r="V336" s="334"/>
      <c r="W336" s="334"/>
      <c r="X336" s="334"/>
      <c r="Y336" s="334"/>
      <c r="Z336" s="334"/>
      <c r="AA336" s="334"/>
      <c r="AB336" s="334"/>
      <c r="AC336" s="334"/>
      <c r="AD336" s="334"/>
    </row>
    <row r="337" ht="16.5" customHeight="1">
      <c r="A337" s="334"/>
      <c r="B337" s="329" t="str">
        <f>IFERROR(__xludf.DUMMYFUNCTION("""COMPUTED_VALUE"""),"INFKIEU032")</f>
        <v>INFKIEU032</v>
      </c>
      <c r="C337" s="329" t="s">
        <v>1794</v>
      </c>
      <c r="D337" s="331">
        <v>4.71000341992E11</v>
      </c>
      <c r="E337" s="331"/>
      <c r="F337" s="331" t="s">
        <v>1525</v>
      </c>
      <c r="G337" s="331">
        <f>iferror(sumifs('Hợp tác'!G:G,'Hợp tác'!A:A,B337,'Hợp tác'!H:H,$G$2,'Hợp tác'!I:I,$I$2),"")</f>
        <v>0</v>
      </c>
      <c r="H337" s="332">
        <f>SUMIFS(View!J:J,View!B:B,B337)</f>
        <v>0</v>
      </c>
      <c r="I337" s="332">
        <f>sumifs('Hoa Hồng'!L:L,'Hoa Hồng'!A:A,B337)</f>
        <v>0</v>
      </c>
      <c r="J337" s="332">
        <v>0.0</v>
      </c>
      <c r="K337" s="333" t="s">
        <v>1211</v>
      </c>
      <c r="L337" s="334"/>
      <c r="M337" s="334"/>
      <c r="N337" s="334"/>
      <c r="O337" s="334"/>
      <c r="P337" s="334"/>
      <c r="Q337" s="334"/>
      <c r="R337" s="334"/>
      <c r="S337" s="334"/>
      <c r="T337" s="334"/>
      <c r="U337" s="334"/>
      <c r="V337" s="334"/>
      <c r="W337" s="334"/>
      <c r="X337" s="334"/>
      <c r="Y337" s="334"/>
      <c r="Z337" s="334"/>
      <c r="AA337" s="334"/>
      <c r="AB337" s="334"/>
      <c r="AC337" s="334"/>
      <c r="AD337" s="334"/>
    </row>
    <row r="338" ht="16.5" customHeight="1">
      <c r="A338" s="334"/>
      <c r="B338" s="329" t="str">
        <f>IFERROR(__xludf.DUMMYFUNCTION("""COMPUTED_VALUE"""),"INFPHAT412")</f>
        <v>INFPHAT412</v>
      </c>
      <c r="C338" s="329" t="s">
        <v>1795</v>
      </c>
      <c r="D338" s="331">
        <v>1.9035920051013E13</v>
      </c>
      <c r="E338" s="331"/>
      <c r="F338" s="331" t="s">
        <v>1796</v>
      </c>
      <c r="G338" s="331">
        <f>iferror(sumifs('Hợp tác'!G:G,'Hợp tác'!A:A,B338,'Hợp tác'!H:H,$G$2,'Hợp tác'!I:I,$I$2),"")</f>
        <v>0</v>
      </c>
      <c r="H338" s="332">
        <f>SUMIFS(View!J:J,View!B:B,B338)</f>
        <v>0</v>
      </c>
      <c r="I338" s="332">
        <f>sumifs('Hoa Hồng'!L:L,'Hoa Hồng'!A:A,B338)</f>
        <v>0</v>
      </c>
      <c r="J338" s="332">
        <v>0.0</v>
      </c>
      <c r="K338" s="333" t="s">
        <v>1211</v>
      </c>
      <c r="L338" s="334"/>
      <c r="M338" s="334"/>
      <c r="N338" s="334"/>
      <c r="O338" s="334"/>
      <c r="P338" s="334"/>
      <c r="Q338" s="334"/>
      <c r="R338" s="334"/>
      <c r="S338" s="334"/>
      <c r="T338" s="334"/>
      <c r="U338" s="334"/>
      <c r="V338" s="334"/>
      <c r="W338" s="334"/>
      <c r="X338" s="334"/>
      <c r="Y338" s="334"/>
      <c r="Z338" s="334"/>
      <c r="AA338" s="334"/>
      <c r="AB338" s="334"/>
      <c r="AC338" s="334"/>
      <c r="AD338" s="334"/>
    </row>
    <row r="339" ht="16.5" customHeight="1">
      <c r="A339" s="334"/>
      <c r="B339" s="329" t="str">
        <f>IFERROR(__xludf.DUMMYFUNCTION("""COMPUTED_VALUE"""),"INFTHAO121")</f>
        <v>INFTHAO121</v>
      </c>
      <c r="C339" s="329" t="s">
        <v>1797</v>
      </c>
      <c r="D339" s="331">
        <v>3.550125558888E12</v>
      </c>
      <c r="E339" s="331" t="s">
        <v>1798</v>
      </c>
      <c r="F339" s="331" t="s">
        <v>1799</v>
      </c>
      <c r="G339" s="331">
        <f>iferror(sumifs('Hợp tác'!G:G,'Hợp tác'!A:A,B339,'Hợp tác'!H:H,$G$2,'Hợp tác'!I:I,$I$2),"")</f>
        <v>0</v>
      </c>
      <c r="H339" s="332">
        <f>SUMIFS(View!J:J,View!B:B,B339)</f>
        <v>0</v>
      </c>
      <c r="I339" s="332">
        <f>sumifs('Hoa Hồng'!L:L,'Hoa Hồng'!A:A,B339)</f>
        <v>0</v>
      </c>
      <c r="J339" s="332">
        <v>0.0</v>
      </c>
      <c r="K339" s="333" t="s">
        <v>1211</v>
      </c>
      <c r="L339" s="334"/>
      <c r="M339" s="334"/>
      <c r="N339" s="334"/>
      <c r="O339" s="334"/>
      <c r="P339" s="334"/>
      <c r="Q339" s="334"/>
      <c r="R339" s="334"/>
      <c r="S339" s="334"/>
      <c r="T339" s="334"/>
      <c r="U339" s="334"/>
      <c r="V339" s="334"/>
      <c r="W339" s="334"/>
      <c r="X339" s="334"/>
      <c r="Y339" s="334"/>
      <c r="Z339" s="334"/>
      <c r="AA339" s="334"/>
      <c r="AB339" s="334"/>
      <c r="AC339" s="334"/>
      <c r="AD339" s="334"/>
    </row>
    <row r="340" ht="16.5" customHeight="1">
      <c r="A340" s="334"/>
      <c r="B340" s="329" t="str">
        <f>IFERROR(__xludf.DUMMYFUNCTION("""COMPUTED_VALUE"""),"INFNGA668")</f>
        <v>INFNGA668</v>
      </c>
      <c r="C340" s="329" t="s">
        <v>1800</v>
      </c>
      <c r="D340" s="331">
        <v>1.9032362618886E13</v>
      </c>
      <c r="E340" s="331"/>
      <c r="F340" s="331" t="s">
        <v>122</v>
      </c>
      <c r="G340" s="331">
        <f>iferror(sumifs('Hợp tác'!G:G,'Hợp tác'!A:A,B340,'Hợp tác'!H:H,$G$2,'Hợp tác'!I:I,$I$2),"")</f>
        <v>0</v>
      </c>
      <c r="H340" s="332">
        <f>SUMIFS(View!J:J,View!B:B,B340)</f>
        <v>0</v>
      </c>
      <c r="I340" s="332">
        <f>sumifs('Hoa Hồng'!L:L,'Hoa Hồng'!A:A,B340)</f>
        <v>0</v>
      </c>
      <c r="J340" s="332">
        <v>0.0</v>
      </c>
      <c r="K340" s="333" t="s">
        <v>1211</v>
      </c>
      <c r="L340" s="334"/>
      <c r="M340" s="334"/>
      <c r="N340" s="334"/>
      <c r="O340" s="334"/>
      <c r="P340" s="334"/>
      <c r="Q340" s="334"/>
      <c r="R340" s="334"/>
      <c r="S340" s="334"/>
      <c r="T340" s="334"/>
      <c r="U340" s="334"/>
      <c r="V340" s="334"/>
      <c r="W340" s="334"/>
      <c r="X340" s="334"/>
      <c r="Y340" s="334"/>
      <c r="Z340" s="334"/>
      <c r="AA340" s="334"/>
      <c r="AB340" s="334"/>
      <c r="AC340" s="334"/>
      <c r="AD340" s="334"/>
    </row>
    <row r="341" ht="16.5" customHeight="1">
      <c r="A341" s="334"/>
      <c r="B341" s="329" t="str">
        <f>IFERROR(__xludf.DUMMYFUNCTION("""COMPUTED_VALUE"""),"INFVAN426")</f>
        <v>INFVAN426</v>
      </c>
      <c r="C341" s="329" t="s">
        <v>1801</v>
      </c>
      <c r="D341" s="331" t="s">
        <v>1802</v>
      </c>
      <c r="E341" s="331" t="s">
        <v>1803</v>
      </c>
      <c r="F341" s="331" t="s">
        <v>182</v>
      </c>
      <c r="G341" s="331">
        <f>iferror(sumifs('Hợp tác'!G:G,'Hợp tác'!A:A,B341,'Hợp tác'!H:H,$G$2,'Hợp tác'!I:I,$I$2),"")</f>
        <v>0</v>
      </c>
      <c r="H341" s="332">
        <f>SUMIFS(View!J:J,View!B:B,B341)</f>
        <v>0</v>
      </c>
      <c r="I341" s="332">
        <f>sumifs('Hoa Hồng'!L:L,'Hoa Hồng'!A:A,B341)</f>
        <v>0</v>
      </c>
      <c r="J341" s="332">
        <v>0.0</v>
      </c>
      <c r="K341" s="333" t="s">
        <v>1211</v>
      </c>
      <c r="L341" s="334"/>
      <c r="M341" s="334"/>
      <c r="N341" s="334"/>
      <c r="O341" s="334"/>
      <c r="P341" s="334"/>
      <c r="Q341" s="334"/>
      <c r="R341" s="334"/>
      <c r="S341" s="334"/>
      <c r="T341" s="334"/>
      <c r="U341" s="334"/>
      <c r="V341" s="334"/>
      <c r="W341" s="334"/>
      <c r="X341" s="334"/>
      <c r="Y341" s="334"/>
      <c r="Z341" s="334"/>
      <c r="AA341" s="334"/>
      <c r="AB341" s="334"/>
      <c r="AC341" s="334"/>
      <c r="AD341" s="334"/>
    </row>
    <row r="342" ht="16.5" customHeight="1">
      <c r="A342" s="334"/>
      <c r="B342" s="329" t="str">
        <f>IFERROR(__xludf.DUMMYFUNCTION("""COMPUTED_VALUE"""),"INFTHU402")</f>
        <v>INFTHU402</v>
      </c>
      <c r="C342" s="329" t="s">
        <v>1804</v>
      </c>
      <c r="D342" s="331">
        <v>1.9029348200029E13</v>
      </c>
      <c r="E342" s="331" t="s">
        <v>1804</v>
      </c>
      <c r="F342" s="331" t="s">
        <v>1805</v>
      </c>
      <c r="G342" s="331">
        <f>iferror(sumifs('Hợp tác'!G:G,'Hợp tác'!A:A,B342,'Hợp tác'!H:H,$G$2,'Hợp tác'!I:I,$I$2),"")</f>
        <v>0</v>
      </c>
      <c r="H342" s="332">
        <f>SUMIFS(View!J:J,View!B:B,B342)</f>
        <v>0</v>
      </c>
      <c r="I342" s="332">
        <f>sumifs('Hoa Hồng'!L:L,'Hoa Hồng'!A:A,B342)</f>
        <v>0</v>
      </c>
      <c r="J342" s="332">
        <v>0.0</v>
      </c>
      <c r="K342" s="333" t="s">
        <v>1211</v>
      </c>
      <c r="L342" s="334"/>
      <c r="M342" s="334"/>
      <c r="N342" s="334"/>
      <c r="O342" s="334"/>
      <c r="P342" s="334"/>
      <c r="Q342" s="334"/>
      <c r="R342" s="334"/>
      <c r="S342" s="334"/>
      <c r="T342" s="334"/>
      <c r="U342" s="334"/>
      <c r="V342" s="334"/>
      <c r="W342" s="334"/>
      <c r="X342" s="334"/>
      <c r="Y342" s="334"/>
      <c r="Z342" s="334"/>
      <c r="AA342" s="334"/>
      <c r="AB342" s="334"/>
      <c r="AC342" s="334"/>
      <c r="AD342" s="334"/>
    </row>
    <row r="343" ht="16.5" customHeight="1">
      <c r="A343" s="334"/>
      <c r="B343" s="329" t="str">
        <f>IFERROR(__xludf.DUMMYFUNCTION("""COMPUTED_VALUE"""),"INFTAM389")</f>
        <v>INFTAM389</v>
      </c>
      <c r="C343" s="329" t="s">
        <v>1806</v>
      </c>
      <c r="D343" s="331" t="s">
        <v>1807</v>
      </c>
      <c r="E343" s="331" t="s">
        <v>1806</v>
      </c>
      <c r="F343" s="331" t="s">
        <v>106</v>
      </c>
      <c r="G343" s="331">
        <f>iferror(sumifs('Hợp tác'!G:G,'Hợp tác'!A:A,B343,'Hợp tác'!H:H,$G$2,'Hợp tác'!I:I,$I$2),"")</f>
        <v>0</v>
      </c>
      <c r="H343" s="332">
        <f>SUMIFS(View!J:J,View!B:B,B343)</f>
        <v>0</v>
      </c>
      <c r="I343" s="332">
        <f>sumifs('Hoa Hồng'!L:L,'Hoa Hồng'!A:A,B343)</f>
        <v>0</v>
      </c>
      <c r="J343" s="332">
        <v>0.0</v>
      </c>
      <c r="K343" s="333" t="s">
        <v>1211</v>
      </c>
      <c r="L343" s="334"/>
      <c r="M343" s="334"/>
      <c r="N343" s="334"/>
      <c r="O343" s="334"/>
      <c r="P343" s="334"/>
      <c r="Q343" s="334"/>
      <c r="R343" s="334"/>
      <c r="S343" s="334"/>
      <c r="T343" s="334"/>
      <c r="U343" s="334"/>
      <c r="V343" s="334"/>
      <c r="W343" s="334"/>
      <c r="X343" s="334"/>
      <c r="Y343" s="334"/>
      <c r="Z343" s="334"/>
      <c r="AA343" s="334"/>
      <c r="AB343" s="334"/>
      <c r="AC343" s="334"/>
      <c r="AD343" s="334"/>
    </row>
    <row r="344" ht="16.5" customHeight="1">
      <c r="A344" s="334"/>
      <c r="B344" s="329" t="str">
        <f>IFERROR(__xludf.DUMMYFUNCTION("""COMPUTED_VALUE"""),"INFLAN384")</f>
        <v>INFLAN384</v>
      </c>
      <c r="C344" s="329" t="s">
        <v>1808</v>
      </c>
      <c r="D344" s="331">
        <v>1.015943454E9</v>
      </c>
      <c r="E344" s="331" t="s">
        <v>1809</v>
      </c>
      <c r="F344" s="331" t="s">
        <v>1810</v>
      </c>
      <c r="G344" s="331">
        <f>iferror(sumifs('Hợp tác'!G:G,'Hợp tác'!A:A,B344,'Hợp tác'!H:H,$G$2,'Hợp tác'!I:I,$I$2),"")</f>
        <v>0</v>
      </c>
      <c r="H344" s="332">
        <f>SUMIFS(View!J:J,View!B:B,B344)</f>
        <v>0</v>
      </c>
      <c r="I344" s="332">
        <f>sumifs('Hoa Hồng'!L:L,'Hoa Hồng'!A:A,B344)</f>
        <v>0</v>
      </c>
      <c r="J344" s="332">
        <v>0.0</v>
      </c>
      <c r="K344" s="333" t="s">
        <v>1211</v>
      </c>
      <c r="L344" s="334"/>
      <c r="M344" s="334"/>
      <c r="N344" s="334"/>
      <c r="O344" s="334"/>
      <c r="P344" s="334"/>
      <c r="Q344" s="334"/>
      <c r="R344" s="334"/>
      <c r="S344" s="334"/>
      <c r="T344" s="334"/>
      <c r="U344" s="334"/>
      <c r="V344" s="334"/>
      <c r="W344" s="334"/>
      <c r="X344" s="334"/>
      <c r="Y344" s="334"/>
      <c r="Z344" s="334"/>
      <c r="AA344" s="334"/>
      <c r="AB344" s="334"/>
      <c r="AC344" s="334"/>
      <c r="AD344" s="334"/>
    </row>
    <row r="345" ht="16.5" customHeight="1">
      <c r="A345" s="334"/>
      <c r="B345" s="329" t="str">
        <f>IFERROR(__xludf.DUMMYFUNCTION("""COMPUTED_VALUE"""),"INFNGA587")</f>
        <v>INFNGA587</v>
      </c>
      <c r="C345" s="329" t="s">
        <v>1811</v>
      </c>
      <c r="D345" s="331">
        <v>3.209205252165E12</v>
      </c>
      <c r="E345" s="331" t="s">
        <v>1811</v>
      </c>
      <c r="F345" s="331" t="s">
        <v>1812</v>
      </c>
      <c r="G345" s="331">
        <f>iferror(sumifs('Hợp tác'!G:G,'Hợp tác'!A:A,B345,'Hợp tác'!H:H,$G$2,'Hợp tác'!I:I,$I$2),"")</f>
        <v>0</v>
      </c>
      <c r="H345" s="332">
        <f>SUMIFS(View!J:J,View!B:B,B345)</f>
        <v>0</v>
      </c>
      <c r="I345" s="332">
        <f>sumifs('Hoa Hồng'!L:L,'Hoa Hồng'!A:A,B345)</f>
        <v>0</v>
      </c>
      <c r="J345" s="332">
        <v>0.0</v>
      </c>
      <c r="K345" s="333" t="s">
        <v>1211</v>
      </c>
      <c r="L345" s="334"/>
      <c r="M345" s="334"/>
      <c r="N345" s="334"/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</row>
    <row r="346" ht="16.5" customHeight="1">
      <c r="A346" s="334"/>
      <c r="B346" s="329" t="str">
        <f>IFERROR(__xludf.DUMMYFUNCTION("""COMPUTED_VALUE"""),"INFTRANG555")</f>
        <v>INFTRANG555</v>
      </c>
      <c r="C346" s="329" t="s">
        <v>1813</v>
      </c>
      <c r="D346" s="331">
        <v>8.860166368888E12</v>
      </c>
      <c r="E346" s="331"/>
      <c r="F346" s="331" t="s">
        <v>1814</v>
      </c>
      <c r="G346" s="331">
        <f>iferror(sumifs('Hợp tác'!G:G,'Hợp tác'!A:A,B346,'Hợp tác'!H:H,$G$2,'Hợp tác'!I:I,$I$2),"")</f>
        <v>0</v>
      </c>
      <c r="H346" s="332">
        <f>SUMIFS(View!J:J,View!B:B,B346)</f>
        <v>0</v>
      </c>
      <c r="I346" s="332">
        <f>sumifs('Hoa Hồng'!L:L,'Hoa Hồng'!A:A,B346)</f>
        <v>0</v>
      </c>
      <c r="J346" s="332">
        <v>0.0</v>
      </c>
      <c r="K346" s="333" t="s">
        <v>1211</v>
      </c>
      <c r="L346" s="334"/>
      <c r="M346" s="334"/>
      <c r="N346" s="334"/>
      <c r="O346" s="334"/>
      <c r="P346" s="334"/>
      <c r="Q346" s="334"/>
      <c r="R346" s="334"/>
      <c r="S346" s="334"/>
      <c r="T346" s="334"/>
      <c r="U346" s="334"/>
      <c r="V346" s="334"/>
      <c r="W346" s="334"/>
      <c r="X346" s="334"/>
      <c r="Y346" s="334"/>
      <c r="Z346" s="334"/>
      <c r="AA346" s="334"/>
      <c r="AB346" s="334"/>
      <c r="AC346" s="334"/>
      <c r="AD346" s="334"/>
    </row>
    <row r="347" ht="16.5" customHeight="1">
      <c r="A347" s="334"/>
      <c r="B347" s="329" t="str">
        <f>IFERROR(__xludf.DUMMYFUNCTION("""COMPUTED_VALUE"""),"INFVAN260")</f>
        <v>INFVAN260</v>
      </c>
      <c r="C347" s="329" t="s">
        <v>1815</v>
      </c>
      <c r="D347" s="331">
        <v>1.9035375749016E13</v>
      </c>
      <c r="E347" s="331" t="s">
        <v>1815</v>
      </c>
      <c r="F347" s="331" t="s">
        <v>48</v>
      </c>
      <c r="G347" s="331">
        <f>iferror(sumifs('Hợp tác'!G:G,'Hợp tác'!A:A,B347,'Hợp tác'!H:H,$G$2,'Hợp tác'!I:I,$I$2),"")</f>
        <v>0</v>
      </c>
      <c r="H347" s="332">
        <f>SUMIFS(View!J:J,View!B:B,B347)</f>
        <v>0</v>
      </c>
      <c r="I347" s="332">
        <f>sumifs('Hoa Hồng'!L:L,'Hoa Hồng'!A:A,B347)</f>
        <v>0</v>
      </c>
      <c r="J347" s="332">
        <v>0.0</v>
      </c>
      <c r="K347" s="333" t="s">
        <v>1211</v>
      </c>
      <c r="L347" s="334"/>
      <c r="M347" s="334"/>
      <c r="N347" s="334"/>
      <c r="O347" s="334"/>
      <c r="P347" s="334"/>
      <c r="Q347" s="334"/>
      <c r="R347" s="334"/>
      <c r="S347" s="334"/>
      <c r="T347" s="334"/>
      <c r="U347" s="334"/>
      <c r="V347" s="334"/>
      <c r="W347" s="334"/>
      <c r="X347" s="334"/>
      <c r="Y347" s="334"/>
      <c r="Z347" s="334"/>
      <c r="AA347" s="334"/>
      <c r="AB347" s="334"/>
      <c r="AC347" s="334"/>
      <c r="AD347" s="334"/>
    </row>
    <row r="348" ht="16.5" customHeight="1">
      <c r="A348" s="334"/>
      <c r="B348" s="329" t="str">
        <f>IFERROR(__xludf.DUMMYFUNCTION("""COMPUTED_VALUE"""),"INFHAO297")</f>
        <v>INFHAO297</v>
      </c>
      <c r="C348" s="329" t="s">
        <v>1816</v>
      </c>
      <c r="D348" s="331" t="s">
        <v>1817</v>
      </c>
      <c r="E348" s="331"/>
      <c r="F348" s="331"/>
      <c r="G348" s="331">
        <f>iferror(sumifs('Hợp tác'!G:G,'Hợp tác'!A:A,B348,'Hợp tác'!H:H,$G$2,'Hợp tác'!I:I,$I$2),"")</f>
        <v>0</v>
      </c>
      <c r="H348" s="332">
        <f>SUMIFS(View!J:J,View!B:B,B348)</f>
        <v>0</v>
      </c>
      <c r="I348" s="332">
        <f>sumifs('Hoa Hồng'!L:L,'Hoa Hồng'!A:A,B348)</f>
        <v>0</v>
      </c>
      <c r="J348" s="332">
        <v>0.0</v>
      </c>
      <c r="K348" s="333" t="s">
        <v>1211</v>
      </c>
      <c r="L348" s="334"/>
      <c r="M348" s="334"/>
      <c r="N348" s="334"/>
      <c r="O348" s="334"/>
      <c r="P348" s="334"/>
      <c r="Q348" s="334"/>
      <c r="R348" s="334"/>
      <c r="S348" s="334"/>
      <c r="T348" s="334"/>
      <c r="U348" s="334"/>
      <c r="V348" s="334"/>
      <c r="W348" s="334"/>
      <c r="X348" s="334"/>
      <c r="Y348" s="334"/>
      <c r="Z348" s="334"/>
      <c r="AA348" s="334"/>
      <c r="AB348" s="334"/>
      <c r="AC348" s="334"/>
      <c r="AD348" s="334"/>
    </row>
    <row r="349" ht="16.5" customHeight="1">
      <c r="A349" s="334"/>
      <c r="B349" s="329" t="str">
        <f>IFERROR(__xludf.DUMMYFUNCTION("""COMPUTED_VALUE"""),"INFTRINH643")</f>
        <v>INFTRINH643</v>
      </c>
      <c r="C349" s="329" t="s">
        <v>1818</v>
      </c>
      <c r="D349" s="331">
        <v>1.9034419253017E13</v>
      </c>
      <c r="E349" s="331" t="s">
        <v>1819</v>
      </c>
      <c r="F349" s="331" t="s">
        <v>1820</v>
      </c>
      <c r="G349" s="331">
        <f>iferror(sumifs('Hợp tác'!G:G,'Hợp tác'!A:A,B349,'Hợp tác'!H:H,$G$2,'Hợp tác'!I:I,$I$2),"")</f>
        <v>0</v>
      </c>
      <c r="H349" s="332">
        <f>SUMIFS(View!J:J,View!B:B,B349)</f>
        <v>0</v>
      </c>
      <c r="I349" s="332">
        <f>sumifs('Hoa Hồng'!L:L,'Hoa Hồng'!A:A,B349)</f>
        <v>0</v>
      </c>
      <c r="J349" s="332">
        <v>0.0</v>
      </c>
      <c r="K349" s="333" t="s">
        <v>1211</v>
      </c>
      <c r="L349" s="334"/>
      <c r="M349" s="334"/>
      <c r="N349" s="334"/>
      <c r="O349" s="334"/>
      <c r="P349" s="334"/>
      <c r="Q349" s="334"/>
      <c r="R349" s="334"/>
      <c r="S349" s="334"/>
      <c r="T349" s="334"/>
      <c r="U349" s="334"/>
      <c r="V349" s="334"/>
      <c r="W349" s="334"/>
      <c r="X349" s="334"/>
      <c r="Y349" s="334"/>
      <c r="Z349" s="334"/>
      <c r="AA349" s="334"/>
      <c r="AB349" s="334"/>
      <c r="AC349" s="334"/>
      <c r="AD349" s="334"/>
    </row>
    <row r="350" ht="16.5" customHeight="1">
      <c r="A350" s="334"/>
      <c r="B350" s="329" t="str">
        <f>IFERROR(__xludf.DUMMYFUNCTION("""COMPUTED_VALUE"""),"INFPHUONG442")</f>
        <v>INFPHUONG442</v>
      </c>
      <c r="C350" s="329" t="s">
        <v>1821</v>
      </c>
      <c r="D350" s="331" t="s">
        <v>1822</v>
      </c>
      <c r="E350" s="331" t="s">
        <v>1823</v>
      </c>
      <c r="F350" s="331" t="s">
        <v>90</v>
      </c>
      <c r="G350" s="331">
        <f>iferror(sumifs('Hợp tác'!G:G,'Hợp tác'!A:A,B350,'Hợp tác'!H:H,$G$2,'Hợp tác'!I:I,$I$2),"")</f>
        <v>0</v>
      </c>
      <c r="H350" s="332">
        <f>SUMIFS(View!J:J,View!B:B,B350)</f>
        <v>0</v>
      </c>
      <c r="I350" s="332">
        <f>sumifs('Hoa Hồng'!L:L,'Hoa Hồng'!A:A,B350)</f>
        <v>0</v>
      </c>
      <c r="J350" s="332">
        <v>0.0</v>
      </c>
      <c r="K350" s="333" t="s">
        <v>1211</v>
      </c>
      <c r="L350" s="334"/>
      <c r="M350" s="334"/>
      <c r="N350" s="334"/>
      <c r="O350" s="334"/>
      <c r="P350" s="334"/>
      <c r="Q350" s="334"/>
      <c r="R350" s="334"/>
      <c r="S350" s="334"/>
      <c r="T350" s="334"/>
      <c r="U350" s="334"/>
      <c r="V350" s="334"/>
      <c r="W350" s="334"/>
      <c r="X350" s="334"/>
      <c r="Y350" s="334"/>
      <c r="Z350" s="334"/>
      <c r="AA350" s="334"/>
      <c r="AB350" s="334"/>
      <c r="AC350" s="334"/>
      <c r="AD350" s="334"/>
    </row>
    <row r="351" ht="16.5" customHeight="1">
      <c r="A351" s="334"/>
      <c r="B351" s="329" t="str">
        <f>IFERROR(__xludf.DUMMYFUNCTION("""COMPUTED_VALUE"""),"INFANH693")</f>
        <v>INFANH693</v>
      </c>
      <c r="C351" s="329" t="s">
        <v>1824</v>
      </c>
      <c r="D351" s="331" t="s">
        <v>1825</v>
      </c>
      <c r="E351" s="331"/>
      <c r="F351" s="331" t="s">
        <v>1826</v>
      </c>
      <c r="G351" s="331">
        <f>iferror(sumifs('Hợp tác'!G:G,'Hợp tác'!A:A,B351,'Hợp tác'!H:H,$G$2,'Hợp tác'!I:I,$I$2),"")</f>
        <v>0</v>
      </c>
      <c r="H351" s="332">
        <f>SUMIFS(View!J:J,View!B:B,B351)</f>
        <v>0</v>
      </c>
      <c r="I351" s="332">
        <f>sumifs('Hoa Hồng'!L:L,'Hoa Hồng'!A:A,B351)</f>
        <v>0</v>
      </c>
      <c r="J351" s="332">
        <v>0.0</v>
      </c>
      <c r="K351" s="333" t="s">
        <v>1211</v>
      </c>
      <c r="L351" s="334"/>
      <c r="M351" s="334"/>
      <c r="N351" s="334"/>
      <c r="O351" s="334"/>
      <c r="P351" s="334"/>
      <c r="Q351" s="334"/>
      <c r="R351" s="334"/>
      <c r="S351" s="334"/>
      <c r="T351" s="334"/>
      <c r="U351" s="334"/>
      <c r="V351" s="334"/>
      <c r="W351" s="334"/>
      <c r="X351" s="334"/>
      <c r="Y351" s="334"/>
      <c r="Z351" s="334"/>
      <c r="AA351" s="334"/>
      <c r="AB351" s="334"/>
      <c r="AC351" s="334"/>
      <c r="AD351" s="334"/>
    </row>
    <row r="352" ht="16.5" customHeight="1">
      <c r="A352" s="334"/>
      <c r="B352" s="329" t="str">
        <f>IFERROR(__xludf.DUMMYFUNCTION("""COMPUTED_VALUE"""),"INFLE327")</f>
        <v>INFLE327</v>
      </c>
      <c r="C352" s="329" t="s">
        <v>1827</v>
      </c>
      <c r="D352" s="331" t="s">
        <v>1828</v>
      </c>
      <c r="E352" s="331"/>
      <c r="F352" s="331" t="s">
        <v>1810</v>
      </c>
      <c r="G352" s="331">
        <f>iferror(sumifs('Hợp tác'!G:G,'Hợp tác'!A:A,B352,'Hợp tác'!H:H,$G$2,'Hợp tác'!I:I,$I$2),"")</f>
        <v>0</v>
      </c>
      <c r="H352" s="332">
        <f>SUMIFS(View!J:J,View!B:B,B352)</f>
        <v>0</v>
      </c>
      <c r="I352" s="332">
        <f>sumifs('Hoa Hồng'!L:L,'Hoa Hồng'!A:A,B352)</f>
        <v>0</v>
      </c>
      <c r="J352" s="332">
        <v>0.0</v>
      </c>
      <c r="K352" s="333" t="s">
        <v>1211</v>
      </c>
      <c r="L352" s="334"/>
      <c r="M352" s="334"/>
      <c r="N352" s="334"/>
      <c r="O352" s="334"/>
      <c r="P352" s="334"/>
      <c r="Q352" s="334"/>
      <c r="R352" s="334"/>
      <c r="S352" s="334"/>
      <c r="T352" s="334"/>
      <c r="U352" s="334"/>
      <c r="V352" s="334"/>
      <c r="W352" s="334"/>
      <c r="X352" s="334"/>
      <c r="Y352" s="334"/>
      <c r="Z352" s="334"/>
      <c r="AA352" s="334"/>
      <c r="AB352" s="334"/>
      <c r="AC352" s="334"/>
      <c r="AD352" s="334"/>
    </row>
    <row r="353" ht="16.5" customHeight="1">
      <c r="A353" s="334"/>
      <c r="B353" s="329" t="str">
        <f>IFERROR(__xludf.DUMMYFUNCTION("""COMPUTED_VALUE"""),"INFNHUNG580")</f>
        <v>INFNHUNG580</v>
      </c>
      <c r="C353" s="329" t="s">
        <v>1829</v>
      </c>
      <c r="D353" s="331">
        <v>1.013076984E9</v>
      </c>
      <c r="E353" s="331"/>
      <c r="F353" s="331"/>
      <c r="G353" s="331">
        <f>iferror(sumifs('Hợp tác'!G:G,'Hợp tác'!A:A,B353,'Hợp tác'!H:H,$G$2,'Hợp tác'!I:I,$I$2),"")</f>
        <v>0</v>
      </c>
      <c r="H353" s="332">
        <f>SUMIFS(View!J:J,View!B:B,B353)</f>
        <v>0</v>
      </c>
      <c r="I353" s="332">
        <f>sumifs('Hoa Hồng'!L:L,'Hoa Hồng'!A:A,B353)</f>
        <v>0</v>
      </c>
      <c r="J353" s="332">
        <v>0.0</v>
      </c>
      <c r="K353" s="333" t="s">
        <v>1211</v>
      </c>
      <c r="L353" s="334"/>
      <c r="M353" s="334"/>
      <c r="N353" s="334"/>
      <c r="O353" s="334"/>
      <c r="P353" s="334"/>
      <c r="Q353" s="334"/>
      <c r="R353" s="334"/>
      <c r="S353" s="334"/>
      <c r="T353" s="334"/>
      <c r="U353" s="334"/>
      <c r="V353" s="334"/>
      <c r="W353" s="334"/>
      <c r="X353" s="334"/>
      <c r="Y353" s="334"/>
      <c r="Z353" s="334"/>
      <c r="AA353" s="334"/>
      <c r="AB353" s="334"/>
      <c r="AC353" s="334"/>
      <c r="AD353" s="334"/>
    </row>
    <row r="354" ht="16.5" customHeight="1">
      <c r="A354" s="334"/>
      <c r="B354" s="329" t="str">
        <f>IFERROR(__xludf.DUMMYFUNCTION("""COMPUTED_VALUE"""),"INFY173")</f>
        <v>INFY173</v>
      </c>
      <c r="C354" s="329" t="s">
        <v>1830</v>
      </c>
      <c r="D354" s="331">
        <v>7.686868688E9</v>
      </c>
      <c r="E354" s="331" t="s">
        <v>1830</v>
      </c>
      <c r="F354" s="331" t="s">
        <v>1831</v>
      </c>
      <c r="G354" s="331">
        <f>iferror(sumifs('Hợp tác'!G:G,'Hợp tác'!A:A,B354,'Hợp tác'!H:H,$G$2,'Hợp tác'!I:I,$I$2),"")</f>
        <v>0</v>
      </c>
      <c r="H354" s="332">
        <f>SUMIFS(View!J:J,View!B:B,B354)</f>
        <v>0</v>
      </c>
      <c r="I354" s="332">
        <f>sumifs('Hoa Hồng'!L:L,'Hoa Hồng'!A:A,B354)</f>
        <v>0</v>
      </c>
      <c r="J354" s="332">
        <v>0.0</v>
      </c>
      <c r="K354" s="333" t="s">
        <v>1211</v>
      </c>
      <c r="L354" s="334"/>
      <c r="M354" s="334"/>
      <c r="N354" s="334"/>
      <c r="O354" s="334"/>
      <c r="P354" s="334"/>
      <c r="Q354" s="334"/>
      <c r="R354" s="334"/>
      <c r="S354" s="334"/>
      <c r="T354" s="334"/>
      <c r="U354" s="334"/>
      <c r="V354" s="334"/>
      <c r="W354" s="334"/>
      <c r="X354" s="334"/>
      <c r="Y354" s="334"/>
      <c r="Z354" s="334"/>
      <c r="AA354" s="334"/>
      <c r="AB354" s="334"/>
      <c r="AC354" s="334"/>
      <c r="AD354" s="334"/>
    </row>
    <row r="355" ht="16.5" customHeight="1">
      <c r="A355" s="334"/>
      <c r="B355" s="329" t="str">
        <f>IFERROR(__xludf.DUMMYFUNCTION("""COMPUTED_VALUE"""),"INFHIEU043")</f>
        <v>INFHIEU043</v>
      </c>
      <c r="C355" s="329" t="s">
        <v>1832</v>
      </c>
      <c r="D355" s="331">
        <v>1.8110000148459E13</v>
      </c>
      <c r="E355" s="331" t="s">
        <v>1833</v>
      </c>
      <c r="F355" s="331" t="s">
        <v>1834</v>
      </c>
      <c r="G355" s="331">
        <f>iferror(sumifs('Hợp tác'!G:G,'Hợp tác'!A:A,B355,'Hợp tác'!H:H,$G$2,'Hợp tác'!I:I,$I$2),"")</f>
        <v>0</v>
      </c>
      <c r="H355" s="332">
        <f>SUMIFS(View!J:J,View!B:B,B355)</f>
        <v>0</v>
      </c>
      <c r="I355" s="332">
        <f>sumifs('Hoa Hồng'!L:L,'Hoa Hồng'!A:A,B355)</f>
        <v>0</v>
      </c>
      <c r="J355" s="332">
        <v>0.0</v>
      </c>
      <c r="K355" s="333" t="s">
        <v>1211</v>
      </c>
      <c r="L355" s="334"/>
      <c r="M355" s="334"/>
      <c r="N355" s="334"/>
      <c r="O355" s="334"/>
      <c r="P355" s="334"/>
      <c r="Q355" s="334"/>
      <c r="R355" s="334"/>
      <c r="S355" s="334"/>
      <c r="T355" s="334"/>
      <c r="U355" s="334"/>
      <c r="V355" s="334"/>
      <c r="W355" s="334"/>
      <c r="X355" s="334"/>
      <c r="Y355" s="334"/>
      <c r="Z355" s="334"/>
      <c r="AA355" s="334"/>
      <c r="AB355" s="334"/>
      <c r="AC355" s="334"/>
      <c r="AD355" s="334"/>
    </row>
    <row r="356" ht="16.5" customHeight="1">
      <c r="A356" s="334"/>
      <c r="B356" s="329" t="str">
        <f>IFERROR(__xludf.DUMMYFUNCTION("""COMPUTED_VALUE"""),"INFPHUONG555")</f>
        <v>INFPHUONG555</v>
      </c>
      <c r="C356" s="329" t="s">
        <v>1835</v>
      </c>
      <c r="D356" s="331">
        <v>1.2110000420663E13</v>
      </c>
      <c r="E356" s="331" t="s">
        <v>1836</v>
      </c>
      <c r="F356" s="331" t="s">
        <v>1837</v>
      </c>
      <c r="G356" s="331">
        <f>iferror(sumifs('Hợp tác'!G:G,'Hợp tác'!A:A,B356,'Hợp tác'!H:H,$G$2,'Hợp tác'!I:I,$I$2),"")</f>
        <v>0</v>
      </c>
      <c r="H356" s="332">
        <f>SUMIFS(View!J:J,View!B:B,B356)</f>
        <v>0</v>
      </c>
      <c r="I356" s="332">
        <f>sumifs('Hoa Hồng'!L:L,'Hoa Hồng'!A:A,B356)</f>
        <v>0</v>
      </c>
      <c r="J356" s="332">
        <v>0.0</v>
      </c>
      <c r="K356" s="333" t="s">
        <v>1211</v>
      </c>
      <c r="L356" s="334"/>
      <c r="M356" s="334"/>
      <c r="N356" s="334"/>
      <c r="O356" s="334"/>
      <c r="P356" s="334"/>
      <c r="Q356" s="334"/>
      <c r="R356" s="334"/>
      <c r="S356" s="334"/>
      <c r="T356" s="334"/>
      <c r="U356" s="334"/>
      <c r="V356" s="334"/>
      <c r="W356" s="334"/>
      <c r="X356" s="334"/>
      <c r="Y356" s="334"/>
      <c r="Z356" s="334"/>
      <c r="AA356" s="334"/>
      <c r="AB356" s="334"/>
      <c r="AC356" s="334"/>
      <c r="AD356" s="334"/>
    </row>
    <row r="357" ht="16.5" customHeight="1">
      <c r="A357" s="334"/>
      <c r="B357" s="329" t="str">
        <f>IFERROR(__xludf.DUMMYFUNCTION("""COMPUTED_VALUE"""),"INFNGUYEN899")</f>
        <v>INFNGUYEN899</v>
      </c>
      <c r="C357" s="329" t="s">
        <v>1838</v>
      </c>
      <c r="D357" s="331" t="s">
        <v>1839</v>
      </c>
      <c r="E357" s="331" t="s">
        <v>1840</v>
      </c>
      <c r="F357" s="331" t="s">
        <v>1841</v>
      </c>
      <c r="G357" s="331">
        <f>iferror(sumifs('Hợp tác'!G:G,'Hợp tác'!A:A,B357,'Hợp tác'!H:H,$G$2,'Hợp tác'!I:I,$I$2),"")</f>
        <v>0</v>
      </c>
      <c r="H357" s="332">
        <f>SUMIFS(View!J:J,View!B:B,B357)</f>
        <v>0</v>
      </c>
      <c r="I357" s="332">
        <f>sumifs('Hoa Hồng'!L:L,'Hoa Hồng'!A:A,B357)</f>
        <v>0</v>
      </c>
      <c r="J357" s="332">
        <v>0.0</v>
      </c>
      <c r="K357" s="333" t="s">
        <v>1211</v>
      </c>
      <c r="L357" s="334"/>
      <c r="M357" s="334"/>
      <c r="N357" s="334"/>
      <c r="O357" s="334"/>
      <c r="P357" s="334"/>
      <c r="Q357" s="334"/>
      <c r="R357" s="334"/>
      <c r="S357" s="334"/>
      <c r="T357" s="334"/>
      <c r="U357" s="334"/>
      <c r="V357" s="334"/>
      <c r="W357" s="334"/>
      <c r="X357" s="334"/>
      <c r="Y357" s="334"/>
      <c r="Z357" s="334"/>
      <c r="AA357" s="334"/>
      <c r="AB357" s="334"/>
      <c r="AC357" s="334"/>
      <c r="AD357" s="334"/>
    </row>
    <row r="358" ht="16.5" customHeight="1">
      <c r="A358" s="334"/>
      <c r="B358" s="329" t="str">
        <f>IFERROR(__xludf.DUMMYFUNCTION("""COMPUTED_VALUE"""),"INFLINH616")</f>
        <v>INFLINH616</v>
      </c>
      <c r="C358" s="329" t="s">
        <v>1842</v>
      </c>
      <c r="D358" s="331" t="s">
        <v>1843</v>
      </c>
      <c r="E358" s="331" t="s">
        <v>1844</v>
      </c>
      <c r="F358" s="331" t="s">
        <v>1810</v>
      </c>
      <c r="G358" s="331">
        <f>iferror(sumifs('Hợp tác'!G:G,'Hợp tác'!A:A,B358,'Hợp tác'!H:H,$G$2,'Hợp tác'!I:I,$I$2),"")</f>
        <v>0</v>
      </c>
      <c r="H358" s="332">
        <f>SUMIFS(View!J:J,View!B:B,B358)</f>
        <v>0</v>
      </c>
      <c r="I358" s="332">
        <f>sumifs('Hoa Hồng'!L:L,'Hoa Hồng'!A:A,B358)</f>
        <v>0</v>
      </c>
      <c r="J358" s="332">
        <v>0.0</v>
      </c>
      <c r="K358" s="333" t="s">
        <v>1211</v>
      </c>
      <c r="L358" s="334"/>
      <c r="M358" s="334"/>
      <c r="N358" s="334"/>
      <c r="O358" s="334"/>
      <c r="P358" s="334"/>
      <c r="Q358" s="334"/>
      <c r="R358" s="334"/>
      <c r="S358" s="334"/>
      <c r="T358" s="334"/>
      <c r="U358" s="334"/>
      <c r="V358" s="334"/>
      <c r="W358" s="334"/>
      <c r="X358" s="334"/>
      <c r="Y358" s="334"/>
      <c r="Z358" s="334"/>
      <c r="AA358" s="334"/>
      <c r="AB358" s="334"/>
      <c r="AC358" s="334"/>
      <c r="AD358" s="334"/>
    </row>
    <row r="359" ht="16.5" customHeight="1">
      <c r="A359" s="334"/>
      <c r="B359" s="329" t="str">
        <f>IFERROR(__xludf.DUMMYFUNCTION("""COMPUTED_VALUE"""),"INFNA041")</f>
        <v>INFNA041</v>
      </c>
      <c r="C359" s="329" t="s">
        <v>1845</v>
      </c>
      <c r="D359" s="331" t="s">
        <v>1846</v>
      </c>
      <c r="E359" s="331"/>
      <c r="F359" s="331" t="s">
        <v>1847</v>
      </c>
      <c r="G359" s="331">
        <f>iferror(sumifs('Hợp tác'!G:G,'Hợp tác'!A:A,B359,'Hợp tác'!H:H,$G$2,'Hợp tác'!I:I,$I$2),"")</f>
        <v>0</v>
      </c>
      <c r="H359" s="332">
        <f>SUMIFS(View!J:J,View!B:B,B359)</f>
        <v>0</v>
      </c>
      <c r="I359" s="332">
        <f>sumifs('Hoa Hồng'!L:L,'Hoa Hồng'!A:A,B359)</f>
        <v>0</v>
      </c>
      <c r="J359" s="332">
        <v>0.0</v>
      </c>
      <c r="K359" s="333" t="s">
        <v>1211</v>
      </c>
      <c r="L359" s="334"/>
      <c r="M359" s="334"/>
      <c r="N359" s="334"/>
      <c r="O359" s="334"/>
      <c r="P359" s="334"/>
      <c r="Q359" s="334"/>
      <c r="R359" s="334"/>
      <c r="S359" s="334"/>
      <c r="T359" s="334"/>
      <c r="U359" s="334"/>
      <c r="V359" s="334"/>
      <c r="W359" s="334"/>
      <c r="X359" s="334"/>
      <c r="Y359" s="334"/>
      <c r="Z359" s="334"/>
      <c r="AA359" s="334"/>
      <c r="AB359" s="334"/>
      <c r="AC359" s="334"/>
      <c r="AD359" s="334"/>
    </row>
    <row r="360" ht="16.5" customHeight="1">
      <c r="A360" s="334"/>
      <c r="B360" s="329" t="str">
        <f>IFERROR(__xludf.DUMMYFUNCTION("""COMPUTED_VALUE"""),"INFHIEN924")</f>
        <v>INFHIEN924</v>
      </c>
      <c r="C360" s="329" t="s">
        <v>1848</v>
      </c>
      <c r="D360" s="331">
        <v>2.00520626405E12</v>
      </c>
      <c r="E360" s="331" t="s">
        <v>1848</v>
      </c>
      <c r="F360" s="331" t="s">
        <v>1219</v>
      </c>
      <c r="G360" s="331">
        <f>iferror(sumifs('Hợp tác'!G:G,'Hợp tác'!A:A,B360,'Hợp tác'!H:H,$G$2,'Hợp tác'!I:I,$I$2),"")</f>
        <v>0</v>
      </c>
      <c r="H360" s="332">
        <f>SUMIFS(View!J:J,View!B:B,B360)</f>
        <v>0</v>
      </c>
      <c r="I360" s="332">
        <f>sumifs('Hoa Hồng'!L:L,'Hoa Hồng'!A:A,B360)</f>
        <v>0</v>
      </c>
      <c r="J360" s="332">
        <v>0.0</v>
      </c>
      <c r="K360" s="333" t="s">
        <v>1211</v>
      </c>
      <c r="L360" s="334"/>
      <c r="M360" s="334"/>
      <c r="N360" s="334"/>
      <c r="O360" s="334"/>
      <c r="P360" s="334"/>
      <c r="Q360" s="334"/>
      <c r="R360" s="334"/>
      <c r="S360" s="334"/>
      <c r="T360" s="334"/>
      <c r="U360" s="334"/>
      <c r="V360" s="334"/>
      <c r="W360" s="334"/>
      <c r="X360" s="334"/>
      <c r="Y360" s="334"/>
      <c r="Z360" s="334"/>
      <c r="AA360" s="334"/>
      <c r="AB360" s="334"/>
      <c r="AC360" s="334"/>
      <c r="AD360" s="334"/>
    </row>
    <row r="361" ht="16.5" customHeight="1">
      <c r="A361" s="334"/>
      <c r="B361" s="329" t="str">
        <f>IFERROR(__xludf.DUMMYFUNCTION("""COMPUTED_VALUE"""),"INFTRANG939")</f>
        <v>INFTRANG939</v>
      </c>
      <c r="C361" s="329" t="s">
        <v>1849</v>
      </c>
      <c r="D361" s="331" t="s">
        <v>1850</v>
      </c>
      <c r="E361" s="331"/>
      <c r="F361" s="331" t="s">
        <v>39</v>
      </c>
      <c r="G361" s="331">
        <f>iferror(sumifs('Hợp tác'!G:G,'Hợp tác'!A:A,B361,'Hợp tác'!H:H,$G$2,'Hợp tác'!I:I,$I$2),"")</f>
        <v>0</v>
      </c>
      <c r="H361" s="332">
        <f>SUMIFS(View!J:J,View!B:B,B361)</f>
        <v>0</v>
      </c>
      <c r="I361" s="332">
        <f>sumifs('Hoa Hồng'!L:L,'Hoa Hồng'!A:A,B361)</f>
        <v>0</v>
      </c>
      <c r="J361" s="332">
        <v>0.0</v>
      </c>
      <c r="K361" s="333" t="s">
        <v>1211</v>
      </c>
      <c r="L361" s="334"/>
      <c r="M361" s="334"/>
      <c r="N361" s="334"/>
      <c r="O361" s="334"/>
      <c r="P361" s="334"/>
      <c r="Q361" s="334"/>
      <c r="R361" s="334"/>
      <c r="S361" s="334"/>
      <c r="T361" s="334"/>
      <c r="U361" s="334"/>
      <c r="V361" s="334"/>
      <c r="W361" s="334"/>
      <c r="X361" s="334"/>
      <c r="Y361" s="334"/>
      <c r="Z361" s="334"/>
      <c r="AA361" s="334"/>
      <c r="AB361" s="334"/>
      <c r="AC361" s="334"/>
      <c r="AD361" s="334"/>
    </row>
    <row r="362" ht="16.5" customHeight="1">
      <c r="A362" s="334"/>
      <c r="B362" s="329" t="str">
        <f>IFERROR(__xludf.DUMMYFUNCTION("""COMPUTED_VALUE"""),"INFLUONG896")</f>
        <v>INFLUONG896</v>
      </c>
      <c r="C362" s="329" t="s">
        <v>1851</v>
      </c>
      <c r="D362" s="331" t="s">
        <v>1852</v>
      </c>
      <c r="E362" s="331" t="s">
        <v>1853</v>
      </c>
      <c r="F362" s="331" t="s">
        <v>39</v>
      </c>
      <c r="G362" s="331">
        <f>iferror(sumifs('Hợp tác'!G:G,'Hợp tác'!A:A,B362,'Hợp tác'!H:H,$G$2,'Hợp tác'!I:I,$I$2),"")</f>
        <v>0</v>
      </c>
      <c r="H362" s="332">
        <f>SUMIFS(View!J:J,View!B:B,B362)</f>
        <v>0</v>
      </c>
      <c r="I362" s="332">
        <f>sumifs('Hoa Hồng'!L:L,'Hoa Hồng'!A:A,B362)</f>
        <v>0</v>
      </c>
      <c r="J362" s="332">
        <v>0.0</v>
      </c>
      <c r="K362" s="333" t="s">
        <v>1211</v>
      </c>
      <c r="L362" s="334"/>
      <c r="M362" s="334"/>
      <c r="N362" s="334"/>
      <c r="O362" s="334"/>
      <c r="P362" s="334"/>
      <c r="Q362" s="334"/>
      <c r="R362" s="334"/>
      <c r="S362" s="334"/>
      <c r="T362" s="334"/>
      <c r="U362" s="334"/>
      <c r="V362" s="334"/>
      <c r="W362" s="334"/>
      <c r="X362" s="334"/>
      <c r="Y362" s="334"/>
      <c r="Z362" s="334"/>
      <c r="AA362" s="334"/>
      <c r="AB362" s="334"/>
      <c r="AC362" s="334"/>
      <c r="AD362" s="334"/>
    </row>
    <row r="363" ht="16.5" customHeight="1">
      <c r="A363" s="334"/>
      <c r="B363" s="329" t="str">
        <f>IFERROR(__xludf.DUMMYFUNCTION("""COMPUTED_VALUE"""),"INFLINH905")</f>
        <v>INFLINH905</v>
      </c>
      <c r="C363" s="329" t="s">
        <v>1854</v>
      </c>
      <c r="D363" s="331">
        <v>1.9036325164013E13</v>
      </c>
      <c r="E363" s="331"/>
      <c r="F363" s="331"/>
      <c r="G363" s="331">
        <f>iferror(sumifs('Hợp tác'!G:G,'Hợp tác'!A:A,B363,'Hợp tác'!H:H,$G$2,'Hợp tác'!I:I,$I$2),"")</f>
        <v>0</v>
      </c>
      <c r="H363" s="332">
        <f>SUMIFS(View!J:J,View!B:B,B363)</f>
        <v>0</v>
      </c>
      <c r="I363" s="332">
        <f>sumifs('Hoa Hồng'!L:L,'Hoa Hồng'!A:A,B363)</f>
        <v>0</v>
      </c>
      <c r="J363" s="332">
        <v>0.0</v>
      </c>
      <c r="K363" s="333" t="s">
        <v>1211</v>
      </c>
      <c r="L363" s="334"/>
      <c r="M363" s="334"/>
      <c r="N363" s="334"/>
      <c r="O363" s="334"/>
      <c r="P363" s="334"/>
      <c r="Q363" s="334"/>
      <c r="R363" s="334"/>
      <c r="S363" s="334"/>
      <c r="T363" s="334"/>
      <c r="U363" s="334"/>
      <c r="V363" s="334"/>
      <c r="W363" s="334"/>
      <c r="X363" s="334"/>
      <c r="Y363" s="334"/>
      <c r="Z363" s="334"/>
      <c r="AA363" s="334"/>
      <c r="AB363" s="334"/>
      <c r="AC363" s="334"/>
      <c r="AD363" s="334"/>
    </row>
    <row r="364" ht="16.5" customHeight="1">
      <c r="A364" s="334"/>
      <c r="B364" s="329" t="str">
        <f>IFERROR(__xludf.DUMMYFUNCTION("""COMPUTED_VALUE"""),"INFTIEN746")</f>
        <v>INFTIEN746</v>
      </c>
      <c r="C364" s="329" t="s">
        <v>1855</v>
      </c>
      <c r="D364" s="331" t="s">
        <v>1856</v>
      </c>
      <c r="E364" s="331"/>
      <c r="F364" s="331"/>
      <c r="G364" s="331">
        <f>iferror(sumifs('Hợp tác'!G:G,'Hợp tác'!A:A,B364,'Hợp tác'!H:H,$G$2,'Hợp tác'!I:I,$I$2),"")</f>
        <v>0</v>
      </c>
      <c r="H364" s="332">
        <f>SUMIFS(View!J:J,View!B:B,B364)</f>
        <v>0</v>
      </c>
      <c r="I364" s="332">
        <f>sumifs('Hoa Hồng'!L:L,'Hoa Hồng'!A:A,B364)</f>
        <v>0</v>
      </c>
      <c r="J364" s="332">
        <v>0.0</v>
      </c>
      <c r="K364" s="333" t="s">
        <v>1211</v>
      </c>
      <c r="L364" s="334"/>
      <c r="M364" s="334"/>
      <c r="N364" s="334"/>
      <c r="O364" s="334"/>
      <c r="P364" s="334"/>
      <c r="Q364" s="334"/>
      <c r="R364" s="334"/>
      <c r="S364" s="334"/>
      <c r="T364" s="334"/>
      <c r="U364" s="334"/>
      <c r="V364" s="334"/>
      <c r="W364" s="334"/>
      <c r="X364" s="334"/>
      <c r="Y364" s="334"/>
      <c r="Z364" s="334"/>
      <c r="AA364" s="334"/>
      <c r="AB364" s="334"/>
      <c r="AC364" s="334"/>
      <c r="AD364" s="334"/>
    </row>
    <row r="365" ht="16.5" customHeight="1">
      <c r="A365" s="334"/>
      <c r="B365" s="329" t="str">
        <f>IFERROR(__xludf.DUMMYFUNCTION("""COMPUTED_VALUE"""),"INFREENCY575")</f>
        <v>INFREENCY575</v>
      </c>
      <c r="C365" s="329" t="s">
        <v>1857</v>
      </c>
      <c r="D365" s="331"/>
      <c r="E365" s="331"/>
      <c r="F365" s="331"/>
      <c r="G365" s="331">
        <f>iferror(sumifs('Hợp tác'!G:G,'Hợp tác'!A:A,B365,'Hợp tác'!H:H,$G$2,'Hợp tác'!I:I,$I$2),"")</f>
        <v>0</v>
      </c>
      <c r="H365" s="332">
        <f>SUMIFS(View!J:J,View!B:B,B365)</f>
        <v>0</v>
      </c>
      <c r="I365" s="332">
        <f>sumifs('Hoa Hồng'!L:L,'Hoa Hồng'!A:A,B365)</f>
        <v>0</v>
      </c>
      <c r="J365" s="332">
        <v>0.0</v>
      </c>
      <c r="K365" s="333" t="s">
        <v>1211</v>
      </c>
      <c r="L365" s="334"/>
      <c r="M365" s="334"/>
      <c r="N365" s="334"/>
      <c r="O365" s="334"/>
      <c r="P365" s="334"/>
      <c r="Q365" s="334"/>
      <c r="R365" s="334"/>
      <c r="S365" s="334"/>
      <c r="T365" s="334"/>
      <c r="U365" s="334"/>
      <c r="V365" s="334"/>
      <c r="W365" s="334"/>
      <c r="X365" s="334"/>
      <c r="Y365" s="334"/>
      <c r="Z365" s="334"/>
      <c r="AA365" s="334"/>
      <c r="AB365" s="334"/>
      <c r="AC365" s="334"/>
      <c r="AD365" s="334"/>
    </row>
    <row r="366" ht="16.5" customHeight="1">
      <c r="A366" s="334"/>
      <c r="B366" s="329" t="str">
        <f>IFERROR(__xludf.DUMMYFUNCTION("""COMPUTED_VALUE"""),"INFLONG886")</f>
        <v>INFLONG886</v>
      </c>
      <c r="C366" s="329" t="s">
        <v>1858</v>
      </c>
      <c r="D366" s="331"/>
      <c r="E366" s="331"/>
      <c r="F366" s="331"/>
      <c r="G366" s="331">
        <f>iferror(sumifs('Hợp tác'!G:G,'Hợp tác'!A:A,B366,'Hợp tác'!H:H,$G$2,'Hợp tác'!I:I,$I$2),"")</f>
        <v>0</v>
      </c>
      <c r="H366" s="332">
        <f>SUMIFS(View!J:J,View!B:B,B366)</f>
        <v>0</v>
      </c>
      <c r="I366" s="332">
        <f>sumifs('Hoa Hồng'!L:L,'Hoa Hồng'!A:A,B366)</f>
        <v>0</v>
      </c>
      <c r="J366" s="332">
        <v>0.0</v>
      </c>
      <c r="K366" s="333" t="s">
        <v>1211</v>
      </c>
      <c r="L366" s="334"/>
      <c r="M366" s="334"/>
      <c r="N366" s="334"/>
      <c r="O366" s="334"/>
      <c r="P366" s="334"/>
      <c r="Q366" s="334"/>
      <c r="R366" s="334"/>
      <c r="S366" s="334"/>
      <c r="T366" s="334"/>
      <c r="U366" s="334"/>
      <c r="V366" s="334"/>
      <c r="W366" s="334"/>
      <c r="X366" s="334"/>
      <c r="Y366" s="334"/>
      <c r="Z366" s="334"/>
      <c r="AA366" s="334"/>
      <c r="AB366" s="334"/>
      <c r="AC366" s="334"/>
      <c r="AD366" s="334"/>
    </row>
    <row r="367" ht="16.5" customHeight="1">
      <c r="A367" s="334"/>
      <c r="B367" s="329" t="str">
        <f>IFERROR(__xludf.DUMMYFUNCTION("""COMPUTED_VALUE"""),"INFVIRGO272")</f>
        <v>INFVIRGO272</v>
      </c>
      <c r="C367" s="329" t="s">
        <v>1859</v>
      </c>
      <c r="D367" s="331"/>
      <c r="E367" s="331"/>
      <c r="F367" s="331"/>
      <c r="G367" s="331">
        <f>iferror(sumifs('Hợp tác'!G:G,'Hợp tác'!A:A,B367,'Hợp tác'!H:H,$G$2,'Hợp tác'!I:I,$I$2),"")</f>
        <v>0</v>
      </c>
      <c r="H367" s="332">
        <f>SUMIFS(View!J:J,View!B:B,B367)</f>
        <v>0</v>
      </c>
      <c r="I367" s="332">
        <f>sumifs('Hoa Hồng'!L:L,'Hoa Hồng'!A:A,B367)</f>
        <v>0</v>
      </c>
      <c r="J367" s="332">
        <v>0.0</v>
      </c>
      <c r="K367" s="333" t="s">
        <v>1211</v>
      </c>
      <c r="L367" s="334"/>
      <c r="M367" s="334"/>
      <c r="N367" s="334"/>
      <c r="O367" s="334"/>
      <c r="P367" s="334"/>
      <c r="Q367" s="334"/>
      <c r="R367" s="334"/>
      <c r="S367" s="334"/>
      <c r="T367" s="334"/>
      <c r="U367" s="334"/>
      <c r="V367" s="334"/>
      <c r="W367" s="334"/>
      <c r="X367" s="334"/>
      <c r="Y367" s="334"/>
      <c r="Z367" s="334"/>
      <c r="AA367" s="334"/>
      <c r="AB367" s="334"/>
      <c r="AC367" s="334"/>
      <c r="AD367" s="334"/>
    </row>
    <row r="368" ht="16.5" customHeight="1">
      <c r="A368" s="334"/>
      <c r="B368" s="329" t="str">
        <f>IFERROR(__xludf.DUMMYFUNCTION("""COMPUTED_VALUE"""),"INFYIN257")</f>
        <v>INFYIN257</v>
      </c>
      <c r="C368" s="329" t="s">
        <v>1386</v>
      </c>
      <c r="D368" s="331"/>
      <c r="E368" s="331"/>
      <c r="F368" s="331"/>
      <c r="G368" s="331">
        <f>iferror(sumifs('Hợp tác'!G:G,'Hợp tác'!A:A,B368,'Hợp tác'!H:H,$G$2,'Hợp tác'!I:I,$I$2),"")</f>
        <v>0</v>
      </c>
      <c r="H368" s="332">
        <f>SUMIFS(View!J:J,View!B:B,B368)</f>
        <v>0</v>
      </c>
      <c r="I368" s="332">
        <f>sumifs('Hoa Hồng'!L:L,'Hoa Hồng'!A:A,B368)</f>
        <v>0</v>
      </c>
      <c r="J368" s="332">
        <v>0.0</v>
      </c>
      <c r="K368" s="333" t="s">
        <v>1211</v>
      </c>
      <c r="L368" s="334"/>
      <c r="M368" s="334"/>
      <c r="N368" s="334"/>
      <c r="O368" s="334"/>
      <c r="P368" s="334"/>
      <c r="Q368" s="334"/>
      <c r="R368" s="334"/>
      <c r="S368" s="334"/>
      <c r="T368" s="334"/>
      <c r="U368" s="334"/>
      <c r="V368" s="334"/>
      <c r="W368" s="334"/>
      <c r="X368" s="334"/>
      <c r="Y368" s="334"/>
      <c r="Z368" s="334"/>
      <c r="AA368" s="334"/>
      <c r="AB368" s="334"/>
      <c r="AC368" s="334"/>
      <c r="AD368" s="334"/>
    </row>
    <row r="369" ht="16.5" customHeight="1">
      <c r="A369" s="334"/>
      <c r="B369" s="329" t="str">
        <f>IFERROR(__xludf.DUMMYFUNCTION("""COMPUTED_VALUE"""),"INFDINH091")</f>
        <v>INFDINH091</v>
      </c>
      <c r="C369" s="329" t="s">
        <v>1860</v>
      </c>
      <c r="D369" s="331"/>
      <c r="E369" s="331"/>
      <c r="F369" s="331"/>
      <c r="G369" s="331">
        <f>iferror(sumifs('Hợp tác'!G:G,'Hợp tác'!A:A,B369,'Hợp tác'!H:H,$G$2,'Hợp tác'!I:I,$I$2),"")</f>
        <v>0</v>
      </c>
      <c r="H369" s="332">
        <f>SUMIFS(View!J:J,View!B:B,B369)</f>
        <v>0</v>
      </c>
      <c r="I369" s="332">
        <f>sumifs('Hoa Hồng'!L:L,'Hoa Hồng'!A:A,B369)</f>
        <v>0</v>
      </c>
      <c r="J369" s="332">
        <v>0.0</v>
      </c>
      <c r="K369" s="333" t="s">
        <v>1211</v>
      </c>
      <c r="L369" s="334"/>
      <c r="M369" s="334"/>
      <c r="N369" s="334"/>
      <c r="O369" s="334"/>
      <c r="P369" s="334"/>
      <c r="Q369" s="334"/>
      <c r="R369" s="334"/>
      <c r="S369" s="334"/>
      <c r="T369" s="334"/>
      <c r="U369" s="334"/>
      <c r="V369" s="334"/>
      <c r="W369" s="334"/>
      <c r="X369" s="334"/>
      <c r="Y369" s="334"/>
      <c r="Z369" s="334"/>
      <c r="AA369" s="334"/>
      <c r="AB369" s="334"/>
      <c r="AC369" s="334"/>
      <c r="AD369" s="334"/>
    </row>
    <row r="370" ht="16.5" customHeight="1">
      <c r="A370" s="334"/>
      <c r="B370" s="329" t="str">
        <f>IFERROR(__xludf.DUMMYFUNCTION("""COMPUTED_VALUE"""),"INFMINAH051")</f>
        <v>INFMINAH051</v>
      </c>
      <c r="C370" s="329" t="s">
        <v>1861</v>
      </c>
      <c r="D370" s="331"/>
      <c r="E370" s="331"/>
      <c r="F370" s="331"/>
      <c r="G370" s="331">
        <f>iferror(sumifs('Hợp tác'!G:G,'Hợp tác'!A:A,B370,'Hợp tác'!H:H,$G$2,'Hợp tác'!I:I,$I$2),"")</f>
        <v>0</v>
      </c>
      <c r="H370" s="332">
        <f>SUMIFS(View!J:J,View!B:B,B370)</f>
        <v>0</v>
      </c>
      <c r="I370" s="332">
        <f>sumifs('Hoa Hồng'!L:L,'Hoa Hồng'!A:A,B370)</f>
        <v>0</v>
      </c>
      <c r="J370" s="332">
        <v>0.0</v>
      </c>
      <c r="K370" s="333" t="s">
        <v>1211</v>
      </c>
      <c r="L370" s="334"/>
      <c r="M370" s="334"/>
      <c r="N370" s="334"/>
      <c r="O370" s="334"/>
      <c r="P370" s="334"/>
      <c r="Q370" s="334"/>
      <c r="R370" s="334"/>
      <c r="S370" s="334"/>
      <c r="T370" s="334"/>
      <c r="U370" s="334"/>
      <c r="V370" s="334"/>
      <c r="W370" s="334"/>
      <c r="X370" s="334"/>
      <c r="Y370" s="334"/>
      <c r="Z370" s="334"/>
      <c r="AA370" s="334"/>
      <c r="AB370" s="334"/>
      <c r="AC370" s="334"/>
      <c r="AD370" s="334"/>
    </row>
    <row r="371" ht="16.5" customHeight="1">
      <c r="A371" s="334"/>
      <c r="B371" s="329" t="str">
        <f>IFERROR(__xludf.DUMMYFUNCTION("""COMPUTED_VALUE"""),"INFDAT197")</f>
        <v>INFDAT197</v>
      </c>
      <c r="C371" s="329" t="s">
        <v>1862</v>
      </c>
      <c r="D371" s="331"/>
      <c r="E371" s="331"/>
      <c r="F371" s="331"/>
      <c r="G371" s="331">
        <f>iferror(sumifs('Hợp tác'!G:G,'Hợp tác'!A:A,B371,'Hợp tác'!H:H,$G$2,'Hợp tác'!I:I,$I$2),"")</f>
        <v>0</v>
      </c>
      <c r="H371" s="332">
        <f>SUMIFS(View!J:J,View!B:B,B371)</f>
        <v>0</v>
      </c>
      <c r="I371" s="332">
        <f>sumifs('Hoa Hồng'!L:L,'Hoa Hồng'!A:A,B371)</f>
        <v>0</v>
      </c>
      <c r="J371" s="332">
        <v>0.0</v>
      </c>
      <c r="K371" s="333" t="s">
        <v>1211</v>
      </c>
      <c r="L371" s="334"/>
      <c r="M371" s="334"/>
      <c r="N371" s="334"/>
      <c r="O371" s="334"/>
      <c r="P371" s="334"/>
      <c r="Q371" s="334"/>
      <c r="R371" s="334"/>
      <c r="S371" s="334"/>
      <c r="T371" s="334"/>
      <c r="U371" s="334"/>
      <c r="V371" s="334"/>
      <c r="W371" s="334"/>
      <c r="X371" s="334"/>
      <c r="Y371" s="334"/>
      <c r="Z371" s="334"/>
      <c r="AA371" s="334"/>
      <c r="AB371" s="334"/>
      <c r="AC371" s="334"/>
      <c r="AD371" s="334"/>
    </row>
    <row r="372" ht="16.5" customHeight="1">
      <c r="A372" s="334"/>
      <c r="B372" s="329" t="str">
        <f>IFERROR(__xludf.DUMMYFUNCTION("""COMPUTED_VALUE"""),"INFCHERRY269")</f>
        <v>INFCHERRY269</v>
      </c>
      <c r="C372" s="329" t="s">
        <v>1863</v>
      </c>
      <c r="D372" s="331"/>
      <c r="E372" s="331"/>
      <c r="F372" s="331"/>
      <c r="G372" s="331">
        <f>iferror(sumifs('Hợp tác'!G:G,'Hợp tác'!A:A,B372,'Hợp tác'!H:H,$G$2,'Hợp tác'!I:I,$I$2),"")</f>
        <v>0</v>
      </c>
      <c r="H372" s="332">
        <f>SUMIFS(View!J:J,View!B:B,B372)</f>
        <v>0</v>
      </c>
      <c r="I372" s="332">
        <f>sumifs('Hoa Hồng'!L:L,'Hoa Hồng'!A:A,B372)</f>
        <v>0</v>
      </c>
      <c r="J372" s="332">
        <v>0.0</v>
      </c>
      <c r="K372" s="333" t="s">
        <v>1211</v>
      </c>
      <c r="L372" s="334"/>
      <c r="M372" s="334"/>
      <c r="N372" s="334"/>
      <c r="O372" s="334"/>
      <c r="P372" s="334"/>
      <c r="Q372" s="334"/>
      <c r="R372" s="334"/>
      <c r="S372" s="334"/>
      <c r="T372" s="334"/>
      <c r="U372" s="334"/>
      <c r="V372" s="334"/>
      <c r="W372" s="334"/>
      <c r="X372" s="334"/>
      <c r="Y372" s="334"/>
      <c r="Z372" s="334"/>
      <c r="AA372" s="334"/>
      <c r="AB372" s="334"/>
      <c r="AC372" s="334"/>
      <c r="AD372" s="334"/>
    </row>
    <row r="373" ht="16.5" customHeight="1">
      <c r="A373" s="334"/>
      <c r="B373" s="329" t="str">
        <f>IFERROR(__xludf.DUMMYFUNCTION("""COMPUTED_VALUE"""),"INFHENRY608")</f>
        <v>INFHENRY608</v>
      </c>
      <c r="C373" s="329" t="s">
        <v>1864</v>
      </c>
      <c r="D373" s="331" t="s">
        <v>1865</v>
      </c>
      <c r="E373" s="331" t="s">
        <v>1864</v>
      </c>
      <c r="F373" s="331" t="s">
        <v>1866</v>
      </c>
      <c r="G373" s="331">
        <f>iferror(sumifs('Hợp tác'!G:G,'Hợp tác'!A:A,B373,'Hợp tác'!H:H,$G$2,'Hợp tác'!I:I,$I$2),"")</f>
        <v>0</v>
      </c>
      <c r="H373" s="332">
        <f>SUMIFS(View!J:J,View!B:B,B373)</f>
        <v>0</v>
      </c>
      <c r="I373" s="332">
        <f>sumifs('Hoa Hồng'!L:L,'Hoa Hồng'!A:A,B373)</f>
        <v>0</v>
      </c>
      <c r="J373" s="332">
        <v>0.0</v>
      </c>
      <c r="K373" s="333" t="s">
        <v>1211</v>
      </c>
      <c r="L373" s="334"/>
      <c r="M373" s="334"/>
      <c r="N373" s="334"/>
      <c r="O373" s="334"/>
      <c r="P373" s="334"/>
      <c r="Q373" s="334"/>
      <c r="R373" s="334"/>
      <c r="S373" s="334"/>
      <c r="T373" s="334"/>
      <c r="U373" s="334"/>
      <c r="V373" s="334"/>
      <c r="W373" s="334"/>
      <c r="X373" s="334"/>
      <c r="Y373" s="334"/>
      <c r="Z373" s="334"/>
      <c r="AA373" s="334"/>
      <c r="AB373" s="334"/>
      <c r="AC373" s="334"/>
      <c r="AD373" s="334"/>
    </row>
    <row r="374" ht="16.5" customHeight="1">
      <c r="A374" s="334"/>
      <c r="B374" s="329" t="str">
        <f>IFERROR(__xludf.DUMMYFUNCTION("""COMPUTED_VALUE"""),"INFANH238")</f>
        <v>INFANH238</v>
      </c>
      <c r="C374" s="329" t="s">
        <v>1867</v>
      </c>
      <c r="D374" s="331"/>
      <c r="E374" s="331"/>
      <c r="F374" s="331"/>
      <c r="G374" s="331">
        <f>iferror(sumifs('Hợp tác'!G:G,'Hợp tác'!A:A,B374,'Hợp tác'!H:H,$G$2,'Hợp tác'!I:I,$I$2),"")</f>
        <v>0</v>
      </c>
      <c r="H374" s="332">
        <f>SUMIFS(View!J:J,View!B:B,B374)</f>
        <v>0</v>
      </c>
      <c r="I374" s="332">
        <f>sumifs('Hoa Hồng'!L:L,'Hoa Hồng'!A:A,B374)</f>
        <v>0</v>
      </c>
      <c r="J374" s="332">
        <v>0.0</v>
      </c>
      <c r="K374" s="333" t="s">
        <v>1211</v>
      </c>
      <c r="L374" s="334"/>
      <c r="M374" s="334"/>
      <c r="N374" s="334"/>
      <c r="O374" s="334"/>
      <c r="P374" s="334"/>
      <c r="Q374" s="334"/>
      <c r="R374" s="334"/>
      <c r="S374" s="334"/>
      <c r="T374" s="334"/>
      <c r="U374" s="334"/>
      <c r="V374" s="334"/>
      <c r="W374" s="334"/>
      <c r="X374" s="334"/>
      <c r="Y374" s="334"/>
      <c r="Z374" s="334"/>
      <c r="AA374" s="334"/>
      <c r="AB374" s="334"/>
      <c r="AC374" s="334"/>
      <c r="AD374" s="334"/>
    </row>
    <row r="375" ht="16.5" customHeight="1">
      <c r="A375" s="334"/>
      <c r="B375" s="329" t="str">
        <f>IFERROR(__xludf.DUMMYFUNCTION("""COMPUTED_VALUE"""),"INFKHAI131")</f>
        <v>INFKHAI131</v>
      </c>
      <c r="C375" s="329" t="s">
        <v>1868</v>
      </c>
      <c r="D375" s="331"/>
      <c r="E375" s="331"/>
      <c r="F375" s="331"/>
      <c r="G375" s="331">
        <f>iferror(sumifs('Hợp tác'!G:G,'Hợp tác'!A:A,B375,'Hợp tác'!H:H,$G$2,'Hợp tác'!I:I,$I$2),"")</f>
        <v>0</v>
      </c>
      <c r="H375" s="332">
        <f>SUMIFS(View!J:J,View!B:B,B375)</f>
        <v>0</v>
      </c>
      <c r="I375" s="332">
        <f>sumifs('Hoa Hồng'!L:L,'Hoa Hồng'!A:A,B375)</f>
        <v>0</v>
      </c>
      <c r="J375" s="332">
        <v>0.0</v>
      </c>
      <c r="K375" s="333" t="s">
        <v>1211</v>
      </c>
      <c r="L375" s="334"/>
      <c r="M375" s="334"/>
      <c r="N375" s="334"/>
      <c r="O375" s="334"/>
      <c r="P375" s="334"/>
      <c r="Q375" s="334"/>
      <c r="R375" s="334"/>
      <c r="S375" s="334"/>
      <c r="T375" s="334"/>
      <c r="U375" s="334"/>
      <c r="V375" s="334"/>
      <c r="W375" s="334"/>
      <c r="X375" s="334"/>
      <c r="Y375" s="334"/>
      <c r="Z375" s="334"/>
      <c r="AA375" s="334"/>
      <c r="AB375" s="334"/>
      <c r="AC375" s="334"/>
      <c r="AD375" s="334"/>
    </row>
    <row r="376" ht="16.5" customHeight="1">
      <c r="A376" s="334"/>
      <c r="B376" s="329"/>
      <c r="C376" s="329" t="s">
        <v>585</v>
      </c>
      <c r="D376" s="331" t="s">
        <v>585</v>
      </c>
      <c r="E376" s="331" t="s">
        <v>585</v>
      </c>
      <c r="F376" s="331" t="s">
        <v>585</v>
      </c>
      <c r="G376" s="331">
        <f>iferror(sumifs('Hợp tác'!G:G,'Hợp tác'!A:A,B376,'Hợp tác'!H:H,$G$2,'Hợp tác'!I:I,$I$2),"")</f>
        <v>0</v>
      </c>
      <c r="H376" s="332">
        <f>SUMIFS(View!J:J,View!B:B,B376)</f>
        <v>0</v>
      </c>
      <c r="I376" s="332">
        <f>sumifs('Hoa Hồng'!L:L,'Hoa Hồng'!A:A,B376)</f>
        <v>0</v>
      </c>
      <c r="J376" s="332">
        <v>0.0</v>
      </c>
      <c r="K376" s="333" t="s">
        <v>1211</v>
      </c>
      <c r="L376" s="334"/>
      <c r="M376" s="334"/>
      <c r="N376" s="334"/>
      <c r="O376" s="334"/>
      <c r="P376" s="334"/>
      <c r="Q376" s="334"/>
      <c r="R376" s="334"/>
      <c r="S376" s="334"/>
      <c r="T376" s="334"/>
      <c r="U376" s="334"/>
      <c r="V376" s="334"/>
      <c r="W376" s="334"/>
      <c r="X376" s="334"/>
      <c r="Y376" s="334"/>
      <c r="Z376" s="334"/>
      <c r="AA376" s="334"/>
      <c r="AB376" s="334"/>
      <c r="AC376" s="334"/>
      <c r="AD376" s="334"/>
    </row>
    <row r="377" ht="16.5" customHeight="1">
      <c r="A377" s="334"/>
      <c r="B377" s="329"/>
      <c r="C377" s="329" t="s">
        <v>585</v>
      </c>
      <c r="D377" s="331" t="s">
        <v>585</v>
      </c>
      <c r="E377" s="331" t="s">
        <v>585</v>
      </c>
      <c r="F377" s="331" t="s">
        <v>585</v>
      </c>
      <c r="G377" s="331">
        <f>iferror(sumifs('Hợp tác'!G:G,'Hợp tác'!A:A,B377,'Hợp tác'!H:H,$G$2,'Hợp tác'!I:I,$I$2),"")</f>
        <v>0</v>
      </c>
      <c r="H377" s="332">
        <f>SUMIFS(View!J:J,View!B:B,B377)</f>
        <v>0</v>
      </c>
      <c r="I377" s="332">
        <f>sumifs('Hoa Hồng'!L:L,'Hoa Hồng'!A:A,B377)</f>
        <v>0</v>
      </c>
      <c r="J377" s="332">
        <v>0.0</v>
      </c>
      <c r="K377" s="333" t="s">
        <v>1211</v>
      </c>
      <c r="L377" s="334"/>
      <c r="M377" s="334"/>
      <c r="N377" s="334"/>
      <c r="O377" s="334"/>
      <c r="P377" s="334"/>
      <c r="Q377" s="334"/>
      <c r="R377" s="334"/>
      <c r="S377" s="334"/>
      <c r="T377" s="334"/>
      <c r="U377" s="334"/>
      <c r="V377" s="334"/>
      <c r="W377" s="334"/>
      <c r="X377" s="334"/>
      <c r="Y377" s="334"/>
      <c r="Z377" s="334"/>
      <c r="AA377" s="334"/>
      <c r="AB377" s="334"/>
      <c r="AC377" s="334"/>
      <c r="AD377" s="334"/>
    </row>
    <row r="378" ht="16.5" customHeight="1">
      <c r="A378" s="334"/>
      <c r="B378" s="329"/>
      <c r="C378" s="329" t="s">
        <v>585</v>
      </c>
      <c r="D378" s="331" t="s">
        <v>585</v>
      </c>
      <c r="E378" s="331" t="s">
        <v>585</v>
      </c>
      <c r="F378" s="331" t="s">
        <v>585</v>
      </c>
      <c r="G378" s="331">
        <f>iferror(sumifs('Hợp tác'!G:G,'Hợp tác'!A:A,B378,'Hợp tác'!H:H,$G$2,'Hợp tác'!I:I,$I$2),"")</f>
        <v>0</v>
      </c>
      <c r="H378" s="332">
        <f>SUMIFS(View!J:J,View!B:B,B378)</f>
        <v>0</v>
      </c>
      <c r="I378" s="332">
        <f>sumifs('Hoa Hồng'!L:L,'Hoa Hồng'!A:A,B378)</f>
        <v>0</v>
      </c>
      <c r="J378" s="332">
        <v>0.0</v>
      </c>
      <c r="K378" s="333" t="s">
        <v>1211</v>
      </c>
      <c r="L378" s="334"/>
      <c r="M378" s="334"/>
      <c r="N378" s="334"/>
      <c r="O378" s="334"/>
      <c r="P378" s="334"/>
      <c r="Q378" s="334"/>
      <c r="R378" s="334"/>
      <c r="S378" s="334"/>
      <c r="T378" s="334"/>
      <c r="U378" s="334"/>
      <c r="V378" s="334"/>
      <c r="W378" s="334"/>
      <c r="X378" s="334"/>
      <c r="Y378" s="334"/>
      <c r="Z378" s="334"/>
      <c r="AA378" s="334"/>
      <c r="AB378" s="334"/>
      <c r="AC378" s="334"/>
      <c r="AD378" s="334"/>
    </row>
    <row r="379" ht="16.5" customHeight="1">
      <c r="A379" s="334"/>
      <c r="B379" s="329"/>
      <c r="C379" s="329" t="s">
        <v>585</v>
      </c>
      <c r="D379" s="331" t="s">
        <v>585</v>
      </c>
      <c r="E379" s="331" t="s">
        <v>585</v>
      </c>
      <c r="F379" s="331" t="s">
        <v>585</v>
      </c>
      <c r="G379" s="331">
        <f>iferror(sumifs('Hợp tác'!G:G,'Hợp tác'!A:A,B379,'Hợp tác'!H:H,$G$2,'Hợp tác'!I:I,$I$2),"")</f>
        <v>0</v>
      </c>
      <c r="H379" s="332">
        <f>SUMIFS(View!J:J,View!B:B,B379)</f>
        <v>0</v>
      </c>
      <c r="I379" s="332">
        <f>sumifs('Hoa Hồng'!L:L,'Hoa Hồng'!A:A,B379)</f>
        <v>0</v>
      </c>
      <c r="J379" s="332">
        <v>0.0</v>
      </c>
      <c r="K379" s="333" t="s">
        <v>1211</v>
      </c>
      <c r="L379" s="334"/>
      <c r="M379" s="334"/>
      <c r="N379" s="334"/>
      <c r="O379" s="334"/>
      <c r="P379" s="334"/>
      <c r="Q379" s="334"/>
      <c r="R379" s="334"/>
      <c r="S379" s="334"/>
      <c r="T379" s="334"/>
      <c r="U379" s="334"/>
      <c r="V379" s="334"/>
      <c r="W379" s="334"/>
      <c r="X379" s="334"/>
      <c r="Y379" s="334"/>
      <c r="Z379" s="334"/>
      <c r="AA379" s="334"/>
      <c r="AB379" s="334"/>
      <c r="AC379" s="334"/>
      <c r="AD379" s="334"/>
    </row>
    <row r="380" ht="16.5" customHeight="1">
      <c r="A380" s="334"/>
      <c r="B380" s="329"/>
      <c r="C380" s="329" t="s">
        <v>585</v>
      </c>
      <c r="D380" s="331" t="s">
        <v>585</v>
      </c>
      <c r="E380" s="331" t="s">
        <v>585</v>
      </c>
      <c r="F380" s="331" t="s">
        <v>585</v>
      </c>
      <c r="G380" s="331">
        <f>iferror(sumifs('Hợp tác'!G:G,'Hợp tác'!A:A,B380,'Hợp tác'!H:H,$G$2,'Hợp tác'!I:I,$I$2),"")</f>
        <v>0</v>
      </c>
      <c r="H380" s="332">
        <f>SUMIFS(View!J:J,View!B:B,B380)</f>
        <v>0</v>
      </c>
      <c r="I380" s="332">
        <f>sumifs('Hoa Hồng'!L:L,'Hoa Hồng'!A:A,B380)</f>
        <v>0</v>
      </c>
      <c r="J380" s="332">
        <v>0.0</v>
      </c>
      <c r="K380" s="333" t="s">
        <v>1211</v>
      </c>
      <c r="L380" s="334"/>
      <c r="M380" s="334"/>
      <c r="N380" s="334"/>
      <c r="O380" s="334"/>
      <c r="P380" s="334"/>
      <c r="Q380" s="334"/>
      <c r="R380" s="334"/>
      <c r="S380" s="334"/>
      <c r="T380" s="334"/>
      <c r="U380" s="334"/>
      <c r="V380" s="334"/>
      <c r="W380" s="334"/>
      <c r="X380" s="334"/>
      <c r="Y380" s="334"/>
      <c r="Z380" s="334"/>
      <c r="AA380" s="334"/>
      <c r="AB380" s="334"/>
      <c r="AC380" s="334"/>
      <c r="AD380" s="334"/>
    </row>
    <row r="381" ht="16.5" customHeight="1">
      <c r="A381" s="334"/>
      <c r="B381" s="329"/>
      <c r="C381" s="329" t="s">
        <v>585</v>
      </c>
      <c r="D381" s="331" t="s">
        <v>585</v>
      </c>
      <c r="E381" s="331" t="s">
        <v>585</v>
      </c>
      <c r="F381" s="331" t="s">
        <v>585</v>
      </c>
      <c r="G381" s="331">
        <f>iferror(sumifs('Hợp tác'!G:G,'Hợp tác'!A:A,B381,'Hợp tác'!H:H,$G$2,'Hợp tác'!I:I,$I$2),"")</f>
        <v>0</v>
      </c>
      <c r="H381" s="332">
        <f>SUMIFS(View!J:J,View!B:B,B381)</f>
        <v>0</v>
      </c>
      <c r="I381" s="332">
        <f>sumifs('Hoa Hồng'!L:L,'Hoa Hồng'!A:A,B381)</f>
        <v>0</v>
      </c>
      <c r="J381" s="332">
        <v>0.0</v>
      </c>
      <c r="K381" s="333" t="s">
        <v>1211</v>
      </c>
      <c r="L381" s="334"/>
      <c r="M381" s="334"/>
      <c r="N381" s="334"/>
      <c r="O381" s="334"/>
      <c r="P381" s="334"/>
      <c r="Q381" s="334"/>
      <c r="R381" s="334"/>
      <c r="S381" s="334"/>
      <c r="T381" s="334"/>
      <c r="U381" s="334"/>
      <c r="V381" s="334"/>
      <c r="W381" s="334"/>
      <c r="X381" s="334"/>
      <c r="Y381" s="334"/>
      <c r="Z381" s="334"/>
      <c r="AA381" s="334"/>
      <c r="AB381" s="334"/>
      <c r="AC381" s="334"/>
      <c r="AD381" s="334"/>
    </row>
    <row r="382" ht="16.5" customHeight="1">
      <c r="A382" s="334"/>
      <c r="B382" s="329"/>
      <c r="C382" s="329" t="s">
        <v>585</v>
      </c>
      <c r="D382" s="331" t="s">
        <v>585</v>
      </c>
      <c r="E382" s="331" t="s">
        <v>585</v>
      </c>
      <c r="F382" s="331" t="s">
        <v>585</v>
      </c>
      <c r="G382" s="331">
        <f>iferror(sumifs('Hợp tác'!G:G,'Hợp tác'!A:A,B382,'Hợp tác'!H:H,$G$2,'Hợp tác'!I:I,$I$2),"")</f>
        <v>0</v>
      </c>
      <c r="H382" s="332">
        <f>SUMIFS(View!J:J,View!B:B,B382)</f>
        <v>0</v>
      </c>
      <c r="I382" s="332">
        <f>sumifs('Hoa Hồng'!L:L,'Hoa Hồng'!A:A,B382)</f>
        <v>0</v>
      </c>
      <c r="J382" s="332">
        <v>0.0</v>
      </c>
      <c r="K382" s="333" t="s">
        <v>1211</v>
      </c>
      <c r="L382" s="334"/>
      <c r="M382" s="334"/>
      <c r="N382" s="334"/>
      <c r="O382" s="334"/>
      <c r="P382" s="334"/>
      <c r="Q382" s="334"/>
      <c r="R382" s="334"/>
      <c r="S382" s="334"/>
      <c r="T382" s="334"/>
      <c r="U382" s="334"/>
      <c r="V382" s="334"/>
      <c r="W382" s="334"/>
      <c r="X382" s="334"/>
      <c r="Y382" s="334"/>
      <c r="Z382" s="334"/>
      <c r="AA382" s="334"/>
      <c r="AB382" s="334"/>
      <c r="AC382" s="334"/>
      <c r="AD382" s="334"/>
    </row>
    <row r="383" ht="16.5" customHeight="1">
      <c r="A383" s="334"/>
      <c r="B383" s="329"/>
      <c r="C383" s="329" t="s">
        <v>585</v>
      </c>
      <c r="D383" s="331" t="s">
        <v>585</v>
      </c>
      <c r="E383" s="331" t="s">
        <v>585</v>
      </c>
      <c r="F383" s="331" t="s">
        <v>585</v>
      </c>
      <c r="G383" s="331">
        <f>iferror(sumifs('Hợp tác'!G:G,'Hợp tác'!A:A,B383,'Hợp tác'!H:H,$G$2,'Hợp tác'!I:I,$I$2),"")</f>
        <v>0</v>
      </c>
      <c r="H383" s="332">
        <f>SUMIFS(View!J:J,View!B:B,B383)</f>
        <v>0</v>
      </c>
      <c r="I383" s="332">
        <f>sumifs('Hoa Hồng'!L:L,'Hoa Hồng'!A:A,B383)</f>
        <v>0</v>
      </c>
      <c r="J383" s="332">
        <v>0.0</v>
      </c>
      <c r="K383" s="333" t="s">
        <v>1211</v>
      </c>
      <c r="L383" s="334"/>
      <c r="M383" s="334"/>
      <c r="N383" s="334"/>
      <c r="O383" s="334"/>
      <c r="P383" s="334"/>
      <c r="Q383" s="334"/>
      <c r="R383" s="334"/>
      <c r="S383" s="334"/>
      <c r="T383" s="334"/>
      <c r="U383" s="334"/>
      <c r="V383" s="334"/>
      <c r="W383" s="334"/>
      <c r="X383" s="334"/>
      <c r="Y383" s="334"/>
      <c r="Z383" s="334"/>
      <c r="AA383" s="334"/>
      <c r="AB383" s="334"/>
      <c r="AC383" s="334"/>
      <c r="AD383" s="334"/>
    </row>
    <row r="384" ht="16.5" customHeight="1">
      <c r="A384" s="334"/>
      <c r="B384" s="329"/>
      <c r="C384" s="329" t="s">
        <v>585</v>
      </c>
      <c r="D384" s="331" t="s">
        <v>585</v>
      </c>
      <c r="E384" s="331" t="s">
        <v>585</v>
      </c>
      <c r="F384" s="331" t="s">
        <v>585</v>
      </c>
      <c r="G384" s="331">
        <f>iferror(sumifs('Hợp tác'!G:G,'Hợp tác'!A:A,B384,'Hợp tác'!H:H,$G$2,'Hợp tác'!I:I,$I$2),"")</f>
        <v>0</v>
      </c>
      <c r="H384" s="332">
        <f>SUMIFS(View!J:J,View!B:B,B384)</f>
        <v>0</v>
      </c>
      <c r="I384" s="332">
        <f>sumifs('Hoa Hồng'!L:L,'Hoa Hồng'!A:A,B384)</f>
        <v>0</v>
      </c>
      <c r="J384" s="332">
        <v>0.0</v>
      </c>
      <c r="K384" s="333" t="s">
        <v>1211</v>
      </c>
      <c r="L384" s="334"/>
      <c r="M384" s="334"/>
      <c r="N384" s="334"/>
      <c r="O384" s="334"/>
      <c r="P384" s="334"/>
      <c r="Q384" s="334"/>
      <c r="R384" s="334"/>
      <c r="S384" s="334"/>
      <c r="T384" s="334"/>
      <c r="U384" s="334"/>
      <c r="V384" s="334"/>
      <c r="W384" s="334"/>
      <c r="X384" s="334"/>
      <c r="Y384" s="334"/>
      <c r="Z384" s="334"/>
      <c r="AA384" s="334"/>
      <c r="AB384" s="334"/>
      <c r="AC384" s="334"/>
      <c r="AD384" s="334"/>
    </row>
    <row r="385" ht="16.5" customHeight="1">
      <c r="A385" s="334"/>
      <c r="B385" s="329"/>
      <c r="C385" s="329" t="s">
        <v>585</v>
      </c>
      <c r="D385" s="331" t="s">
        <v>585</v>
      </c>
      <c r="E385" s="331" t="s">
        <v>585</v>
      </c>
      <c r="F385" s="331" t="s">
        <v>585</v>
      </c>
      <c r="G385" s="331">
        <f>iferror(sumifs('Hợp tác'!G:G,'Hợp tác'!A:A,B385,'Hợp tác'!H:H,$G$2,'Hợp tác'!I:I,$I$2),"")</f>
        <v>0</v>
      </c>
      <c r="H385" s="332">
        <f>SUMIFS(View!J:J,View!B:B,B385)</f>
        <v>0</v>
      </c>
      <c r="I385" s="332">
        <f>sumifs('Hoa Hồng'!L:L,'Hoa Hồng'!A:A,B385)</f>
        <v>0</v>
      </c>
      <c r="J385" s="332">
        <v>0.0</v>
      </c>
      <c r="K385" s="333" t="s">
        <v>1211</v>
      </c>
      <c r="L385" s="334"/>
      <c r="M385" s="334"/>
      <c r="N385" s="334"/>
      <c r="O385" s="334"/>
      <c r="P385" s="334"/>
      <c r="Q385" s="334"/>
      <c r="R385" s="334"/>
      <c r="S385" s="334"/>
      <c r="T385" s="334"/>
      <c r="U385" s="334"/>
      <c r="V385" s="334"/>
      <c r="W385" s="334"/>
      <c r="X385" s="334"/>
      <c r="Y385" s="334"/>
      <c r="Z385" s="334"/>
      <c r="AA385" s="334"/>
      <c r="AB385" s="334"/>
      <c r="AC385" s="334"/>
      <c r="AD385" s="334"/>
    </row>
    <row r="386" ht="16.5" customHeight="1">
      <c r="A386" s="334"/>
      <c r="B386" s="329"/>
      <c r="C386" s="329" t="s">
        <v>585</v>
      </c>
      <c r="D386" s="331" t="s">
        <v>585</v>
      </c>
      <c r="E386" s="331" t="s">
        <v>585</v>
      </c>
      <c r="F386" s="331" t="s">
        <v>585</v>
      </c>
      <c r="G386" s="331">
        <f>iferror(sumifs('Hợp tác'!G:G,'Hợp tác'!A:A,B386,'Hợp tác'!H:H,$G$2,'Hợp tác'!I:I,$I$2),"")</f>
        <v>0</v>
      </c>
      <c r="H386" s="332">
        <f>SUMIFS(View!J:J,View!B:B,B386)</f>
        <v>0</v>
      </c>
      <c r="I386" s="332">
        <f>sumifs('Hoa Hồng'!L:L,'Hoa Hồng'!A:A,B386)</f>
        <v>0</v>
      </c>
      <c r="J386" s="332">
        <v>0.0</v>
      </c>
      <c r="K386" s="333" t="s">
        <v>1211</v>
      </c>
      <c r="L386" s="334"/>
      <c r="M386" s="334"/>
      <c r="N386" s="334"/>
      <c r="O386" s="334"/>
      <c r="P386" s="334"/>
      <c r="Q386" s="334"/>
      <c r="R386" s="334"/>
      <c r="S386" s="334"/>
      <c r="T386" s="334"/>
      <c r="U386" s="334"/>
      <c r="V386" s="334"/>
      <c r="W386" s="334"/>
      <c r="X386" s="334"/>
      <c r="Y386" s="334"/>
      <c r="Z386" s="334"/>
      <c r="AA386" s="334"/>
      <c r="AB386" s="334"/>
      <c r="AC386" s="334"/>
      <c r="AD386" s="334"/>
    </row>
    <row r="387" ht="16.5" customHeight="1">
      <c r="A387" s="334"/>
      <c r="B387" s="329"/>
      <c r="C387" s="329" t="s">
        <v>585</v>
      </c>
      <c r="D387" s="331" t="s">
        <v>585</v>
      </c>
      <c r="E387" s="331" t="s">
        <v>585</v>
      </c>
      <c r="F387" s="331" t="s">
        <v>585</v>
      </c>
      <c r="G387" s="331">
        <f>iferror(sumifs('Hợp tác'!G:G,'Hợp tác'!A:A,B387,'Hợp tác'!H:H,$G$2,'Hợp tác'!I:I,$I$2),"")</f>
        <v>0</v>
      </c>
      <c r="H387" s="332">
        <f>SUMIFS(View!J:J,View!B:B,B387)</f>
        <v>0</v>
      </c>
      <c r="I387" s="332">
        <f>sumifs('Hoa Hồng'!L:L,'Hoa Hồng'!A:A,B387)</f>
        <v>0</v>
      </c>
      <c r="J387" s="332">
        <v>0.0</v>
      </c>
      <c r="K387" s="333" t="s">
        <v>1211</v>
      </c>
      <c r="L387" s="334"/>
      <c r="M387" s="334"/>
      <c r="N387" s="334"/>
      <c r="O387" s="334"/>
      <c r="P387" s="334"/>
      <c r="Q387" s="334"/>
      <c r="R387" s="334"/>
      <c r="S387" s="334"/>
      <c r="T387" s="334"/>
      <c r="U387" s="334"/>
      <c r="V387" s="334"/>
      <c r="W387" s="334"/>
      <c r="X387" s="334"/>
      <c r="Y387" s="334"/>
      <c r="Z387" s="334"/>
      <c r="AA387" s="334"/>
      <c r="AB387" s="334"/>
      <c r="AC387" s="334"/>
      <c r="AD387" s="334"/>
    </row>
    <row r="388" ht="16.5" customHeight="1">
      <c r="A388" s="334"/>
      <c r="B388" s="329"/>
      <c r="C388" s="329" t="s">
        <v>585</v>
      </c>
      <c r="D388" s="331" t="s">
        <v>585</v>
      </c>
      <c r="E388" s="331" t="s">
        <v>585</v>
      </c>
      <c r="F388" s="331" t="s">
        <v>585</v>
      </c>
      <c r="G388" s="331">
        <f>iferror(sumifs('Hợp tác'!G:G,'Hợp tác'!A:A,B388,'Hợp tác'!H:H,$G$2,'Hợp tác'!I:I,$I$2),"")</f>
        <v>0</v>
      </c>
      <c r="H388" s="332">
        <f>SUMIFS(View!J:J,View!B:B,B388)</f>
        <v>0</v>
      </c>
      <c r="I388" s="332">
        <f>sumifs('Hoa Hồng'!L:L,'Hoa Hồng'!A:A,B388)</f>
        <v>0</v>
      </c>
      <c r="J388" s="332">
        <v>0.0</v>
      </c>
      <c r="K388" s="333" t="s">
        <v>1211</v>
      </c>
      <c r="L388" s="334"/>
      <c r="M388" s="334"/>
      <c r="N388" s="334"/>
      <c r="O388" s="334"/>
      <c r="P388" s="334"/>
      <c r="Q388" s="334"/>
      <c r="R388" s="334"/>
      <c r="S388" s="334"/>
      <c r="T388" s="334"/>
      <c r="U388" s="334"/>
      <c r="V388" s="334"/>
      <c r="W388" s="334"/>
      <c r="X388" s="334"/>
      <c r="Y388" s="334"/>
      <c r="Z388" s="334"/>
      <c r="AA388" s="334"/>
      <c r="AB388" s="334"/>
      <c r="AC388" s="334"/>
      <c r="AD388" s="334"/>
    </row>
    <row r="389" ht="16.5" customHeight="1">
      <c r="A389" s="334"/>
      <c r="B389" s="329"/>
      <c r="C389" s="329" t="s">
        <v>585</v>
      </c>
      <c r="D389" s="331" t="s">
        <v>585</v>
      </c>
      <c r="E389" s="331" t="s">
        <v>585</v>
      </c>
      <c r="F389" s="331" t="s">
        <v>585</v>
      </c>
      <c r="G389" s="331">
        <f>iferror(sumifs('Hợp tác'!G:G,'Hợp tác'!A:A,B389,'Hợp tác'!H:H,$G$2,'Hợp tác'!I:I,$I$2),"")</f>
        <v>0</v>
      </c>
      <c r="H389" s="332">
        <f>SUMIFS(View!J:J,View!B:B,B389)</f>
        <v>0</v>
      </c>
      <c r="I389" s="332">
        <f>sumifs('Hoa Hồng'!L:L,'Hoa Hồng'!A:A,B389)</f>
        <v>0</v>
      </c>
      <c r="J389" s="332">
        <v>0.0</v>
      </c>
      <c r="K389" s="333" t="s">
        <v>1211</v>
      </c>
      <c r="L389" s="334"/>
      <c r="M389" s="334"/>
      <c r="N389" s="334"/>
      <c r="O389" s="334"/>
      <c r="P389" s="334"/>
      <c r="Q389" s="334"/>
      <c r="R389" s="334"/>
      <c r="S389" s="334"/>
      <c r="T389" s="334"/>
      <c r="U389" s="334"/>
      <c r="V389" s="334"/>
      <c r="W389" s="334"/>
      <c r="X389" s="334"/>
      <c r="Y389" s="334"/>
      <c r="Z389" s="334"/>
      <c r="AA389" s="334"/>
      <c r="AB389" s="334"/>
      <c r="AC389" s="334"/>
      <c r="AD389" s="334"/>
    </row>
    <row r="390" ht="16.5" customHeight="1">
      <c r="A390" s="334"/>
      <c r="B390" s="329"/>
      <c r="C390" s="329" t="s">
        <v>585</v>
      </c>
      <c r="D390" s="331" t="s">
        <v>585</v>
      </c>
      <c r="E390" s="331" t="s">
        <v>585</v>
      </c>
      <c r="F390" s="331" t="s">
        <v>585</v>
      </c>
      <c r="G390" s="331">
        <f>iferror(sumifs('Hợp tác'!G:G,'Hợp tác'!A:A,B390,'Hợp tác'!H:H,$G$2,'Hợp tác'!I:I,$I$2),"")</f>
        <v>0</v>
      </c>
      <c r="H390" s="332">
        <f>SUMIFS(View!J:J,View!B:B,B390)</f>
        <v>0</v>
      </c>
      <c r="I390" s="332">
        <f>sumifs('Hoa Hồng'!L:L,'Hoa Hồng'!A:A,B390)</f>
        <v>0</v>
      </c>
      <c r="J390" s="332">
        <v>0.0</v>
      </c>
      <c r="K390" s="333" t="s">
        <v>1211</v>
      </c>
      <c r="L390" s="334"/>
      <c r="M390" s="334"/>
      <c r="N390" s="334"/>
      <c r="O390" s="334"/>
      <c r="P390" s="334"/>
      <c r="Q390" s="334"/>
      <c r="R390" s="334"/>
      <c r="S390" s="334"/>
      <c r="T390" s="334"/>
      <c r="U390" s="334"/>
      <c r="V390" s="334"/>
      <c r="W390" s="334"/>
      <c r="X390" s="334"/>
      <c r="Y390" s="334"/>
      <c r="Z390" s="334"/>
      <c r="AA390" s="334"/>
      <c r="AB390" s="334"/>
      <c r="AC390" s="334"/>
      <c r="AD390" s="334"/>
    </row>
    <row r="391" ht="16.5" customHeight="1">
      <c r="A391" s="334"/>
      <c r="B391" s="329"/>
      <c r="C391" s="329" t="s">
        <v>585</v>
      </c>
      <c r="D391" s="331" t="s">
        <v>585</v>
      </c>
      <c r="E391" s="331" t="s">
        <v>585</v>
      </c>
      <c r="F391" s="331" t="s">
        <v>585</v>
      </c>
      <c r="G391" s="331">
        <f>iferror(sumifs('Hợp tác'!G:G,'Hợp tác'!A:A,B391,'Hợp tác'!H:H,$G$2,'Hợp tác'!I:I,$I$2),"")</f>
        <v>0</v>
      </c>
      <c r="H391" s="332">
        <f>SUMIFS(View!J:J,View!B:B,B391)</f>
        <v>0</v>
      </c>
      <c r="I391" s="332">
        <f>sumifs('Hoa Hồng'!L:L,'Hoa Hồng'!A:A,B391)</f>
        <v>0</v>
      </c>
      <c r="J391" s="332">
        <v>0.0</v>
      </c>
      <c r="K391" s="333" t="s">
        <v>1211</v>
      </c>
      <c r="L391" s="334"/>
      <c r="M391" s="334"/>
      <c r="N391" s="334"/>
      <c r="O391" s="334"/>
      <c r="P391" s="334"/>
      <c r="Q391" s="334"/>
      <c r="R391" s="334"/>
      <c r="S391" s="334"/>
      <c r="T391" s="334"/>
      <c r="U391" s="334"/>
      <c r="V391" s="334"/>
      <c r="W391" s="334"/>
      <c r="X391" s="334"/>
      <c r="Y391" s="334"/>
      <c r="Z391" s="334"/>
      <c r="AA391" s="334"/>
      <c r="AB391" s="334"/>
      <c r="AC391" s="334"/>
      <c r="AD391" s="334"/>
    </row>
    <row r="392" ht="16.5" customHeight="1">
      <c r="A392" s="334"/>
      <c r="B392" s="329"/>
      <c r="C392" s="329" t="s">
        <v>585</v>
      </c>
      <c r="D392" s="331" t="s">
        <v>585</v>
      </c>
      <c r="E392" s="331" t="s">
        <v>585</v>
      </c>
      <c r="F392" s="331" t="s">
        <v>585</v>
      </c>
      <c r="G392" s="331">
        <f>iferror(sumifs('Hợp tác'!G:G,'Hợp tác'!A:A,B392,'Hợp tác'!H:H,$G$2,'Hợp tác'!I:I,$I$2),"")</f>
        <v>0</v>
      </c>
      <c r="H392" s="332">
        <f>SUMIFS(View!J:J,View!B:B,B392)</f>
        <v>0</v>
      </c>
      <c r="I392" s="332">
        <f>sumifs('Hoa Hồng'!L:L,'Hoa Hồng'!A:A,B392)</f>
        <v>0</v>
      </c>
      <c r="J392" s="332">
        <v>0.0</v>
      </c>
      <c r="K392" s="333" t="s">
        <v>1211</v>
      </c>
      <c r="L392" s="334"/>
      <c r="M392" s="334"/>
      <c r="N392" s="334"/>
      <c r="O392" s="334"/>
      <c r="P392" s="334"/>
      <c r="Q392" s="334"/>
      <c r="R392" s="334"/>
      <c r="S392" s="334"/>
      <c r="T392" s="334"/>
      <c r="U392" s="334"/>
      <c r="V392" s="334"/>
      <c r="W392" s="334"/>
      <c r="X392" s="334"/>
      <c r="Y392" s="334"/>
      <c r="Z392" s="334"/>
      <c r="AA392" s="334"/>
      <c r="AB392" s="334"/>
      <c r="AC392" s="334"/>
      <c r="AD392" s="334"/>
    </row>
    <row r="393" ht="16.5" customHeight="1">
      <c r="A393" s="334"/>
      <c r="B393" s="329"/>
      <c r="C393" s="329" t="s">
        <v>585</v>
      </c>
      <c r="D393" s="331" t="s">
        <v>585</v>
      </c>
      <c r="E393" s="331" t="s">
        <v>585</v>
      </c>
      <c r="F393" s="331" t="s">
        <v>585</v>
      </c>
      <c r="G393" s="331">
        <f>iferror(sumifs('Hợp tác'!G:G,'Hợp tác'!A:A,B393,'Hợp tác'!H:H,$G$2,'Hợp tác'!I:I,$I$2),"")</f>
        <v>0</v>
      </c>
      <c r="H393" s="332">
        <f>SUMIFS(View!J:J,View!B:B,B393)</f>
        <v>0</v>
      </c>
      <c r="I393" s="332">
        <f>sumifs('Hoa Hồng'!L:L,'Hoa Hồng'!A:A,B393)</f>
        <v>0</v>
      </c>
      <c r="J393" s="332">
        <v>0.0</v>
      </c>
      <c r="K393" s="333" t="s">
        <v>1211</v>
      </c>
      <c r="L393" s="334"/>
      <c r="M393" s="334"/>
      <c r="N393" s="334"/>
      <c r="O393" s="334"/>
      <c r="P393" s="334"/>
      <c r="Q393" s="334"/>
      <c r="R393" s="334"/>
      <c r="S393" s="334"/>
      <c r="T393" s="334"/>
      <c r="U393" s="334"/>
      <c r="V393" s="334"/>
      <c r="W393" s="334"/>
      <c r="X393" s="334"/>
      <c r="Y393" s="334"/>
      <c r="Z393" s="334"/>
      <c r="AA393" s="334"/>
      <c r="AB393" s="334"/>
      <c r="AC393" s="334"/>
      <c r="AD393" s="334"/>
    </row>
    <row r="394" ht="16.5" customHeight="1">
      <c r="A394" s="334"/>
      <c r="B394" s="329"/>
      <c r="C394" s="329" t="s">
        <v>585</v>
      </c>
      <c r="D394" s="331" t="s">
        <v>585</v>
      </c>
      <c r="E394" s="331" t="s">
        <v>585</v>
      </c>
      <c r="F394" s="331" t="s">
        <v>585</v>
      </c>
      <c r="G394" s="331">
        <f>iferror(sumifs('Hợp tác'!G:G,'Hợp tác'!A:A,B394,'Hợp tác'!H:H,$G$2,'Hợp tác'!I:I,$I$2),"")</f>
        <v>0</v>
      </c>
      <c r="H394" s="332">
        <f>SUMIFS(View!J:J,View!B:B,B394)</f>
        <v>0</v>
      </c>
      <c r="I394" s="332">
        <f>sumifs('Hoa Hồng'!L:L,'Hoa Hồng'!A:A,B394)</f>
        <v>0</v>
      </c>
      <c r="J394" s="332">
        <v>0.0</v>
      </c>
      <c r="K394" s="333" t="s">
        <v>1211</v>
      </c>
      <c r="L394" s="334"/>
      <c r="M394" s="334"/>
      <c r="N394" s="334"/>
      <c r="O394" s="334"/>
      <c r="P394" s="334"/>
      <c r="Q394" s="334"/>
      <c r="R394" s="334"/>
      <c r="S394" s="334"/>
      <c r="T394" s="334"/>
      <c r="U394" s="334"/>
      <c r="V394" s="334"/>
      <c r="W394" s="334"/>
      <c r="X394" s="334"/>
      <c r="Y394" s="334"/>
      <c r="Z394" s="334"/>
      <c r="AA394" s="334"/>
      <c r="AB394" s="334"/>
      <c r="AC394" s="334"/>
      <c r="AD394" s="334"/>
    </row>
    <row r="395" ht="16.5" customHeight="1">
      <c r="A395" s="334"/>
      <c r="B395" s="329"/>
      <c r="C395" s="329" t="s">
        <v>585</v>
      </c>
      <c r="D395" s="331" t="s">
        <v>585</v>
      </c>
      <c r="E395" s="331" t="s">
        <v>585</v>
      </c>
      <c r="F395" s="331" t="s">
        <v>585</v>
      </c>
      <c r="G395" s="331">
        <f>iferror(sumifs('Hợp tác'!G:G,'Hợp tác'!A:A,B395,'Hợp tác'!H:H,$G$2,'Hợp tác'!I:I,$I$2),"")</f>
        <v>0</v>
      </c>
      <c r="H395" s="332">
        <f>SUMIFS(View!J:J,View!B:B,B395)</f>
        <v>0</v>
      </c>
      <c r="I395" s="332">
        <f>sumifs('Hoa Hồng'!L:L,'Hoa Hồng'!A:A,B395)</f>
        <v>0</v>
      </c>
      <c r="J395" s="332">
        <v>0.0</v>
      </c>
      <c r="K395" s="333" t="s">
        <v>1211</v>
      </c>
      <c r="L395" s="334"/>
      <c r="M395" s="334"/>
      <c r="N395" s="334"/>
      <c r="O395" s="334"/>
      <c r="P395" s="334"/>
      <c r="Q395" s="334"/>
      <c r="R395" s="334"/>
      <c r="S395" s="334"/>
      <c r="T395" s="334"/>
      <c r="U395" s="334"/>
      <c r="V395" s="334"/>
      <c r="W395" s="334"/>
      <c r="X395" s="334"/>
      <c r="Y395" s="334"/>
      <c r="Z395" s="334"/>
      <c r="AA395" s="334"/>
      <c r="AB395" s="334"/>
      <c r="AC395" s="334"/>
      <c r="AD395" s="334"/>
    </row>
    <row r="396" ht="16.5" customHeight="1">
      <c r="A396" s="334"/>
      <c r="B396" s="329"/>
      <c r="C396" s="329" t="s">
        <v>585</v>
      </c>
      <c r="D396" s="331" t="s">
        <v>585</v>
      </c>
      <c r="E396" s="331" t="s">
        <v>585</v>
      </c>
      <c r="F396" s="331" t="s">
        <v>585</v>
      </c>
      <c r="G396" s="331">
        <f>iferror(sumifs('Hợp tác'!G:G,'Hợp tác'!A:A,B396,'Hợp tác'!H:H,$G$2,'Hợp tác'!I:I,$I$2),"")</f>
        <v>0</v>
      </c>
      <c r="H396" s="332">
        <f>SUMIFS(View!J:J,View!B:B,B396)</f>
        <v>0</v>
      </c>
      <c r="I396" s="332">
        <f>sumifs('Hoa Hồng'!L:L,'Hoa Hồng'!A:A,B396)</f>
        <v>0</v>
      </c>
      <c r="J396" s="332">
        <v>0.0</v>
      </c>
      <c r="K396" s="333" t="s">
        <v>1211</v>
      </c>
      <c r="L396" s="334"/>
      <c r="M396" s="334"/>
      <c r="N396" s="334"/>
      <c r="O396" s="334"/>
      <c r="P396" s="334"/>
      <c r="Q396" s="334"/>
      <c r="R396" s="334"/>
      <c r="S396" s="334"/>
      <c r="T396" s="334"/>
      <c r="U396" s="334"/>
      <c r="V396" s="334"/>
      <c r="W396" s="334"/>
      <c r="X396" s="334"/>
      <c r="Y396" s="334"/>
      <c r="Z396" s="334"/>
      <c r="AA396" s="334"/>
      <c r="AB396" s="334"/>
      <c r="AC396" s="334"/>
      <c r="AD396" s="334"/>
    </row>
    <row r="397" ht="16.5" customHeight="1">
      <c r="A397" s="334"/>
      <c r="B397" s="329"/>
      <c r="C397" s="329" t="s">
        <v>585</v>
      </c>
      <c r="D397" s="331" t="s">
        <v>585</v>
      </c>
      <c r="E397" s="331" t="s">
        <v>585</v>
      </c>
      <c r="F397" s="331" t="s">
        <v>585</v>
      </c>
      <c r="G397" s="331">
        <f>iferror(sumifs('Hợp tác'!G:G,'Hợp tác'!A:A,B397,'Hợp tác'!H:H,$G$2,'Hợp tác'!I:I,$I$2),"")</f>
        <v>0</v>
      </c>
      <c r="H397" s="332">
        <f>SUMIFS(View!J:J,View!B:B,B397)</f>
        <v>0</v>
      </c>
      <c r="I397" s="332">
        <f>sumifs('Hoa Hồng'!L:L,'Hoa Hồng'!A:A,B397)</f>
        <v>0</v>
      </c>
      <c r="J397" s="332">
        <v>0.0</v>
      </c>
      <c r="K397" s="333" t="s">
        <v>1211</v>
      </c>
      <c r="L397" s="334"/>
      <c r="M397" s="334"/>
      <c r="N397" s="334"/>
      <c r="O397" s="334"/>
      <c r="P397" s="334"/>
      <c r="Q397" s="334"/>
      <c r="R397" s="334"/>
      <c r="S397" s="334"/>
      <c r="T397" s="334"/>
      <c r="U397" s="334"/>
      <c r="V397" s="334"/>
      <c r="W397" s="334"/>
      <c r="X397" s="334"/>
      <c r="Y397" s="334"/>
      <c r="Z397" s="334"/>
      <c r="AA397" s="334"/>
      <c r="AB397" s="334"/>
      <c r="AC397" s="334"/>
      <c r="AD397" s="334"/>
    </row>
    <row r="398" ht="16.5" customHeight="1">
      <c r="A398" s="334"/>
      <c r="B398" s="329"/>
      <c r="C398" s="329" t="s">
        <v>585</v>
      </c>
      <c r="D398" s="331" t="s">
        <v>585</v>
      </c>
      <c r="E398" s="331" t="s">
        <v>585</v>
      </c>
      <c r="F398" s="331" t="s">
        <v>585</v>
      </c>
      <c r="G398" s="331">
        <f>iferror(sumifs('Hợp tác'!G:G,'Hợp tác'!A:A,B398,'Hợp tác'!H:H,$G$2,'Hợp tác'!I:I,$I$2),"")</f>
        <v>0</v>
      </c>
      <c r="H398" s="332">
        <f>SUMIFS(View!J:J,View!B:B,B398)</f>
        <v>0</v>
      </c>
      <c r="I398" s="332">
        <f>sumifs('Hoa Hồng'!L:L,'Hoa Hồng'!A:A,B398)</f>
        <v>0</v>
      </c>
      <c r="J398" s="332">
        <v>0.0</v>
      </c>
      <c r="K398" s="333" t="s">
        <v>1211</v>
      </c>
      <c r="L398" s="334"/>
      <c r="M398" s="334"/>
      <c r="N398" s="334"/>
      <c r="O398" s="334"/>
      <c r="P398" s="334"/>
      <c r="Q398" s="334"/>
      <c r="R398" s="334"/>
      <c r="S398" s="334"/>
      <c r="T398" s="334"/>
      <c r="U398" s="334"/>
      <c r="V398" s="334"/>
      <c r="W398" s="334"/>
      <c r="X398" s="334"/>
      <c r="Y398" s="334"/>
      <c r="Z398" s="334"/>
      <c r="AA398" s="334"/>
      <c r="AB398" s="334"/>
      <c r="AC398" s="334"/>
      <c r="AD398" s="334"/>
    </row>
    <row r="399" ht="16.5" customHeight="1">
      <c r="A399" s="334"/>
      <c r="B399" s="329"/>
      <c r="C399" s="329" t="s">
        <v>585</v>
      </c>
      <c r="D399" s="331" t="s">
        <v>585</v>
      </c>
      <c r="E399" s="331" t="s">
        <v>585</v>
      </c>
      <c r="F399" s="331" t="s">
        <v>585</v>
      </c>
      <c r="G399" s="331">
        <f>iferror(sumifs('Hợp tác'!G:G,'Hợp tác'!A:A,B399,'Hợp tác'!H:H,$G$2,'Hợp tác'!I:I,$I$2),"")</f>
        <v>0</v>
      </c>
      <c r="H399" s="332">
        <f>SUMIFS(View!J:J,View!B:B,B399)</f>
        <v>0</v>
      </c>
      <c r="I399" s="332">
        <f>sumifs('Hoa Hồng'!L:L,'Hoa Hồng'!A:A,B399)</f>
        <v>0</v>
      </c>
      <c r="J399" s="332">
        <v>0.0</v>
      </c>
      <c r="K399" s="333" t="s">
        <v>1211</v>
      </c>
      <c r="L399" s="334"/>
      <c r="M399" s="334"/>
      <c r="N399" s="334"/>
      <c r="O399" s="334"/>
      <c r="P399" s="334"/>
      <c r="Q399" s="334"/>
      <c r="R399" s="334"/>
      <c r="S399" s="334"/>
      <c r="T399" s="334"/>
      <c r="U399" s="334"/>
      <c r="V399" s="334"/>
      <c r="W399" s="334"/>
      <c r="X399" s="334"/>
      <c r="Y399" s="334"/>
      <c r="Z399" s="334"/>
      <c r="AA399" s="334"/>
      <c r="AB399" s="334"/>
      <c r="AC399" s="334"/>
      <c r="AD399" s="334"/>
    </row>
    <row r="400" ht="16.5" customHeight="1">
      <c r="A400" s="334"/>
      <c r="B400" s="329"/>
      <c r="C400" s="329" t="s">
        <v>585</v>
      </c>
      <c r="D400" s="331" t="s">
        <v>585</v>
      </c>
      <c r="E400" s="331" t="s">
        <v>585</v>
      </c>
      <c r="F400" s="331" t="s">
        <v>585</v>
      </c>
      <c r="G400" s="331">
        <f>iferror(sumifs('Hợp tác'!G:G,'Hợp tác'!A:A,B400,'Hợp tác'!H:H,$G$2,'Hợp tác'!I:I,$I$2),"")</f>
        <v>0</v>
      </c>
      <c r="H400" s="332">
        <f>SUMIFS(View!J:J,View!B:B,B400)</f>
        <v>0</v>
      </c>
      <c r="I400" s="332">
        <f>sumifs('Hoa Hồng'!L:L,'Hoa Hồng'!A:A,B400)</f>
        <v>0</v>
      </c>
      <c r="J400" s="332">
        <v>0.0</v>
      </c>
      <c r="K400" s="333" t="s">
        <v>1211</v>
      </c>
      <c r="L400" s="334"/>
      <c r="M400" s="334"/>
      <c r="N400" s="334"/>
      <c r="O400" s="334"/>
      <c r="P400" s="334"/>
      <c r="Q400" s="334"/>
      <c r="R400" s="334"/>
      <c r="S400" s="334"/>
      <c r="T400" s="334"/>
      <c r="U400" s="334"/>
      <c r="V400" s="334"/>
      <c r="W400" s="334"/>
      <c r="X400" s="334"/>
      <c r="Y400" s="334"/>
      <c r="Z400" s="334"/>
      <c r="AA400" s="334"/>
      <c r="AB400" s="334"/>
      <c r="AC400" s="334"/>
      <c r="AD400" s="334"/>
    </row>
    <row r="401" ht="16.5" customHeight="1">
      <c r="A401" s="334"/>
      <c r="B401" s="329"/>
      <c r="C401" s="329" t="s">
        <v>585</v>
      </c>
      <c r="D401" s="331" t="s">
        <v>585</v>
      </c>
      <c r="E401" s="331" t="s">
        <v>585</v>
      </c>
      <c r="F401" s="331" t="s">
        <v>585</v>
      </c>
      <c r="G401" s="331">
        <f>iferror(sumifs('Hợp tác'!G:G,'Hợp tác'!A:A,B401,'Hợp tác'!H:H,$G$2,'Hợp tác'!I:I,$I$2),"")</f>
        <v>0</v>
      </c>
      <c r="H401" s="332">
        <f>SUMIFS(View!J:J,View!B:B,B401)</f>
        <v>0</v>
      </c>
      <c r="I401" s="332">
        <f>sumifs('Hoa Hồng'!L:L,'Hoa Hồng'!A:A,B401)</f>
        <v>0</v>
      </c>
      <c r="J401" s="332">
        <v>0.0</v>
      </c>
      <c r="K401" s="333" t="s">
        <v>1211</v>
      </c>
      <c r="L401" s="334"/>
      <c r="M401" s="334"/>
      <c r="N401" s="334"/>
      <c r="O401" s="334"/>
      <c r="P401" s="334"/>
      <c r="Q401" s="334"/>
      <c r="R401" s="334"/>
      <c r="S401" s="334"/>
      <c r="T401" s="334"/>
      <c r="U401" s="334"/>
      <c r="V401" s="334"/>
      <c r="W401" s="334"/>
      <c r="X401" s="334"/>
      <c r="Y401" s="334"/>
      <c r="Z401" s="334"/>
      <c r="AA401" s="334"/>
      <c r="AB401" s="334"/>
      <c r="AC401" s="334"/>
      <c r="AD401" s="334"/>
    </row>
    <row r="402" ht="16.5" customHeight="1">
      <c r="A402" s="334"/>
      <c r="B402" s="329"/>
      <c r="C402" s="329" t="s">
        <v>585</v>
      </c>
      <c r="D402" s="331" t="s">
        <v>585</v>
      </c>
      <c r="E402" s="331" t="s">
        <v>585</v>
      </c>
      <c r="F402" s="331" t="s">
        <v>585</v>
      </c>
      <c r="G402" s="331">
        <f>iferror(sumifs('Hợp tác'!G:G,'Hợp tác'!A:A,B402,'Hợp tác'!H:H,$G$2,'Hợp tác'!I:I,$I$2),"")</f>
        <v>0</v>
      </c>
      <c r="H402" s="332">
        <f>SUMIFS(View!J:J,View!B:B,B402)</f>
        <v>0</v>
      </c>
      <c r="I402" s="332">
        <f>sumifs('Hoa Hồng'!L:L,'Hoa Hồng'!A:A,B402)</f>
        <v>0</v>
      </c>
      <c r="J402" s="332">
        <v>0.0</v>
      </c>
      <c r="K402" s="333" t="s">
        <v>1211</v>
      </c>
      <c r="L402" s="334"/>
      <c r="M402" s="334"/>
      <c r="N402" s="334"/>
      <c r="O402" s="334"/>
      <c r="P402" s="334"/>
      <c r="Q402" s="334"/>
      <c r="R402" s="334"/>
      <c r="S402" s="334"/>
      <c r="T402" s="334"/>
      <c r="U402" s="334"/>
      <c r="V402" s="334"/>
      <c r="W402" s="334"/>
      <c r="X402" s="334"/>
      <c r="Y402" s="334"/>
      <c r="Z402" s="334"/>
      <c r="AA402" s="334"/>
      <c r="AB402" s="334"/>
      <c r="AC402" s="334"/>
      <c r="AD402" s="334"/>
    </row>
    <row r="403" ht="16.5" customHeight="1">
      <c r="A403" s="334"/>
      <c r="B403" s="329"/>
      <c r="C403" s="329" t="s">
        <v>585</v>
      </c>
      <c r="D403" s="331" t="s">
        <v>585</v>
      </c>
      <c r="E403" s="331" t="s">
        <v>585</v>
      </c>
      <c r="F403" s="331" t="s">
        <v>585</v>
      </c>
      <c r="G403" s="331">
        <f>iferror(sumifs('Hợp tác'!G:G,'Hợp tác'!A:A,B403,'Hợp tác'!H:H,$G$2,'Hợp tác'!I:I,$I$2),"")</f>
        <v>0</v>
      </c>
      <c r="H403" s="332">
        <f>SUMIFS(View!J:J,View!B:B,B403)</f>
        <v>0</v>
      </c>
      <c r="I403" s="332">
        <f>sumifs('Hoa Hồng'!L:L,'Hoa Hồng'!A:A,B403)</f>
        <v>0</v>
      </c>
      <c r="J403" s="332">
        <v>0.0</v>
      </c>
      <c r="K403" s="333" t="s">
        <v>1211</v>
      </c>
      <c r="L403" s="334"/>
      <c r="M403" s="334"/>
      <c r="N403" s="334"/>
      <c r="O403" s="334"/>
      <c r="P403" s="334"/>
      <c r="Q403" s="334"/>
      <c r="R403" s="334"/>
      <c r="S403" s="334"/>
      <c r="T403" s="334"/>
      <c r="U403" s="334"/>
      <c r="V403" s="334"/>
      <c r="W403" s="334"/>
      <c r="X403" s="334"/>
      <c r="Y403" s="334"/>
      <c r="Z403" s="334"/>
      <c r="AA403" s="334"/>
      <c r="AB403" s="334"/>
      <c r="AC403" s="334"/>
      <c r="AD403" s="334"/>
    </row>
    <row r="404" ht="16.5" customHeight="1">
      <c r="A404" s="334"/>
      <c r="B404" s="329"/>
      <c r="C404" s="329" t="s">
        <v>585</v>
      </c>
      <c r="D404" s="331" t="s">
        <v>585</v>
      </c>
      <c r="E404" s="331" t="s">
        <v>585</v>
      </c>
      <c r="F404" s="331" t="s">
        <v>585</v>
      </c>
      <c r="G404" s="331">
        <f>iferror(sumifs('Hợp tác'!G:G,'Hợp tác'!A:A,B404,'Hợp tác'!H:H,$G$2,'Hợp tác'!I:I,$I$2),"")</f>
        <v>0</v>
      </c>
      <c r="H404" s="332">
        <f>SUMIFS(View!J:J,View!B:B,B404)</f>
        <v>0</v>
      </c>
      <c r="I404" s="332">
        <f>sumifs('Hoa Hồng'!L:L,'Hoa Hồng'!A:A,B404)</f>
        <v>0</v>
      </c>
      <c r="J404" s="332">
        <v>0.0</v>
      </c>
      <c r="K404" s="333" t="s">
        <v>1211</v>
      </c>
      <c r="L404" s="334"/>
      <c r="M404" s="334"/>
      <c r="N404" s="334"/>
      <c r="O404" s="334"/>
      <c r="P404" s="334"/>
      <c r="Q404" s="334"/>
      <c r="R404" s="334"/>
      <c r="S404" s="334"/>
      <c r="T404" s="334"/>
      <c r="U404" s="334"/>
      <c r="V404" s="334"/>
      <c r="W404" s="334"/>
      <c r="X404" s="334"/>
      <c r="Y404" s="334"/>
      <c r="Z404" s="334"/>
      <c r="AA404" s="334"/>
      <c r="AB404" s="334"/>
      <c r="AC404" s="334"/>
      <c r="AD404" s="334"/>
    </row>
    <row r="405" ht="16.5" customHeight="1">
      <c r="A405" s="334"/>
      <c r="B405" s="329"/>
      <c r="C405" s="329" t="s">
        <v>585</v>
      </c>
      <c r="D405" s="331" t="s">
        <v>585</v>
      </c>
      <c r="E405" s="331" t="s">
        <v>585</v>
      </c>
      <c r="F405" s="331" t="s">
        <v>585</v>
      </c>
      <c r="G405" s="331">
        <f>iferror(sumifs('Hợp tác'!G:G,'Hợp tác'!A:A,B405,'Hợp tác'!H:H,$G$2,'Hợp tác'!I:I,$I$2),"")</f>
        <v>0</v>
      </c>
      <c r="H405" s="332">
        <f>SUMIFS(View!J:J,View!B:B,B405)</f>
        <v>0</v>
      </c>
      <c r="I405" s="332">
        <f>sumifs('Hoa Hồng'!L:L,'Hoa Hồng'!A:A,B405)</f>
        <v>0</v>
      </c>
      <c r="J405" s="332">
        <v>0.0</v>
      </c>
      <c r="K405" s="333" t="s">
        <v>1211</v>
      </c>
      <c r="L405" s="334"/>
      <c r="M405" s="334"/>
      <c r="N405" s="334"/>
      <c r="O405" s="334"/>
      <c r="P405" s="334"/>
      <c r="Q405" s="334"/>
      <c r="R405" s="334"/>
      <c r="S405" s="334"/>
      <c r="T405" s="334"/>
      <c r="U405" s="334"/>
      <c r="V405" s="334"/>
      <c r="W405" s="334"/>
      <c r="X405" s="334"/>
      <c r="Y405" s="334"/>
      <c r="Z405" s="334"/>
      <c r="AA405" s="334"/>
      <c r="AB405" s="334"/>
      <c r="AC405" s="334"/>
      <c r="AD405" s="334"/>
    </row>
    <row r="406" ht="16.5" customHeight="1">
      <c r="A406" s="334"/>
      <c r="B406" s="329"/>
      <c r="C406" s="329" t="s">
        <v>585</v>
      </c>
      <c r="D406" s="331" t="s">
        <v>585</v>
      </c>
      <c r="E406" s="331" t="s">
        <v>585</v>
      </c>
      <c r="F406" s="331" t="s">
        <v>585</v>
      </c>
      <c r="G406" s="331">
        <f>iferror(sumifs('Hợp tác'!G:G,'Hợp tác'!A:A,B406,'Hợp tác'!H:H,$G$2,'Hợp tác'!I:I,$I$2),"")</f>
        <v>0</v>
      </c>
      <c r="H406" s="332">
        <f>SUMIFS(View!J:J,View!B:B,B406)</f>
        <v>0</v>
      </c>
      <c r="I406" s="332">
        <f>sumifs('Hoa Hồng'!L:L,'Hoa Hồng'!A:A,B406)</f>
        <v>0</v>
      </c>
      <c r="J406" s="332">
        <v>0.0</v>
      </c>
      <c r="K406" s="333" t="s">
        <v>1211</v>
      </c>
      <c r="L406" s="334"/>
      <c r="M406" s="334"/>
      <c r="N406" s="334"/>
      <c r="O406" s="334"/>
      <c r="P406" s="334"/>
      <c r="Q406" s="334"/>
      <c r="R406" s="334"/>
      <c r="S406" s="334"/>
      <c r="T406" s="334"/>
      <c r="U406" s="334"/>
      <c r="V406" s="334"/>
      <c r="W406" s="334"/>
      <c r="X406" s="334"/>
      <c r="Y406" s="334"/>
      <c r="Z406" s="334"/>
      <c r="AA406" s="334"/>
      <c r="AB406" s="334"/>
      <c r="AC406" s="334"/>
      <c r="AD406" s="334"/>
    </row>
    <row r="407" ht="16.5" customHeight="1">
      <c r="A407" s="334"/>
      <c r="B407" s="329"/>
      <c r="C407" s="329" t="s">
        <v>585</v>
      </c>
      <c r="D407" s="331" t="s">
        <v>585</v>
      </c>
      <c r="E407" s="331" t="s">
        <v>585</v>
      </c>
      <c r="F407" s="331" t="s">
        <v>585</v>
      </c>
      <c r="G407" s="331">
        <f>iferror(sumifs('Hợp tác'!G:G,'Hợp tác'!A:A,B407,'Hợp tác'!H:H,$G$2,'Hợp tác'!I:I,$I$2),"")</f>
        <v>0</v>
      </c>
      <c r="H407" s="332">
        <f>SUMIFS(View!J:J,View!B:B,B407)</f>
        <v>0</v>
      </c>
      <c r="I407" s="332">
        <f>sumifs('Hoa Hồng'!L:L,'Hoa Hồng'!A:A,B407)</f>
        <v>0</v>
      </c>
      <c r="J407" s="332">
        <v>0.0</v>
      </c>
      <c r="K407" s="333" t="s">
        <v>1211</v>
      </c>
      <c r="L407" s="334"/>
      <c r="M407" s="334"/>
      <c r="N407" s="334"/>
      <c r="O407" s="334"/>
      <c r="P407" s="334"/>
      <c r="Q407" s="334"/>
      <c r="R407" s="334"/>
      <c r="S407" s="334"/>
      <c r="T407" s="334"/>
      <c r="U407" s="334"/>
      <c r="V407" s="334"/>
      <c r="W407" s="334"/>
      <c r="X407" s="334"/>
      <c r="Y407" s="334"/>
      <c r="Z407" s="334"/>
      <c r="AA407" s="334"/>
      <c r="AB407" s="334"/>
      <c r="AC407" s="334"/>
      <c r="AD407" s="334"/>
    </row>
    <row r="408" ht="16.5" customHeight="1">
      <c r="A408" s="334"/>
      <c r="B408" s="329"/>
      <c r="C408" s="329" t="s">
        <v>585</v>
      </c>
      <c r="D408" s="331" t="s">
        <v>585</v>
      </c>
      <c r="E408" s="331" t="s">
        <v>585</v>
      </c>
      <c r="F408" s="331" t="s">
        <v>585</v>
      </c>
      <c r="G408" s="331">
        <f>iferror(sumifs('Hợp tác'!G:G,'Hợp tác'!A:A,B408,'Hợp tác'!H:H,$G$2,'Hợp tác'!I:I,$I$2),"")</f>
        <v>0</v>
      </c>
      <c r="H408" s="332">
        <f>SUMIFS(View!J:J,View!B:B,B408)</f>
        <v>0</v>
      </c>
      <c r="I408" s="332">
        <f>sumifs('Hoa Hồng'!L:L,'Hoa Hồng'!A:A,B408)</f>
        <v>0</v>
      </c>
      <c r="J408" s="332">
        <v>0.0</v>
      </c>
      <c r="K408" s="333" t="s">
        <v>1211</v>
      </c>
      <c r="L408" s="334"/>
      <c r="M408" s="334"/>
      <c r="N408" s="334"/>
      <c r="O408" s="334"/>
      <c r="P408" s="334"/>
      <c r="Q408" s="334"/>
      <c r="R408" s="334"/>
      <c r="S408" s="334"/>
      <c r="T408" s="334"/>
      <c r="U408" s="334"/>
      <c r="V408" s="334"/>
      <c r="W408" s="334"/>
      <c r="X408" s="334"/>
      <c r="Y408" s="334"/>
      <c r="Z408" s="334"/>
      <c r="AA408" s="334"/>
      <c r="AB408" s="334"/>
      <c r="AC408" s="334"/>
      <c r="AD408" s="334"/>
    </row>
    <row r="409" ht="16.5" customHeight="1">
      <c r="A409" s="334"/>
      <c r="B409" s="329"/>
      <c r="C409" s="329" t="s">
        <v>585</v>
      </c>
      <c r="D409" s="331" t="s">
        <v>585</v>
      </c>
      <c r="E409" s="331" t="s">
        <v>585</v>
      </c>
      <c r="F409" s="331" t="s">
        <v>585</v>
      </c>
      <c r="G409" s="331">
        <f>iferror(sumifs('Hợp tác'!G:G,'Hợp tác'!A:A,B409,'Hợp tác'!H:H,$G$2,'Hợp tác'!I:I,$I$2),"")</f>
        <v>0</v>
      </c>
      <c r="H409" s="332">
        <f>SUMIFS(View!J:J,View!B:B,B409)</f>
        <v>0</v>
      </c>
      <c r="I409" s="332">
        <f>sumifs('Hoa Hồng'!L:L,'Hoa Hồng'!A:A,B409)</f>
        <v>0</v>
      </c>
      <c r="J409" s="332">
        <v>0.0</v>
      </c>
      <c r="K409" s="333" t="s">
        <v>1211</v>
      </c>
      <c r="L409" s="334"/>
      <c r="M409" s="334"/>
      <c r="N409" s="334"/>
      <c r="O409" s="334"/>
      <c r="P409" s="334"/>
      <c r="Q409" s="334"/>
      <c r="R409" s="334"/>
      <c r="S409" s="334"/>
      <c r="T409" s="334"/>
      <c r="U409" s="334"/>
      <c r="V409" s="334"/>
      <c r="W409" s="334"/>
      <c r="X409" s="334"/>
      <c r="Y409" s="334"/>
      <c r="Z409" s="334"/>
      <c r="AA409" s="334"/>
      <c r="AB409" s="334"/>
      <c r="AC409" s="334"/>
      <c r="AD409" s="334"/>
    </row>
    <row r="410" ht="16.5" customHeight="1">
      <c r="A410" s="334"/>
      <c r="B410" s="329"/>
      <c r="C410" s="329" t="s">
        <v>585</v>
      </c>
      <c r="D410" s="331" t="s">
        <v>585</v>
      </c>
      <c r="E410" s="331" t="s">
        <v>585</v>
      </c>
      <c r="F410" s="331" t="s">
        <v>585</v>
      </c>
      <c r="G410" s="331">
        <f>iferror(sumifs('Hợp tác'!G:G,'Hợp tác'!A:A,B410,'Hợp tác'!H:H,$G$2,'Hợp tác'!I:I,$I$2),"")</f>
        <v>0</v>
      </c>
      <c r="H410" s="332">
        <f>SUMIFS(View!J:J,View!B:B,B410)</f>
        <v>0</v>
      </c>
      <c r="I410" s="332">
        <f>sumifs('Hoa Hồng'!L:L,'Hoa Hồng'!A:A,B410)</f>
        <v>0</v>
      </c>
      <c r="J410" s="332">
        <v>0.0</v>
      </c>
      <c r="K410" s="333" t="s">
        <v>1211</v>
      </c>
      <c r="L410" s="334"/>
      <c r="M410" s="334"/>
      <c r="N410" s="334"/>
      <c r="O410" s="334"/>
      <c r="P410" s="334"/>
      <c r="Q410" s="334"/>
      <c r="R410" s="334"/>
      <c r="S410" s="334"/>
      <c r="T410" s="334"/>
      <c r="U410" s="334"/>
      <c r="V410" s="334"/>
      <c r="W410" s="334"/>
      <c r="X410" s="334"/>
      <c r="Y410" s="334"/>
      <c r="Z410" s="334"/>
      <c r="AA410" s="334"/>
      <c r="AB410" s="334"/>
      <c r="AC410" s="334"/>
      <c r="AD410" s="334"/>
    </row>
    <row r="411" ht="16.5" customHeight="1">
      <c r="A411" s="334"/>
      <c r="B411" s="329"/>
      <c r="C411" s="329" t="s">
        <v>585</v>
      </c>
      <c r="D411" s="331" t="s">
        <v>585</v>
      </c>
      <c r="E411" s="331" t="s">
        <v>585</v>
      </c>
      <c r="F411" s="331" t="s">
        <v>585</v>
      </c>
      <c r="G411" s="331">
        <f>iferror(sumifs('Hợp tác'!G:G,'Hợp tác'!A:A,B411,'Hợp tác'!H:H,$G$2,'Hợp tác'!I:I,$I$2),"")</f>
        <v>0</v>
      </c>
      <c r="H411" s="332">
        <f>SUMIFS(View!J:J,View!B:B,B411)</f>
        <v>0</v>
      </c>
      <c r="I411" s="332">
        <f>sumifs('Hoa Hồng'!L:L,'Hoa Hồng'!A:A,B411)</f>
        <v>0</v>
      </c>
      <c r="J411" s="332">
        <v>0.0</v>
      </c>
      <c r="K411" s="333" t="s">
        <v>1211</v>
      </c>
      <c r="L411" s="334"/>
      <c r="M411" s="334"/>
      <c r="N411" s="334"/>
      <c r="O411" s="334"/>
      <c r="P411" s="334"/>
      <c r="Q411" s="334"/>
      <c r="R411" s="334"/>
      <c r="S411" s="334"/>
      <c r="T411" s="334"/>
      <c r="U411" s="334"/>
      <c r="V411" s="334"/>
      <c r="W411" s="334"/>
      <c r="X411" s="334"/>
      <c r="Y411" s="334"/>
      <c r="Z411" s="334"/>
      <c r="AA411" s="334"/>
      <c r="AB411" s="334"/>
      <c r="AC411" s="334"/>
      <c r="AD411" s="334"/>
    </row>
    <row r="412" ht="16.5" customHeight="1">
      <c r="A412" s="334"/>
      <c r="B412" s="329"/>
      <c r="C412" s="329" t="s">
        <v>585</v>
      </c>
      <c r="D412" s="331" t="s">
        <v>585</v>
      </c>
      <c r="E412" s="331" t="s">
        <v>585</v>
      </c>
      <c r="F412" s="331" t="s">
        <v>585</v>
      </c>
      <c r="G412" s="331">
        <f>iferror(sumifs('Hợp tác'!G:G,'Hợp tác'!A:A,B412,'Hợp tác'!H:H,$G$2,'Hợp tác'!I:I,$I$2),"")</f>
        <v>0</v>
      </c>
      <c r="H412" s="332">
        <f>SUMIFS(View!J:J,View!B:B,B412)</f>
        <v>0</v>
      </c>
      <c r="I412" s="332">
        <f>sumifs('Hoa Hồng'!L:L,'Hoa Hồng'!A:A,B412)</f>
        <v>0</v>
      </c>
      <c r="J412" s="332">
        <v>0.0</v>
      </c>
      <c r="K412" s="333" t="s">
        <v>1211</v>
      </c>
      <c r="L412" s="334"/>
      <c r="M412" s="334"/>
      <c r="N412" s="334"/>
      <c r="O412" s="334"/>
      <c r="P412" s="334"/>
      <c r="Q412" s="334"/>
      <c r="R412" s="334"/>
      <c r="S412" s="334"/>
      <c r="T412" s="334"/>
      <c r="U412" s="334"/>
      <c r="V412" s="334"/>
      <c r="W412" s="334"/>
      <c r="X412" s="334"/>
      <c r="Y412" s="334"/>
      <c r="Z412" s="334"/>
      <c r="AA412" s="334"/>
      <c r="AB412" s="334"/>
      <c r="AC412" s="334"/>
      <c r="AD412" s="334"/>
    </row>
    <row r="413" ht="16.5" customHeight="1">
      <c r="A413" s="334"/>
      <c r="B413" s="329"/>
      <c r="C413" s="329" t="s">
        <v>585</v>
      </c>
      <c r="D413" s="331" t="s">
        <v>585</v>
      </c>
      <c r="E413" s="331" t="s">
        <v>585</v>
      </c>
      <c r="F413" s="331" t="s">
        <v>585</v>
      </c>
      <c r="G413" s="331">
        <f>iferror(sumifs('Hợp tác'!G:G,'Hợp tác'!A:A,B413,'Hợp tác'!H:H,$G$2,'Hợp tác'!I:I,$I$2),"")</f>
        <v>0</v>
      </c>
      <c r="H413" s="332">
        <f>SUMIFS(View!J:J,View!B:B,B413)</f>
        <v>0</v>
      </c>
      <c r="I413" s="332">
        <f>sumifs('Hoa Hồng'!L:L,'Hoa Hồng'!A:A,B413)</f>
        <v>0</v>
      </c>
      <c r="J413" s="332">
        <v>0.0</v>
      </c>
      <c r="K413" s="333" t="s">
        <v>1211</v>
      </c>
      <c r="L413" s="334"/>
      <c r="M413" s="334"/>
      <c r="N413" s="334"/>
      <c r="O413" s="334"/>
      <c r="P413" s="334"/>
      <c r="Q413" s="334"/>
      <c r="R413" s="334"/>
      <c r="S413" s="334"/>
      <c r="T413" s="334"/>
      <c r="U413" s="334"/>
      <c r="V413" s="334"/>
      <c r="W413" s="334"/>
      <c r="X413" s="334"/>
      <c r="Y413" s="334"/>
      <c r="Z413" s="334"/>
      <c r="AA413" s="334"/>
      <c r="AB413" s="334"/>
      <c r="AC413" s="334"/>
      <c r="AD413" s="334"/>
    </row>
    <row r="414" ht="16.5" customHeight="1">
      <c r="A414" s="334"/>
      <c r="B414" s="329"/>
      <c r="C414" s="329" t="s">
        <v>585</v>
      </c>
      <c r="D414" s="331" t="s">
        <v>585</v>
      </c>
      <c r="E414" s="331" t="s">
        <v>585</v>
      </c>
      <c r="F414" s="331" t="s">
        <v>585</v>
      </c>
      <c r="G414" s="331">
        <f>iferror(sumifs('Hợp tác'!G:G,'Hợp tác'!A:A,B414,'Hợp tác'!H:H,$G$2,'Hợp tác'!I:I,$I$2),"")</f>
        <v>0</v>
      </c>
      <c r="H414" s="332">
        <f>SUMIFS(View!J:J,View!B:B,B414)</f>
        <v>0</v>
      </c>
      <c r="I414" s="332">
        <f>sumifs('Hoa Hồng'!L:L,'Hoa Hồng'!A:A,B414)</f>
        <v>0</v>
      </c>
      <c r="J414" s="332">
        <v>0.0</v>
      </c>
      <c r="K414" s="333" t="s">
        <v>1211</v>
      </c>
      <c r="L414" s="334"/>
      <c r="M414" s="334"/>
      <c r="N414" s="334"/>
      <c r="O414" s="334"/>
      <c r="P414" s="334"/>
      <c r="Q414" s="334"/>
      <c r="R414" s="334"/>
      <c r="S414" s="334"/>
      <c r="T414" s="334"/>
      <c r="U414" s="334"/>
      <c r="V414" s="334"/>
      <c r="W414" s="334"/>
      <c r="X414" s="334"/>
      <c r="Y414" s="334"/>
      <c r="Z414" s="334"/>
      <c r="AA414" s="334"/>
      <c r="AB414" s="334"/>
      <c r="AC414" s="334"/>
      <c r="AD414" s="334"/>
    </row>
    <row r="415" ht="16.5" customHeight="1">
      <c r="A415" s="334"/>
      <c r="B415" s="329"/>
      <c r="C415" s="329" t="s">
        <v>585</v>
      </c>
      <c r="D415" s="331" t="s">
        <v>585</v>
      </c>
      <c r="E415" s="331" t="s">
        <v>585</v>
      </c>
      <c r="F415" s="331" t="s">
        <v>585</v>
      </c>
      <c r="G415" s="331">
        <f>iferror(sumifs('Hợp tác'!G:G,'Hợp tác'!A:A,B415,'Hợp tác'!H:H,$G$2,'Hợp tác'!I:I,$I$2),"")</f>
        <v>0</v>
      </c>
      <c r="H415" s="332">
        <f>SUMIFS(View!J:J,View!B:B,B415)</f>
        <v>0</v>
      </c>
      <c r="I415" s="332">
        <f>sumifs('Hoa Hồng'!L:L,'Hoa Hồng'!A:A,B415)</f>
        <v>0</v>
      </c>
      <c r="J415" s="332">
        <v>0.0</v>
      </c>
      <c r="K415" s="333" t="s">
        <v>1211</v>
      </c>
      <c r="L415" s="334"/>
      <c r="M415" s="334"/>
      <c r="N415" s="334"/>
      <c r="O415" s="334"/>
      <c r="P415" s="334"/>
      <c r="Q415" s="334"/>
      <c r="R415" s="334"/>
      <c r="S415" s="334"/>
      <c r="T415" s="334"/>
      <c r="U415" s="334"/>
      <c r="V415" s="334"/>
      <c r="W415" s="334"/>
      <c r="X415" s="334"/>
      <c r="Y415" s="334"/>
      <c r="Z415" s="334"/>
      <c r="AA415" s="334"/>
      <c r="AB415" s="334"/>
      <c r="AC415" s="334"/>
      <c r="AD415" s="334"/>
    </row>
    <row r="416" ht="16.5" customHeight="1">
      <c r="A416" s="334"/>
      <c r="B416" s="329"/>
      <c r="C416" s="329" t="s">
        <v>585</v>
      </c>
      <c r="D416" s="331" t="s">
        <v>585</v>
      </c>
      <c r="E416" s="331" t="s">
        <v>585</v>
      </c>
      <c r="F416" s="331" t="s">
        <v>585</v>
      </c>
      <c r="G416" s="331">
        <f>iferror(sumifs('Hợp tác'!G:G,'Hợp tác'!A:A,B416,'Hợp tác'!H:H,$G$2,'Hợp tác'!I:I,$I$2),"")</f>
        <v>0</v>
      </c>
      <c r="H416" s="332">
        <f>SUMIFS(View!J:J,View!B:B,B416)</f>
        <v>0</v>
      </c>
      <c r="I416" s="332">
        <f>sumifs('Hoa Hồng'!L:L,'Hoa Hồng'!A:A,B416)</f>
        <v>0</v>
      </c>
      <c r="J416" s="332">
        <v>0.0</v>
      </c>
      <c r="K416" s="333" t="s">
        <v>1211</v>
      </c>
      <c r="L416" s="334"/>
      <c r="M416" s="334"/>
      <c r="N416" s="334"/>
      <c r="O416" s="334"/>
      <c r="P416" s="334"/>
      <c r="Q416" s="334"/>
      <c r="R416" s="334"/>
      <c r="S416" s="334"/>
      <c r="T416" s="334"/>
      <c r="U416" s="334"/>
      <c r="V416" s="334"/>
      <c r="W416" s="334"/>
      <c r="X416" s="334"/>
      <c r="Y416" s="334"/>
      <c r="Z416" s="334"/>
      <c r="AA416" s="334"/>
      <c r="AB416" s="334"/>
      <c r="AC416" s="334"/>
      <c r="AD416" s="334"/>
    </row>
    <row r="417" ht="16.5" customHeight="1">
      <c r="A417" s="334"/>
      <c r="B417" s="329"/>
      <c r="C417" s="329" t="s">
        <v>585</v>
      </c>
      <c r="D417" s="331" t="s">
        <v>585</v>
      </c>
      <c r="E417" s="331" t="s">
        <v>585</v>
      </c>
      <c r="F417" s="331" t="s">
        <v>585</v>
      </c>
      <c r="G417" s="331">
        <f>iferror(sumifs('Hợp tác'!G:G,'Hợp tác'!A:A,B417,'Hợp tác'!H:H,$G$2,'Hợp tác'!I:I,$I$2),"")</f>
        <v>0</v>
      </c>
      <c r="H417" s="332">
        <f>SUMIFS(View!J:J,View!B:B,B417)</f>
        <v>0</v>
      </c>
      <c r="I417" s="332">
        <f>sumifs('Hoa Hồng'!L:L,'Hoa Hồng'!A:A,B417)</f>
        <v>0</v>
      </c>
      <c r="J417" s="332">
        <v>0.0</v>
      </c>
      <c r="K417" s="333" t="s">
        <v>1211</v>
      </c>
      <c r="L417" s="334"/>
      <c r="M417" s="334"/>
      <c r="N417" s="334"/>
      <c r="O417" s="334"/>
      <c r="P417" s="334"/>
      <c r="Q417" s="334"/>
      <c r="R417" s="334"/>
      <c r="S417" s="334"/>
      <c r="T417" s="334"/>
      <c r="U417" s="334"/>
      <c r="V417" s="334"/>
      <c r="W417" s="334"/>
      <c r="X417" s="334"/>
      <c r="Y417" s="334"/>
      <c r="Z417" s="334"/>
      <c r="AA417" s="334"/>
      <c r="AB417" s="334"/>
      <c r="AC417" s="334"/>
      <c r="AD417" s="334"/>
    </row>
    <row r="418" ht="16.5" customHeight="1">
      <c r="A418" s="334"/>
      <c r="B418" s="329"/>
      <c r="C418" s="329" t="s">
        <v>585</v>
      </c>
      <c r="D418" s="331" t="s">
        <v>585</v>
      </c>
      <c r="E418" s="331" t="s">
        <v>585</v>
      </c>
      <c r="F418" s="331" t="s">
        <v>585</v>
      </c>
      <c r="G418" s="331">
        <f>iferror(sumifs('Hợp tác'!G:G,'Hợp tác'!A:A,B418,'Hợp tác'!H:H,$G$2,'Hợp tác'!I:I,$I$2),"")</f>
        <v>0</v>
      </c>
      <c r="H418" s="332">
        <f>SUMIFS(View!J:J,View!B:B,B418)</f>
        <v>0</v>
      </c>
      <c r="I418" s="332">
        <f>sumifs('Hoa Hồng'!L:L,'Hoa Hồng'!A:A,B418)</f>
        <v>0</v>
      </c>
      <c r="J418" s="332">
        <v>0.0</v>
      </c>
      <c r="K418" s="333" t="s">
        <v>1211</v>
      </c>
      <c r="L418" s="334"/>
      <c r="M418" s="334"/>
      <c r="N418" s="334"/>
      <c r="O418" s="334"/>
      <c r="P418" s="334"/>
      <c r="Q418" s="334"/>
      <c r="R418" s="334"/>
      <c r="S418" s="334"/>
      <c r="T418" s="334"/>
      <c r="U418" s="334"/>
      <c r="V418" s="334"/>
      <c r="W418" s="334"/>
      <c r="X418" s="334"/>
      <c r="Y418" s="334"/>
      <c r="Z418" s="334"/>
      <c r="AA418" s="334"/>
      <c r="AB418" s="334"/>
      <c r="AC418" s="334"/>
      <c r="AD418" s="334"/>
    </row>
    <row r="419" ht="16.5" customHeight="1">
      <c r="A419" s="334"/>
      <c r="B419" s="329"/>
      <c r="C419" s="329" t="s">
        <v>585</v>
      </c>
      <c r="D419" s="331" t="s">
        <v>585</v>
      </c>
      <c r="E419" s="331" t="s">
        <v>585</v>
      </c>
      <c r="F419" s="331" t="s">
        <v>585</v>
      </c>
      <c r="G419" s="331">
        <f>iferror(sumifs('Hợp tác'!G:G,'Hợp tác'!A:A,B419,'Hợp tác'!H:H,$G$2,'Hợp tác'!I:I,$I$2),"")</f>
        <v>0</v>
      </c>
      <c r="H419" s="332">
        <f>SUMIFS(View!J:J,View!B:B,B419)</f>
        <v>0</v>
      </c>
      <c r="I419" s="332">
        <f>sumifs('Hoa Hồng'!L:L,'Hoa Hồng'!A:A,B419)</f>
        <v>0</v>
      </c>
      <c r="J419" s="332">
        <v>0.0</v>
      </c>
      <c r="K419" s="333" t="s">
        <v>1211</v>
      </c>
      <c r="L419" s="334"/>
      <c r="M419" s="334"/>
      <c r="N419" s="334"/>
      <c r="O419" s="334"/>
      <c r="P419" s="334"/>
      <c r="Q419" s="334"/>
      <c r="R419" s="334"/>
      <c r="S419" s="334"/>
      <c r="T419" s="334"/>
      <c r="U419" s="334"/>
      <c r="V419" s="334"/>
      <c r="W419" s="334"/>
      <c r="X419" s="334"/>
      <c r="Y419" s="334"/>
      <c r="Z419" s="334"/>
      <c r="AA419" s="334"/>
      <c r="AB419" s="334"/>
      <c r="AC419" s="334"/>
      <c r="AD419" s="334"/>
    </row>
    <row r="420" ht="16.5" customHeight="1">
      <c r="A420" s="334"/>
      <c r="B420" s="329"/>
      <c r="C420" s="329" t="s">
        <v>585</v>
      </c>
      <c r="D420" s="331" t="s">
        <v>585</v>
      </c>
      <c r="E420" s="331" t="s">
        <v>585</v>
      </c>
      <c r="F420" s="331" t="s">
        <v>585</v>
      </c>
      <c r="G420" s="331">
        <f>iferror(sumifs('Hợp tác'!G:G,'Hợp tác'!A:A,B420,'Hợp tác'!H:H,$G$2,'Hợp tác'!I:I,$I$2),"")</f>
        <v>0</v>
      </c>
      <c r="H420" s="332">
        <f>SUMIFS(View!J:J,View!B:B,B420)</f>
        <v>0</v>
      </c>
      <c r="I420" s="332">
        <f>sumifs('Hoa Hồng'!L:L,'Hoa Hồng'!A:A,B420)</f>
        <v>0</v>
      </c>
      <c r="J420" s="332">
        <v>0.0</v>
      </c>
      <c r="K420" s="333" t="s">
        <v>1211</v>
      </c>
      <c r="L420" s="334"/>
      <c r="M420" s="334"/>
      <c r="N420" s="334"/>
      <c r="O420" s="334"/>
      <c r="P420" s="334"/>
      <c r="Q420" s="334"/>
      <c r="R420" s="334"/>
      <c r="S420" s="334"/>
      <c r="T420" s="334"/>
      <c r="U420" s="334"/>
      <c r="V420" s="334"/>
      <c r="W420" s="334"/>
      <c r="X420" s="334"/>
      <c r="Y420" s="334"/>
      <c r="Z420" s="334"/>
      <c r="AA420" s="334"/>
      <c r="AB420" s="334"/>
      <c r="AC420" s="334"/>
      <c r="AD420" s="334"/>
    </row>
    <row r="421" ht="16.5" customHeight="1">
      <c r="A421" s="334"/>
      <c r="B421" s="329"/>
      <c r="C421" s="329" t="s">
        <v>585</v>
      </c>
      <c r="D421" s="331" t="s">
        <v>585</v>
      </c>
      <c r="E421" s="331" t="s">
        <v>585</v>
      </c>
      <c r="F421" s="331" t="s">
        <v>585</v>
      </c>
      <c r="G421" s="331">
        <f>iferror(sumifs('Hợp tác'!G:G,'Hợp tác'!A:A,B421,'Hợp tác'!H:H,$G$2,'Hợp tác'!I:I,$I$2),"")</f>
        <v>0</v>
      </c>
      <c r="H421" s="332">
        <f>SUMIFS(View!J:J,View!B:B,B421)</f>
        <v>0</v>
      </c>
      <c r="I421" s="332">
        <f>sumifs('Hoa Hồng'!L:L,'Hoa Hồng'!A:A,B421)</f>
        <v>0</v>
      </c>
      <c r="J421" s="332">
        <v>0.0</v>
      </c>
      <c r="K421" s="333" t="s">
        <v>1211</v>
      </c>
      <c r="L421" s="334"/>
      <c r="M421" s="334"/>
      <c r="N421" s="334"/>
      <c r="O421" s="334"/>
      <c r="P421" s="334"/>
      <c r="Q421" s="334"/>
      <c r="R421" s="334"/>
      <c r="S421" s="334"/>
      <c r="T421" s="334"/>
      <c r="U421" s="334"/>
      <c r="V421" s="334"/>
      <c r="W421" s="334"/>
      <c r="X421" s="334"/>
      <c r="Y421" s="334"/>
      <c r="Z421" s="334"/>
      <c r="AA421" s="334"/>
      <c r="AB421" s="334"/>
      <c r="AC421" s="334"/>
      <c r="AD421" s="334"/>
    </row>
    <row r="422" ht="16.5" customHeight="1">
      <c r="A422" s="334"/>
      <c r="B422" s="329"/>
      <c r="C422" s="329" t="s">
        <v>585</v>
      </c>
      <c r="D422" s="331" t="s">
        <v>585</v>
      </c>
      <c r="E422" s="331" t="s">
        <v>585</v>
      </c>
      <c r="F422" s="331" t="s">
        <v>585</v>
      </c>
      <c r="G422" s="331">
        <f>iferror(sumifs('Hợp tác'!G:G,'Hợp tác'!A:A,B422,'Hợp tác'!H:H,$G$2,'Hợp tác'!I:I,$I$2),"")</f>
        <v>0</v>
      </c>
      <c r="H422" s="332">
        <f>SUMIFS(View!J:J,View!B:B,B422)</f>
        <v>0</v>
      </c>
      <c r="I422" s="332">
        <f>sumifs('Hoa Hồng'!L:L,'Hoa Hồng'!A:A,B422)</f>
        <v>0</v>
      </c>
      <c r="J422" s="332">
        <v>0.0</v>
      </c>
      <c r="K422" s="333" t="s">
        <v>1211</v>
      </c>
      <c r="L422" s="334"/>
      <c r="M422" s="334"/>
      <c r="N422" s="334"/>
      <c r="O422" s="334"/>
      <c r="P422" s="334"/>
      <c r="Q422" s="334"/>
      <c r="R422" s="334"/>
      <c r="S422" s="334"/>
      <c r="T422" s="334"/>
      <c r="U422" s="334"/>
      <c r="V422" s="334"/>
      <c r="W422" s="334"/>
      <c r="X422" s="334"/>
      <c r="Y422" s="334"/>
      <c r="Z422" s="334"/>
      <c r="AA422" s="334"/>
      <c r="AB422" s="334"/>
      <c r="AC422" s="334"/>
      <c r="AD422" s="334"/>
    </row>
    <row r="423" ht="16.5" customHeight="1">
      <c r="A423" s="334"/>
      <c r="B423" s="329"/>
      <c r="C423" s="329" t="s">
        <v>585</v>
      </c>
      <c r="D423" s="331" t="s">
        <v>585</v>
      </c>
      <c r="E423" s="331" t="s">
        <v>585</v>
      </c>
      <c r="F423" s="331" t="s">
        <v>585</v>
      </c>
      <c r="G423" s="331">
        <f>iferror(sumifs('Hợp tác'!G:G,'Hợp tác'!A:A,B423,'Hợp tác'!H:H,$G$2,'Hợp tác'!I:I,$I$2),"")</f>
        <v>0</v>
      </c>
      <c r="H423" s="332">
        <f>SUMIFS(View!J:J,View!B:B,B423)</f>
        <v>0</v>
      </c>
      <c r="I423" s="332">
        <f>sumifs('Hoa Hồng'!L:L,'Hoa Hồng'!A:A,B423)</f>
        <v>0</v>
      </c>
      <c r="J423" s="332">
        <v>0.0</v>
      </c>
      <c r="K423" s="333" t="s">
        <v>1211</v>
      </c>
      <c r="L423" s="334"/>
      <c r="M423" s="334"/>
      <c r="N423" s="334"/>
      <c r="O423" s="334"/>
      <c r="P423" s="334"/>
      <c r="Q423" s="334"/>
      <c r="R423" s="334"/>
      <c r="S423" s="334"/>
      <c r="T423" s="334"/>
      <c r="U423" s="334"/>
      <c r="V423" s="334"/>
      <c r="W423" s="334"/>
      <c r="X423" s="334"/>
      <c r="Y423" s="334"/>
      <c r="Z423" s="334"/>
      <c r="AA423" s="334"/>
      <c r="AB423" s="334"/>
      <c r="AC423" s="334"/>
      <c r="AD423" s="334"/>
    </row>
    <row r="424" ht="16.5" customHeight="1">
      <c r="A424" s="334"/>
      <c r="B424" s="329"/>
      <c r="C424" s="329" t="s">
        <v>585</v>
      </c>
      <c r="D424" s="331" t="s">
        <v>585</v>
      </c>
      <c r="E424" s="331" t="s">
        <v>585</v>
      </c>
      <c r="F424" s="331" t="s">
        <v>585</v>
      </c>
      <c r="G424" s="331">
        <f>iferror(sumifs('Hợp tác'!G:G,'Hợp tác'!A:A,B424,'Hợp tác'!H:H,$G$2,'Hợp tác'!I:I,$I$2),"")</f>
        <v>0</v>
      </c>
      <c r="H424" s="332">
        <f>SUMIFS(View!J:J,View!B:B,B424)</f>
        <v>0</v>
      </c>
      <c r="I424" s="332">
        <f>sumifs('Hoa Hồng'!L:L,'Hoa Hồng'!A:A,B424)</f>
        <v>0</v>
      </c>
      <c r="J424" s="332">
        <v>0.0</v>
      </c>
      <c r="K424" s="333" t="s">
        <v>1211</v>
      </c>
      <c r="L424" s="334"/>
      <c r="M424" s="334"/>
      <c r="N424" s="334"/>
      <c r="O424" s="334"/>
      <c r="P424" s="334"/>
      <c r="Q424" s="334"/>
      <c r="R424" s="334"/>
      <c r="S424" s="334"/>
      <c r="T424" s="334"/>
      <c r="U424" s="334"/>
      <c r="V424" s="334"/>
      <c r="W424" s="334"/>
      <c r="X424" s="334"/>
      <c r="Y424" s="334"/>
      <c r="Z424" s="334"/>
      <c r="AA424" s="334"/>
      <c r="AB424" s="334"/>
      <c r="AC424" s="334"/>
      <c r="AD424" s="334"/>
    </row>
    <row r="425" ht="16.5" customHeight="1">
      <c r="A425" s="334"/>
      <c r="B425" s="329"/>
      <c r="C425" s="329" t="s">
        <v>585</v>
      </c>
      <c r="D425" s="331" t="s">
        <v>585</v>
      </c>
      <c r="E425" s="331" t="s">
        <v>585</v>
      </c>
      <c r="F425" s="331" t="s">
        <v>585</v>
      </c>
      <c r="G425" s="331">
        <f>iferror(sumifs('Hợp tác'!G:G,'Hợp tác'!A:A,B425,'Hợp tác'!H:H,$G$2,'Hợp tác'!I:I,$I$2),"")</f>
        <v>0</v>
      </c>
      <c r="H425" s="332">
        <f>SUMIFS(View!J:J,View!B:B,B425)</f>
        <v>0</v>
      </c>
      <c r="I425" s="332">
        <f>sumifs('Hoa Hồng'!L:L,'Hoa Hồng'!A:A,B425)</f>
        <v>0</v>
      </c>
      <c r="J425" s="332">
        <v>0.0</v>
      </c>
      <c r="K425" s="333" t="s">
        <v>1211</v>
      </c>
      <c r="L425" s="334"/>
      <c r="M425" s="334"/>
      <c r="N425" s="334"/>
      <c r="O425" s="334"/>
      <c r="P425" s="334"/>
      <c r="Q425" s="334"/>
      <c r="R425" s="334"/>
      <c r="S425" s="334"/>
      <c r="T425" s="334"/>
      <c r="U425" s="334"/>
      <c r="V425" s="334"/>
      <c r="W425" s="334"/>
      <c r="X425" s="334"/>
      <c r="Y425" s="334"/>
      <c r="Z425" s="334"/>
      <c r="AA425" s="334"/>
      <c r="AB425" s="334"/>
      <c r="AC425" s="334"/>
      <c r="AD425" s="334"/>
    </row>
    <row r="426" ht="16.5" customHeight="1">
      <c r="A426" s="334"/>
      <c r="B426" s="329"/>
      <c r="C426" s="329" t="s">
        <v>585</v>
      </c>
      <c r="D426" s="331" t="s">
        <v>585</v>
      </c>
      <c r="E426" s="331" t="s">
        <v>585</v>
      </c>
      <c r="F426" s="331" t="s">
        <v>585</v>
      </c>
      <c r="G426" s="331">
        <f>iferror(sumifs('Hợp tác'!G:G,'Hợp tác'!A:A,B426,'Hợp tác'!H:H,$G$2,'Hợp tác'!I:I,$I$2),"")</f>
        <v>0</v>
      </c>
      <c r="H426" s="332">
        <f>SUMIFS(View!J:J,View!B:B,B426)</f>
        <v>0</v>
      </c>
      <c r="I426" s="332">
        <f>sumifs('Hoa Hồng'!L:L,'Hoa Hồng'!A:A,B426)</f>
        <v>0</v>
      </c>
      <c r="J426" s="332">
        <v>0.0</v>
      </c>
      <c r="K426" s="333" t="s">
        <v>1211</v>
      </c>
      <c r="L426" s="334"/>
      <c r="M426" s="334"/>
      <c r="N426" s="334"/>
      <c r="O426" s="334"/>
      <c r="P426" s="334"/>
      <c r="Q426" s="334"/>
      <c r="R426" s="334"/>
      <c r="S426" s="334"/>
      <c r="T426" s="334"/>
      <c r="U426" s="334"/>
      <c r="V426" s="334"/>
      <c r="W426" s="334"/>
      <c r="X426" s="334"/>
      <c r="Y426" s="334"/>
      <c r="Z426" s="334"/>
      <c r="AA426" s="334"/>
      <c r="AB426" s="334"/>
      <c r="AC426" s="334"/>
      <c r="AD426" s="334"/>
    </row>
    <row r="427" ht="16.5" customHeight="1">
      <c r="A427" s="334"/>
      <c r="B427" s="329"/>
      <c r="C427" s="329" t="s">
        <v>585</v>
      </c>
      <c r="D427" s="331" t="s">
        <v>585</v>
      </c>
      <c r="E427" s="331" t="s">
        <v>585</v>
      </c>
      <c r="F427" s="331" t="s">
        <v>585</v>
      </c>
      <c r="G427" s="331">
        <f>iferror(sumifs('Hợp tác'!G:G,'Hợp tác'!A:A,B427,'Hợp tác'!H:H,$G$2,'Hợp tác'!I:I,$I$2),"")</f>
        <v>0</v>
      </c>
      <c r="H427" s="332">
        <f>SUMIFS(View!J:J,View!B:B,B427)</f>
        <v>0</v>
      </c>
      <c r="I427" s="332">
        <f>sumifs('Hoa Hồng'!L:L,'Hoa Hồng'!A:A,B427)</f>
        <v>0</v>
      </c>
      <c r="J427" s="332">
        <v>0.0</v>
      </c>
      <c r="K427" s="333" t="s">
        <v>1211</v>
      </c>
      <c r="L427" s="334"/>
      <c r="M427" s="334"/>
      <c r="N427" s="334"/>
      <c r="O427" s="334"/>
      <c r="P427" s="334"/>
      <c r="Q427" s="334"/>
      <c r="R427" s="334"/>
      <c r="S427" s="334"/>
      <c r="T427" s="334"/>
      <c r="U427" s="334"/>
      <c r="V427" s="334"/>
      <c r="W427" s="334"/>
      <c r="X427" s="334"/>
      <c r="Y427" s="334"/>
      <c r="Z427" s="334"/>
      <c r="AA427" s="334"/>
      <c r="AB427" s="334"/>
      <c r="AC427" s="334"/>
      <c r="AD427" s="334"/>
    </row>
    <row r="428" ht="16.5" customHeight="1">
      <c r="A428" s="334"/>
      <c r="B428" s="329"/>
      <c r="C428" s="329" t="s">
        <v>585</v>
      </c>
      <c r="D428" s="331" t="s">
        <v>585</v>
      </c>
      <c r="E428" s="331" t="s">
        <v>585</v>
      </c>
      <c r="F428" s="331" t="s">
        <v>585</v>
      </c>
      <c r="G428" s="331">
        <f>iferror(sumifs('Hợp tác'!G:G,'Hợp tác'!A:A,B428,'Hợp tác'!H:H,$G$2,'Hợp tác'!I:I,$I$2),"")</f>
        <v>0</v>
      </c>
      <c r="H428" s="332">
        <f>SUMIFS(View!J:J,View!B:B,B428)</f>
        <v>0</v>
      </c>
      <c r="I428" s="332">
        <f>sumifs('Hoa Hồng'!L:L,'Hoa Hồng'!A:A,B428)</f>
        <v>0</v>
      </c>
      <c r="J428" s="332">
        <v>0.0</v>
      </c>
      <c r="K428" s="333" t="s">
        <v>1211</v>
      </c>
      <c r="L428" s="334"/>
      <c r="M428" s="334"/>
      <c r="N428" s="334"/>
      <c r="O428" s="334"/>
      <c r="P428" s="334"/>
      <c r="Q428" s="334"/>
      <c r="R428" s="334"/>
      <c r="S428" s="334"/>
      <c r="T428" s="334"/>
      <c r="U428" s="334"/>
      <c r="V428" s="334"/>
      <c r="W428" s="334"/>
      <c r="X428" s="334"/>
      <c r="Y428" s="334"/>
      <c r="Z428" s="334"/>
      <c r="AA428" s="334"/>
      <c r="AB428" s="334"/>
      <c r="AC428" s="334"/>
      <c r="AD428" s="334"/>
    </row>
    <row r="429" ht="16.5" customHeight="1">
      <c r="A429" s="334"/>
      <c r="B429" s="329"/>
      <c r="C429" s="329" t="s">
        <v>585</v>
      </c>
      <c r="D429" s="331" t="s">
        <v>585</v>
      </c>
      <c r="E429" s="331" t="s">
        <v>585</v>
      </c>
      <c r="F429" s="331" t="s">
        <v>585</v>
      </c>
      <c r="G429" s="331">
        <f>iferror(sumifs('Hợp tác'!G:G,'Hợp tác'!A:A,B429,'Hợp tác'!H:H,$G$2,'Hợp tác'!I:I,$I$2),"")</f>
        <v>0</v>
      </c>
      <c r="H429" s="332">
        <f>SUMIFS(View!J:J,View!B:B,B429)</f>
        <v>0</v>
      </c>
      <c r="I429" s="332">
        <f>sumifs('Hoa Hồng'!L:L,'Hoa Hồng'!A:A,B429)</f>
        <v>0</v>
      </c>
      <c r="J429" s="332">
        <v>0.0</v>
      </c>
      <c r="K429" s="333" t="s">
        <v>1211</v>
      </c>
      <c r="L429" s="334"/>
      <c r="M429" s="334"/>
      <c r="N429" s="334"/>
      <c r="O429" s="334"/>
      <c r="P429" s="334"/>
      <c r="Q429" s="334"/>
      <c r="R429" s="334"/>
      <c r="S429" s="334"/>
      <c r="T429" s="334"/>
      <c r="U429" s="334"/>
      <c r="V429" s="334"/>
      <c r="W429" s="334"/>
      <c r="X429" s="334"/>
      <c r="Y429" s="334"/>
      <c r="Z429" s="334"/>
      <c r="AA429" s="334"/>
      <c r="AB429" s="334"/>
      <c r="AC429" s="334"/>
      <c r="AD429" s="334"/>
    </row>
    <row r="430" ht="16.5" customHeight="1">
      <c r="A430" s="334"/>
      <c r="B430" s="329"/>
      <c r="C430" s="329" t="s">
        <v>585</v>
      </c>
      <c r="D430" s="331" t="s">
        <v>585</v>
      </c>
      <c r="E430" s="331" t="s">
        <v>585</v>
      </c>
      <c r="F430" s="331" t="s">
        <v>585</v>
      </c>
      <c r="G430" s="331">
        <f>iferror(sumifs('Hợp tác'!G:G,'Hợp tác'!A:A,B430,'Hợp tác'!H:H,$G$2,'Hợp tác'!I:I,$I$2),"")</f>
        <v>0</v>
      </c>
      <c r="H430" s="332">
        <f>SUMIFS(View!J:J,View!B:B,B430)</f>
        <v>0</v>
      </c>
      <c r="I430" s="332">
        <f>sumifs('Hoa Hồng'!L:L,'Hoa Hồng'!A:A,B430)</f>
        <v>0</v>
      </c>
      <c r="J430" s="332">
        <v>0.0</v>
      </c>
      <c r="K430" s="333" t="s">
        <v>1211</v>
      </c>
      <c r="L430" s="334"/>
      <c r="M430" s="334"/>
      <c r="N430" s="334"/>
      <c r="O430" s="334"/>
      <c r="P430" s="334"/>
      <c r="Q430" s="334"/>
      <c r="R430" s="334"/>
      <c r="S430" s="334"/>
      <c r="T430" s="334"/>
      <c r="U430" s="334"/>
      <c r="V430" s="334"/>
      <c r="W430" s="334"/>
      <c r="X430" s="334"/>
      <c r="Y430" s="334"/>
      <c r="Z430" s="334"/>
      <c r="AA430" s="334"/>
      <c r="AB430" s="334"/>
      <c r="AC430" s="334"/>
      <c r="AD430" s="334"/>
    </row>
    <row r="431" ht="16.5" customHeight="1">
      <c r="A431" s="334"/>
      <c r="B431" s="329"/>
      <c r="C431" s="329" t="s">
        <v>585</v>
      </c>
      <c r="D431" s="331" t="s">
        <v>585</v>
      </c>
      <c r="E431" s="331" t="s">
        <v>585</v>
      </c>
      <c r="F431" s="331" t="s">
        <v>585</v>
      </c>
      <c r="G431" s="331">
        <f>iferror(sumifs('Hợp tác'!G:G,'Hợp tác'!A:A,B431,'Hợp tác'!H:H,$G$2,'Hợp tác'!I:I,$I$2),"")</f>
        <v>0</v>
      </c>
      <c r="H431" s="332">
        <f>SUMIFS(View!J:J,View!B:B,B431)</f>
        <v>0</v>
      </c>
      <c r="I431" s="332">
        <f>sumifs('Hoa Hồng'!L:L,'Hoa Hồng'!A:A,B431)</f>
        <v>0</v>
      </c>
      <c r="J431" s="332">
        <v>0.0</v>
      </c>
      <c r="K431" s="333" t="s">
        <v>1211</v>
      </c>
      <c r="L431" s="334"/>
      <c r="M431" s="334"/>
      <c r="N431" s="334"/>
      <c r="O431" s="334"/>
      <c r="P431" s="334"/>
      <c r="Q431" s="334"/>
      <c r="R431" s="334"/>
      <c r="S431" s="334"/>
      <c r="T431" s="334"/>
      <c r="U431" s="334"/>
      <c r="V431" s="334"/>
      <c r="W431" s="334"/>
      <c r="X431" s="334"/>
      <c r="Y431" s="334"/>
      <c r="Z431" s="334"/>
      <c r="AA431" s="334"/>
      <c r="AB431" s="334"/>
      <c r="AC431" s="334"/>
      <c r="AD431" s="334"/>
    </row>
    <row r="432" ht="16.5" customHeight="1">
      <c r="A432" s="334"/>
      <c r="B432" s="329"/>
      <c r="C432" s="329" t="s">
        <v>585</v>
      </c>
      <c r="D432" s="331" t="s">
        <v>585</v>
      </c>
      <c r="E432" s="331" t="s">
        <v>585</v>
      </c>
      <c r="F432" s="331" t="s">
        <v>585</v>
      </c>
      <c r="G432" s="331">
        <f>iferror(sumifs('Hợp tác'!G:G,'Hợp tác'!A:A,B432,'Hợp tác'!H:H,$G$2,'Hợp tác'!I:I,$I$2),"")</f>
        <v>0</v>
      </c>
      <c r="H432" s="332">
        <f>SUMIFS(View!J:J,View!B:B,B432)</f>
        <v>0</v>
      </c>
      <c r="I432" s="332">
        <f>sumifs('Hoa Hồng'!L:L,'Hoa Hồng'!A:A,B432)</f>
        <v>0</v>
      </c>
      <c r="J432" s="332">
        <v>0.0</v>
      </c>
      <c r="K432" s="333" t="s">
        <v>1211</v>
      </c>
      <c r="L432" s="334"/>
      <c r="M432" s="334"/>
      <c r="N432" s="334"/>
      <c r="O432" s="334"/>
      <c r="P432" s="334"/>
      <c r="Q432" s="334"/>
      <c r="R432" s="334"/>
      <c r="S432" s="334"/>
      <c r="T432" s="334"/>
      <c r="U432" s="334"/>
      <c r="V432" s="334"/>
      <c r="W432" s="334"/>
      <c r="X432" s="334"/>
      <c r="Y432" s="334"/>
      <c r="Z432" s="334"/>
      <c r="AA432" s="334"/>
      <c r="AB432" s="334"/>
      <c r="AC432" s="334"/>
      <c r="AD432" s="334"/>
    </row>
    <row r="433" ht="16.5" customHeight="1">
      <c r="A433" s="334"/>
      <c r="B433" s="329"/>
      <c r="C433" s="329" t="s">
        <v>585</v>
      </c>
      <c r="D433" s="331" t="s">
        <v>585</v>
      </c>
      <c r="E433" s="331" t="s">
        <v>585</v>
      </c>
      <c r="F433" s="331" t="s">
        <v>585</v>
      </c>
      <c r="G433" s="331">
        <f>iferror(sumifs('Hợp tác'!G:G,'Hợp tác'!A:A,B433,'Hợp tác'!H:H,$G$2,'Hợp tác'!I:I,$I$2),"")</f>
        <v>0</v>
      </c>
      <c r="H433" s="332">
        <f>SUMIFS(View!J:J,View!B:B,B433)</f>
        <v>0</v>
      </c>
      <c r="I433" s="332">
        <f>sumifs('Hoa Hồng'!L:L,'Hoa Hồng'!A:A,B433)</f>
        <v>0</v>
      </c>
      <c r="J433" s="332">
        <v>0.0</v>
      </c>
      <c r="K433" s="333" t="s">
        <v>1211</v>
      </c>
      <c r="L433" s="334"/>
      <c r="M433" s="334"/>
      <c r="N433" s="334"/>
      <c r="O433" s="334"/>
      <c r="P433" s="334"/>
      <c r="Q433" s="334"/>
      <c r="R433" s="334"/>
      <c r="S433" s="334"/>
      <c r="T433" s="334"/>
      <c r="U433" s="334"/>
      <c r="V433" s="334"/>
      <c r="W433" s="334"/>
      <c r="X433" s="334"/>
      <c r="Y433" s="334"/>
      <c r="Z433" s="334"/>
      <c r="AA433" s="334"/>
      <c r="AB433" s="334"/>
      <c r="AC433" s="334"/>
      <c r="AD433" s="334"/>
    </row>
    <row r="434" ht="16.5" customHeight="1">
      <c r="A434" s="334"/>
      <c r="B434" s="329"/>
      <c r="C434" s="329" t="s">
        <v>585</v>
      </c>
      <c r="D434" s="331" t="s">
        <v>585</v>
      </c>
      <c r="E434" s="331" t="s">
        <v>585</v>
      </c>
      <c r="F434" s="331" t="s">
        <v>585</v>
      </c>
      <c r="G434" s="331">
        <f>iferror(sumifs('Hợp tác'!G:G,'Hợp tác'!A:A,B434,'Hợp tác'!H:H,$G$2,'Hợp tác'!I:I,$I$2),"")</f>
        <v>0</v>
      </c>
      <c r="H434" s="332">
        <f>SUMIFS(View!J:J,View!B:B,B434)</f>
        <v>0</v>
      </c>
      <c r="I434" s="332">
        <f>sumifs('Hoa Hồng'!L:L,'Hoa Hồng'!A:A,B434)</f>
        <v>0</v>
      </c>
      <c r="J434" s="332">
        <v>0.0</v>
      </c>
      <c r="K434" s="333" t="s">
        <v>1211</v>
      </c>
      <c r="L434" s="334"/>
      <c r="M434" s="334"/>
      <c r="N434" s="334"/>
      <c r="O434" s="334"/>
      <c r="P434" s="334"/>
      <c r="Q434" s="334"/>
      <c r="R434" s="334"/>
      <c r="S434" s="334"/>
      <c r="T434" s="334"/>
      <c r="U434" s="334"/>
      <c r="V434" s="334"/>
      <c r="W434" s="334"/>
      <c r="X434" s="334"/>
      <c r="Y434" s="334"/>
      <c r="Z434" s="334"/>
      <c r="AA434" s="334"/>
      <c r="AB434" s="334"/>
      <c r="AC434" s="334"/>
      <c r="AD434" s="334"/>
    </row>
    <row r="435" ht="16.5" customHeight="1">
      <c r="A435" s="334"/>
      <c r="B435" s="329"/>
      <c r="C435" s="329" t="s">
        <v>585</v>
      </c>
      <c r="D435" s="331" t="s">
        <v>585</v>
      </c>
      <c r="E435" s="331" t="s">
        <v>585</v>
      </c>
      <c r="F435" s="331" t="s">
        <v>585</v>
      </c>
      <c r="G435" s="331">
        <f>iferror(sumifs('Hợp tác'!G:G,'Hợp tác'!A:A,B435,'Hợp tác'!H:H,$G$2,'Hợp tác'!I:I,$I$2),"")</f>
        <v>0</v>
      </c>
      <c r="H435" s="332">
        <f>SUMIFS(View!J:J,View!B:B,B435)</f>
        <v>0</v>
      </c>
      <c r="I435" s="332">
        <f>sumifs('Hoa Hồng'!L:L,'Hoa Hồng'!A:A,B435)</f>
        <v>0</v>
      </c>
      <c r="J435" s="332">
        <v>0.0</v>
      </c>
      <c r="K435" s="333" t="s">
        <v>1211</v>
      </c>
      <c r="L435" s="334"/>
      <c r="M435" s="334"/>
      <c r="N435" s="334"/>
      <c r="O435" s="334"/>
      <c r="P435" s="334"/>
      <c r="Q435" s="334"/>
      <c r="R435" s="334"/>
      <c r="S435" s="334"/>
      <c r="T435" s="334"/>
      <c r="U435" s="334"/>
      <c r="V435" s="334"/>
      <c r="W435" s="334"/>
      <c r="X435" s="334"/>
      <c r="Y435" s="334"/>
      <c r="Z435" s="334"/>
      <c r="AA435" s="334"/>
      <c r="AB435" s="334"/>
      <c r="AC435" s="334"/>
      <c r="AD435" s="334"/>
    </row>
    <row r="436" ht="16.5" customHeight="1">
      <c r="A436" s="334"/>
      <c r="B436" s="329"/>
      <c r="C436" s="329" t="s">
        <v>585</v>
      </c>
      <c r="D436" s="331" t="s">
        <v>585</v>
      </c>
      <c r="E436" s="331" t="s">
        <v>585</v>
      </c>
      <c r="F436" s="331" t="s">
        <v>585</v>
      </c>
      <c r="G436" s="331">
        <f>iferror(sumifs('Hợp tác'!G:G,'Hợp tác'!A:A,B436,'Hợp tác'!H:H,$G$2,'Hợp tác'!I:I,$I$2),"")</f>
        <v>0</v>
      </c>
      <c r="H436" s="332">
        <f>SUMIFS(View!J:J,View!B:B,B436)</f>
        <v>0</v>
      </c>
      <c r="I436" s="332">
        <f>sumifs('Hoa Hồng'!L:L,'Hoa Hồng'!A:A,B436)</f>
        <v>0</v>
      </c>
      <c r="J436" s="332">
        <v>0.0</v>
      </c>
      <c r="K436" s="333" t="s">
        <v>1211</v>
      </c>
      <c r="L436" s="334"/>
      <c r="M436" s="334"/>
      <c r="N436" s="334"/>
      <c r="O436" s="334"/>
      <c r="P436" s="334"/>
      <c r="Q436" s="334"/>
      <c r="R436" s="334"/>
      <c r="S436" s="334"/>
      <c r="T436" s="334"/>
      <c r="U436" s="334"/>
      <c r="V436" s="334"/>
      <c r="W436" s="334"/>
      <c r="X436" s="334"/>
      <c r="Y436" s="334"/>
      <c r="Z436" s="334"/>
      <c r="AA436" s="334"/>
      <c r="AB436" s="334"/>
      <c r="AC436" s="334"/>
      <c r="AD436" s="334"/>
    </row>
    <row r="437" ht="16.5" customHeight="1">
      <c r="A437" s="334"/>
      <c r="B437" s="329"/>
      <c r="C437" s="329" t="s">
        <v>585</v>
      </c>
      <c r="D437" s="331" t="s">
        <v>585</v>
      </c>
      <c r="E437" s="331" t="s">
        <v>585</v>
      </c>
      <c r="F437" s="331" t="s">
        <v>585</v>
      </c>
      <c r="G437" s="331">
        <f>iferror(sumifs('Hợp tác'!G:G,'Hợp tác'!A:A,B437,'Hợp tác'!H:H,$G$2,'Hợp tác'!I:I,$I$2),"")</f>
        <v>0</v>
      </c>
      <c r="H437" s="332">
        <f>SUMIFS(View!J:J,View!B:B,B437)</f>
        <v>0</v>
      </c>
      <c r="I437" s="332">
        <f>sumifs('Hoa Hồng'!L:L,'Hoa Hồng'!A:A,B437)</f>
        <v>0</v>
      </c>
      <c r="J437" s="332">
        <v>0.0</v>
      </c>
      <c r="K437" s="333" t="s">
        <v>1211</v>
      </c>
      <c r="L437" s="334"/>
      <c r="M437" s="334"/>
      <c r="N437" s="334"/>
      <c r="O437" s="334"/>
      <c r="P437" s="334"/>
      <c r="Q437" s="334"/>
      <c r="R437" s="334"/>
      <c r="S437" s="334"/>
      <c r="T437" s="334"/>
      <c r="U437" s="334"/>
      <c r="V437" s="334"/>
      <c r="W437" s="334"/>
      <c r="X437" s="334"/>
      <c r="Y437" s="334"/>
      <c r="Z437" s="334"/>
      <c r="AA437" s="334"/>
      <c r="AB437" s="334"/>
      <c r="AC437" s="334"/>
      <c r="AD437" s="334"/>
    </row>
    <row r="438" ht="16.5" customHeight="1">
      <c r="A438" s="334"/>
      <c r="B438" s="329"/>
      <c r="C438" s="329" t="s">
        <v>585</v>
      </c>
      <c r="D438" s="331" t="s">
        <v>585</v>
      </c>
      <c r="E438" s="331" t="s">
        <v>585</v>
      </c>
      <c r="F438" s="331" t="s">
        <v>585</v>
      </c>
      <c r="G438" s="331">
        <f>iferror(sumifs('Hợp tác'!G:G,'Hợp tác'!A:A,B438,'Hợp tác'!H:H,$G$2,'Hợp tác'!I:I,$I$2),"")</f>
        <v>0</v>
      </c>
      <c r="H438" s="332">
        <f>SUMIFS(View!J:J,View!B:B,B438)</f>
        <v>0</v>
      </c>
      <c r="I438" s="332">
        <f>sumifs('Hoa Hồng'!L:L,'Hoa Hồng'!A:A,B438)</f>
        <v>0</v>
      </c>
      <c r="J438" s="332">
        <v>0.0</v>
      </c>
      <c r="K438" s="333" t="s">
        <v>1211</v>
      </c>
      <c r="L438" s="334"/>
      <c r="M438" s="334"/>
      <c r="N438" s="334"/>
      <c r="O438" s="334"/>
      <c r="P438" s="334"/>
      <c r="Q438" s="334"/>
      <c r="R438" s="334"/>
      <c r="S438" s="334"/>
      <c r="T438" s="334"/>
      <c r="U438" s="334"/>
      <c r="V438" s="334"/>
      <c r="W438" s="334"/>
      <c r="X438" s="334"/>
      <c r="Y438" s="334"/>
      <c r="Z438" s="334"/>
      <c r="AA438" s="334"/>
      <c r="AB438" s="334"/>
      <c r="AC438" s="334"/>
      <c r="AD438" s="334"/>
    </row>
    <row r="439" ht="16.5" customHeight="1">
      <c r="A439" s="334"/>
      <c r="B439" s="329"/>
      <c r="C439" s="329" t="s">
        <v>585</v>
      </c>
      <c r="D439" s="331" t="s">
        <v>585</v>
      </c>
      <c r="E439" s="331" t="s">
        <v>585</v>
      </c>
      <c r="F439" s="331" t="s">
        <v>585</v>
      </c>
      <c r="G439" s="331">
        <f>iferror(sumifs('Hợp tác'!G:G,'Hợp tác'!A:A,B439,'Hợp tác'!H:H,$G$2,'Hợp tác'!I:I,$I$2),"")</f>
        <v>0</v>
      </c>
      <c r="H439" s="332">
        <f>SUMIFS(View!J:J,View!B:B,B439)</f>
        <v>0</v>
      </c>
      <c r="I439" s="332">
        <f>sumifs('Hoa Hồng'!L:L,'Hoa Hồng'!A:A,B439)</f>
        <v>0</v>
      </c>
      <c r="J439" s="332">
        <v>0.0</v>
      </c>
      <c r="K439" s="333" t="s">
        <v>1211</v>
      </c>
      <c r="L439" s="334"/>
      <c r="M439" s="334"/>
      <c r="N439" s="334"/>
      <c r="O439" s="334"/>
      <c r="P439" s="334"/>
      <c r="Q439" s="334"/>
      <c r="R439" s="334"/>
      <c r="S439" s="334"/>
      <c r="T439" s="334"/>
      <c r="U439" s="334"/>
      <c r="V439" s="334"/>
      <c r="W439" s="334"/>
      <c r="X439" s="334"/>
      <c r="Y439" s="334"/>
      <c r="Z439" s="334"/>
      <c r="AA439" s="334"/>
      <c r="AB439" s="334"/>
      <c r="AC439" s="334"/>
      <c r="AD439" s="334"/>
    </row>
    <row r="440" ht="16.5" customHeight="1">
      <c r="A440" s="334"/>
      <c r="B440" s="329"/>
      <c r="C440" s="329" t="s">
        <v>585</v>
      </c>
      <c r="D440" s="331" t="s">
        <v>585</v>
      </c>
      <c r="E440" s="331" t="s">
        <v>585</v>
      </c>
      <c r="F440" s="331" t="s">
        <v>585</v>
      </c>
      <c r="G440" s="331">
        <f>iferror(sumifs('Hợp tác'!G:G,'Hợp tác'!A:A,B440,'Hợp tác'!H:H,$G$2,'Hợp tác'!I:I,$I$2),"")</f>
        <v>0</v>
      </c>
      <c r="H440" s="332">
        <f>SUMIFS(View!J:J,View!B:B,B440)</f>
        <v>0</v>
      </c>
      <c r="I440" s="332">
        <f>sumifs('Hoa Hồng'!L:L,'Hoa Hồng'!A:A,B440)</f>
        <v>0</v>
      </c>
      <c r="J440" s="332">
        <v>0.0</v>
      </c>
      <c r="K440" s="333" t="s">
        <v>1211</v>
      </c>
      <c r="L440" s="334"/>
      <c r="M440" s="334"/>
      <c r="N440" s="334"/>
      <c r="O440" s="334"/>
      <c r="P440" s="334"/>
      <c r="Q440" s="334"/>
      <c r="R440" s="334"/>
      <c r="S440" s="334"/>
      <c r="T440" s="334"/>
      <c r="U440" s="334"/>
      <c r="V440" s="334"/>
      <c r="W440" s="334"/>
      <c r="X440" s="334"/>
      <c r="Y440" s="334"/>
      <c r="Z440" s="334"/>
      <c r="AA440" s="334"/>
      <c r="AB440" s="334"/>
      <c r="AC440" s="334"/>
      <c r="AD440" s="334"/>
    </row>
    <row r="441" ht="16.5" customHeight="1">
      <c r="A441" s="334"/>
      <c r="B441" s="329"/>
      <c r="C441" s="329" t="s">
        <v>585</v>
      </c>
      <c r="D441" s="331" t="s">
        <v>585</v>
      </c>
      <c r="E441" s="331" t="s">
        <v>585</v>
      </c>
      <c r="F441" s="331" t="s">
        <v>585</v>
      </c>
      <c r="G441" s="331">
        <f>iferror(sumifs('Hợp tác'!G:G,'Hợp tác'!A:A,B441,'Hợp tác'!H:H,$G$2,'Hợp tác'!I:I,$I$2),"")</f>
        <v>0</v>
      </c>
      <c r="H441" s="332">
        <f>SUMIFS(View!J:J,View!B:B,B441)</f>
        <v>0</v>
      </c>
      <c r="I441" s="332">
        <f>sumifs('Hoa Hồng'!L:L,'Hoa Hồng'!A:A,B441)</f>
        <v>0</v>
      </c>
      <c r="J441" s="332">
        <v>0.0</v>
      </c>
      <c r="K441" s="333" t="s">
        <v>1211</v>
      </c>
      <c r="L441" s="334"/>
      <c r="M441" s="334"/>
      <c r="N441" s="334"/>
      <c r="O441" s="334"/>
      <c r="P441" s="334"/>
      <c r="Q441" s="334"/>
      <c r="R441" s="334"/>
      <c r="S441" s="334"/>
      <c r="T441" s="334"/>
      <c r="U441" s="334"/>
      <c r="V441" s="334"/>
      <c r="W441" s="334"/>
      <c r="X441" s="334"/>
      <c r="Y441" s="334"/>
      <c r="Z441" s="334"/>
      <c r="AA441" s="334"/>
      <c r="AB441" s="334"/>
      <c r="AC441" s="334"/>
      <c r="AD441" s="334"/>
    </row>
    <row r="442" ht="16.5" customHeight="1">
      <c r="A442" s="334"/>
      <c r="B442" s="329"/>
      <c r="C442" s="329" t="s">
        <v>585</v>
      </c>
      <c r="D442" s="331" t="s">
        <v>585</v>
      </c>
      <c r="E442" s="331" t="s">
        <v>585</v>
      </c>
      <c r="F442" s="331" t="s">
        <v>585</v>
      </c>
      <c r="G442" s="331">
        <f>iferror(sumifs('Hợp tác'!G:G,'Hợp tác'!A:A,B442,'Hợp tác'!H:H,$G$2,'Hợp tác'!I:I,$I$2),"")</f>
        <v>0</v>
      </c>
      <c r="H442" s="332">
        <f>SUMIFS(View!J:J,View!B:B,B442)</f>
        <v>0</v>
      </c>
      <c r="I442" s="332">
        <f>sumifs('Hoa Hồng'!L:L,'Hoa Hồng'!A:A,B442)</f>
        <v>0</v>
      </c>
      <c r="J442" s="332">
        <v>0.0</v>
      </c>
      <c r="K442" s="333" t="s">
        <v>1211</v>
      </c>
      <c r="L442" s="334"/>
      <c r="M442" s="334"/>
      <c r="N442" s="334"/>
      <c r="O442" s="334"/>
      <c r="P442" s="334"/>
      <c r="Q442" s="334"/>
      <c r="R442" s="334"/>
      <c r="S442" s="334"/>
      <c r="T442" s="334"/>
      <c r="U442" s="334"/>
      <c r="V442" s="334"/>
      <c r="W442" s="334"/>
      <c r="X442" s="334"/>
      <c r="Y442" s="334"/>
      <c r="Z442" s="334"/>
      <c r="AA442" s="334"/>
      <c r="AB442" s="334"/>
      <c r="AC442" s="334"/>
      <c r="AD442" s="334"/>
    </row>
    <row r="443" ht="16.5" customHeight="1">
      <c r="A443" s="334"/>
      <c r="B443" s="329"/>
      <c r="C443" s="329" t="s">
        <v>585</v>
      </c>
      <c r="D443" s="331" t="s">
        <v>585</v>
      </c>
      <c r="E443" s="331" t="s">
        <v>585</v>
      </c>
      <c r="F443" s="331" t="s">
        <v>585</v>
      </c>
      <c r="G443" s="331">
        <f>iferror(sumifs('Hợp tác'!G:G,'Hợp tác'!A:A,B443,'Hợp tác'!H:H,$G$2,'Hợp tác'!I:I,$I$2),"")</f>
        <v>0</v>
      </c>
      <c r="H443" s="332">
        <f>SUMIFS(View!J:J,View!B:B,B443)</f>
        <v>0</v>
      </c>
      <c r="I443" s="332">
        <f>sumifs('Hoa Hồng'!L:L,'Hoa Hồng'!A:A,B443)</f>
        <v>0</v>
      </c>
      <c r="J443" s="332">
        <v>0.0</v>
      </c>
      <c r="K443" s="333" t="s">
        <v>1211</v>
      </c>
      <c r="L443" s="334"/>
      <c r="M443" s="334"/>
      <c r="N443" s="334"/>
      <c r="O443" s="334"/>
      <c r="P443" s="334"/>
      <c r="Q443" s="334"/>
      <c r="R443" s="334"/>
      <c r="S443" s="334"/>
      <c r="T443" s="334"/>
      <c r="U443" s="334"/>
      <c r="V443" s="334"/>
      <c r="W443" s="334"/>
      <c r="X443" s="334"/>
      <c r="Y443" s="334"/>
      <c r="Z443" s="334"/>
      <c r="AA443" s="334"/>
      <c r="AB443" s="334"/>
      <c r="AC443" s="334"/>
      <c r="AD443" s="334"/>
    </row>
    <row r="444" ht="16.5" customHeight="1">
      <c r="A444" s="334"/>
      <c r="B444" s="329"/>
      <c r="C444" s="329" t="s">
        <v>585</v>
      </c>
      <c r="D444" s="331" t="s">
        <v>585</v>
      </c>
      <c r="E444" s="331" t="s">
        <v>585</v>
      </c>
      <c r="F444" s="331" t="s">
        <v>585</v>
      </c>
      <c r="G444" s="331">
        <f>iferror(sumifs('Hợp tác'!G:G,'Hợp tác'!A:A,B444,'Hợp tác'!H:H,$G$2,'Hợp tác'!I:I,$I$2),"")</f>
        <v>0</v>
      </c>
      <c r="H444" s="332">
        <f>SUMIFS(View!J:J,View!B:B,B444)</f>
        <v>0</v>
      </c>
      <c r="I444" s="332">
        <f>sumifs('Hoa Hồng'!L:L,'Hoa Hồng'!A:A,B444)</f>
        <v>0</v>
      </c>
      <c r="J444" s="332">
        <v>0.0</v>
      </c>
      <c r="K444" s="333" t="s">
        <v>1211</v>
      </c>
      <c r="L444" s="334"/>
      <c r="M444" s="334"/>
      <c r="N444" s="334"/>
      <c r="O444" s="334"/>
      <c r="P444" s="334"/>
      <c r="Q444" s="334"/>
      <c r="R444" s="334"/>
      <c r="S444" s="334"/>
      <c r="T444" s="334"/>
      <c r="U444" s="334"/>
      <c r="V444" s="334"/>
      <c r="W444" s="334"/>
      <c r="X444" s="334"/>
      <c r="Y444" s="334"/>
      <c r="Z444" s="334"/>
      <c r="AA444" s="334"/>
      <c r="AB444" s="334"/>
      <c r="AC444" s="334"/>
      <c r="AD444" s="334"/>
    </row>
    <row r="445" ht="16.5" customHeight="1">
      <c r="A445" s="334"/>
      <c r="B445" s="329"/>
      <c r="C445" s="329" t="s">
        <v>585</v>
      </c>
      <c r="D445" s="331" t="s">
        <v>585</v>
      </c>
      <c r="E445" s="331" t="s">
        <v>585</v>
      </c>
      <c r="F445" s="331" t="s">
        <v>585</v>
      </c>
      <c r="G445" s="331">
        <f>iferror(sumifs('Hợp tác'!G:G,'Hợp tác'!A:A,B445,'Hợp tác'!H:H,$G$2,'Hợp tác'!I:I,$I$2),"")</f>
        <v>0</v>
      </c>
      <c r="H445" s="332">
        <f>SUMIFS(View!J:J,View!B:B,B445)</f>
        <v>0</v>
      </c>
      <c r="I445" s="332">
        <f>sumifs('Hoa Hồng'!L:L,'Hoa Hồng'!A:A,B445)</f>
        <v>0</v>
      </c>
      <c r="J445" s="332">
        <v>0.0</v>
      </c>
      <c r="K445" s="333" t="s">
        <v>1211</v>
      </c>
      <c r="L445" s="334"/>
      <c r="M445" s="334"/>
      <c r="N445" s="334"/>
      <c r="O445" s="334"/>
      <c r="P445" s="334"/>
      <c r="Q445" s="334"/>
      <c r="R445" s="334"/>
      <c r="S445" s="334"/>
      <c r="T445" s="334"/>
      <c r="U445" s="334"/>
      <c r="V445" s="334"/>
      <c r="W445" s="334"/>
      <c r="X445" s="334"/>
      <c r="Y445" s="334"/>
      <c r="Z445" s="334"/>
      <c r="AA445" s="334"/>
      <c r="AB445" s="334"/>
      <c r="AC445" s="334"/>
      <c r="AD445" s="334"/>
    </row>
    <row r="446" ht="16.5" customHeight="1">
      <c r="A446" s="334"/>
      <c r="B446" s="329"/>
      <c r="C446" s="329" t="s">
        <v>585</v>
      </c>
      <c r="D446" s="331" t="s">
        <v>585</v>
      </c>
      <c r="E446" s="331" t="s">
        <v>585</v>
      </c>
      <c r="F446" s="331" t="s">
        <v>585</v>
      </c>
      <c r="G446" s="331">
        <f>iferror(sumifs('Hợp tác'!G:G,'Hợp tác'!A:A,B446,'Hợp tác'!H:H,$G$2,'Hợp tác'!I:I,$I$2),"")</f>
        <v>0</v>
      </c>
      <c r="H446" s="332">
        <f>SUMIFS(View!J:J,View!B:B,B446)</f>
        <v>0</v>
      </c>
      <c r="I446" s="332">
        <f>sumifs('Hoa Hồng'!L:L,'Hoa Hồng'!A:A,B446)</f>
        <v>0</v>
      </c>
      <c r="J446" s="332">
        <v>0.0</v>
      </c>
      <c r="K446" s="333" t="s">
        <v>1211</v>
      </c>
      <c r="L446" s="334"/>
      <c r="M446" s="334"/>
      <c r="N446" s="334"/>
      <c r="O446" s="334"/>
      <c r="P446" s="334"/>
      <c r="Q446" s="334"/>
      <c r="R446" s="334"/>
      <c r="S446" s="334"/>
      <c r="T446" s="334"/>
      <c r="U446" s="334"/>
      <c r="V446" s="334"/>
      <c r="W446" s="334"/>
      <c r="X446" s="334"/>
      <c r="Y446" s="334"/>
      <c r="Z446" s="334"/>
      <c r="AA446" s="334"/>
      <c r="AB446" s="334"/>
      <c r="AC446" s="334"/>
      <c r="AD446" s="334"/>
    </row>
    <row r="447" ht="16.5" customHeight="1">
      <c r="A447" s="334"/>
      <c r="B447" s="329"/>
      <c r="C447" s="329" t="s">
        <v>585</v>
      </c>
      <c r="D447" s="331" t="s">
        <v>585</v>
      </c>
      <c r="E447" s="331" t="s">
        <v>585</v>
      </c>
      <c r="F447" s="331" t="s">
        <v>585</v>
      </c>
      <c r="G447" s="331">
        <f>iferror(sumifs('Hợp tác'!G:G,'Hợp tác'!A:A,B447,'Hợp tác'!H:H,$G$2,'Hợp tác'!I:I,$I$2),"")</f>
        <v>0</v>
      </c>
      <c r="H447" s="332">
        <f>SUMIFS(View!J:J,View!B:B,B447)</f>
        <v>0</v>
      </c>
      <c r="I447" s="332">
        <f>sumifs('Hoa Hồng'!L:L,'Hoa Hồng'!A:A,B447)</f>
        <v>0</v>
      </c>
      <c r="J447" s="332">
        <v>0.0</v>
      </c>
      <c r="K447" s="333" t="s">
        <v>1211</v>
      </c>
      <c r="L447" s="334"/>
      <c r="M447" s="334"/>
      <c r="N447" s="334"/>
      <c r="O447" s="334"/>
      <c r="P447" s="334"/>
      <c r="Q447" s="334"/>
      <c r="R447" s="334"/>
      <c r="S447" s="334"/>
      <c r="T447" s="334"/>
      <c r="U447" s="334"/>
      <c r="V447" s="334"/>
      <c r="W447" s="334"/>
      <c r="X447" s="334"/>
      <c r="Y447" s="334"/>
      <c r="Z447" s="334"/>
      <c r="AA447" s="334"/>
      <c r="AB447" s="334"/>
      <c r="AC447" s="334"/>
      <c r="AD447" s="334"/>
    </row>
    <row r="448" ht="16.5" customHeight="1">
      <c r="A448" s="334"/>
      <c r="B448" s="329"/>
      <c r="C448" s="329" t="s">
        <v>585</v>
      </c>
      <c r="D448" s="331" t="s">
        <v>585</v>
      </c>
      <c r="E448" s="331" t="s">
        <v>585</v>
      </c>
      <c r="F448" s="331" t="s">
        <v>585</v>
      </c>
      <c r="G448" s="331">
        <f>iferror(sumifs('Hợp tác'!G:G,'Hợp tác'!A:A,B448,'Hợp tác'!H:H,$G$2,'Hợp tác'!I:I,$I$2),"")</f>
        <v>0</v>
      </c>
      <c r="H448" s="332">
        <f>SUMIFS(View!J:J,View!B:B,B448)</f>
        <v>0</v>
      </c>
      <c r="I448" s="332">
        <f>sumifs('Hoa Hồng'!L:L,'Hoa Hồng'!A:A,B448)</f>
        <v>0</v>
      </c>
      <c r="J448" s="332">
        <v>0.0</v>
      </c>
      <c r="K448" s="333" t="s">
        <v>1211</v>
      </c>
      <c r="L448" s="334"/>
      <c r="M448" s="334"/>
      <c r="N448" s="334"/>
      <c r="O448" s="334"/>
      <c r="P448" s="334"/>
      <c r="Q448" s="334"/>
      <c r="R448" s="334"/>
      <c r="S448" s="334"/>
      <c r="T448" s="334"/>
      <c r="U448" s="334"/>
      <c r="V448" s="334"/>
      <c r="W448" s="334"/>
      <c r="X448" s="334"/>
      <c r="Y448" s="334"/>
      <c r="Z448" s="334"/>
      <c r="AA448" s="334"/>
      <c r="AB448" s="334"/>
      <c r="AC448" s="334"/>
      <c r="AD448" s="334"/>
    </row>
    <row r="449" ht="16.5" customHeight="1">
      <c r="A449" s="334"/>
      <c r="B449" s="329"/>
      <c r="C449" s="329" t="s">
        <v>585</v>
      </c>
      <c r="D449" s="331" t="s">
        <v>585</v>
      </c>
      <c r="E449" s="331" t="s">
        <v>585</v>
      </c>
      <c r="F449" s="331" t="s">
        <v>585</v>
      </c>
      <c r="G449" s="331">
        <f>iferror(sumifs('Hợp tác'!G:G,'Hợp tác'!A:A,B449,'Hợp tác'!H:H,$G$2,'Hợp tác'!I:I,$I$2),"")</f>
        <v>0</v>
      </c>
      <c r="H449" s="332">
        <f>SUMIFS(View!J:J,View!B:B,B449)</f>
        <v>0</v>
      </c>
      <c r="I449" s="332">
        <f>sumifs('Hoa Hồng'!L:L,'Hoa Hồng'!A:A,B449)</f>
        <v>0</v>
      </c>
      <c r="J449" s="332">
        <v>0.0</v>
      </c>
      <c r="K449" s="333" t="s">
        <v>1211</v>
      </c>
      <c r="L449" s="334"/>
      <c r="M449" s="334"/>
      <c r="N449" s="334"/>
      <c r="O449" s="334"/>
      <c r="P449" s="334"/>
      <c r="Q449" s="334"/>
      <c r="R449" s="334"/>
      <c r="S449" s="334"/>
      <c r="T449" s="334"/>
      <c r="U449" s="334"/>
      <c r="V449" s="334"/>
      <c r="W449" s="334"/>
      <c r="X449" s="334"/>
      <c r="Y449" s="334"/>
      <c r="Z449" s="334"/>
      <c r="AA449" s="334"/>
      <c r="AB449" s="334"/>
      <c r="AC449" s="334"/>
      <c r="AD449" s="334"/>
    </row>
    <row r="450" ht="16.5" customHeight="1">
      <c r="A450" s="334"/>
      <c r="B450" s="329"/>
      <c r="C450" s="329" t="s">
        <v>585</v>
      </c>
      <c r="D450" s="331" t="s">
        <v>585</v>
      </c>
      <c r="E450" s="331" t="s">
        <v>585</v>
      </c>
      <c r="F450" s="331" t="s">
        <v>585</v>
      </c>
      <c r="G450" s="331">
        <f>iferror(sumifs('Hợp tác'!G:G,'Hợp tác'!A:A,B450,'Hợp tác'!H:H,$G$2,'Hợp tác'!I:I,$I$2),"")</f>
        <v>0</v>
      </c>
      <c r="H450" s="332">
        <f>SUMIFS(View!J:J,View!B:B,B450)</f>
        <v>0</v>
      </c>
      <c r="I450" s="332">
        <f>sumifs('Hoa Hồng'!L:L,'Hoa Hồng'!A:A,B450)</f>
        <v>0</v>
      </c>
      <c r="J450" s="332">
        <v>0.0</v>
      </c>
      <c r="K450" s="333" t="s">
        <v>1211</v>
      </c>
      <c r="L450" s="334"/>
      <c r="M450" s="334"/>
      <c r="N450" s="334"/>
      <c r="O450" s="334"/>
      <c r="P450" s="334"/>
      <c r="Q450" s="334"/>
      <c r="R450" s="334"/>
      <c r="S450" s="334"/>
      <c r="T450" s="334"/>
      <c r="U450" s="334"/>
      <c r="V450" s="334"/>
      <c r="W450" s="334"/>
      <c r="X450" s="334"/>
      <c r="Y450" s="334"/>
      <c r="Z450" s="334"/>
      <c r="AA450" s="334"/>
      <c r="AB450" s="334"/>
      <c r="AC450" s="334"/>
      <c r="AD450" s="334"/>
    </row>
    <row r="451" ht="16.5" customHeight="1">
      <c r="A451" s="334"/>
      <c r="B451" s="329"/>
      <c r="C451" s="329" t="s">
        <v>585</v>
      </c>
      <c r="D451" s="331" t="s">
        <v>585</v>
      </c>
      <c r="E451" s="331" t="s">
        <v>585</v>
      </c>
      <c r="F451" s="331" t="s">
        <v>585</v>
      </c>
      <c r="G451" s="331">
        <f>iferror(sumifs('Hợp tác'!G:G,'Hợp tác'!A:A,B451,'Hợp tác'!H:H,$G$2,'Hợp tác'!I:I,$I$2),"")</f>
        <v>0</v>
      </c>
      <c r="H451" s="332">
        <f>SUMIFS(View!J:J,View!B:B,B451)</f>
        <v>0</v>
      </c>
      <c r="I451" s="332">
        <f>sumifs('Hoa Hồng'!L:L,'Hoa Hồng'!A:A,B451)</f>
        <v>0</v>
      </c>
      <c r="J451" s="332">
        <v>0.0</v>
      </c>
      <c r="K451" s="333" t="s">
        <v>1211</v>
      </c>
      <c r="L451" s="334"/>
      <c r="M451" s="334"/>
      <c r="N451" s="334"/>
      <c r="O451" s="334"/>
      <c r="P451" s="334"/>
      <c r="Q451" s="334"/>
      <c r="R451" s="334"/>
      <c r="S451" s="334"/>
      <c r="T451" s="334"/>
      <c r="U451" s="334"/>
      <c r="V451" s="334"/>
      <c r="W451" s="334"/>
      <c r="X451" s="334"/>
      <c r="Y451" s="334"/>
      <c r="Z451" s="334"/>
      <c r="AA451" s="334"/>
      <c r="AB451" s="334"/>
      <c r="AC451" s="334"/>
      <c r="AD451" s="334"/>
    </row>
    <row r="452" ht="16.5" customHeight="1">
      <c r="A452" s="334"/>
      <c r="B452" s="329"/>
      <c r="C452" s="329" t="s">
        <v>585</v>
      </c>
      <c r="D452" s="331" t="s">
        <v>585</v>
      </c>
      <c r="E452" s="331" t="s">
        <v>585</v>
      </c>
      <c r="F452" s="331" t="s">
        <v>585</v>
      </c>
      <c r="G452" s="331">
        <f>iferror(sumifs('Hợp tác'!G:G,'Hợp tác'!A:A,B452,'Hợp tác'!H:H,$G$2,'Hợp tác'!I:I,$I$2),"")</f>
        <v>0</v>
      </c>
      <c r="H452" s="332">
        <f>SUMIFS(View!J:J,View!B:B,B452)</f>
        <v>0</v>
      </c>
      <c r="I452" s="332">
        <f>sumifs('Hoa Hồng'!L:L,'Hoa Hồng'!A:A,B452)</f>
        <v>0</v>
      </c>
      <c r="J452" s="332">
        <v>0.0</v>
      </c>
      <c r="K452" s="333" t="s">
        <v>1211</v>
      </c>
      <c r="L452" s="334"/>
      <c r="M452" s="334"/>
      <c r="N452" s="334"/>
      <c r="O452" s="334"/>
      <c r="P452" s="334"/>
      <c r="Q452" s="334"/>
      <c r="R452" s="334"/>
      <c r="S452" s="334"/>
      <c r="T452" s="334"/>
      <c r="U452" s="334"/>
      <c r="V452" s="334"/>
      <c r="W452" s="334"/>
      <c r="X452" s="334"/>
      <c r="Y452" s="334"/>
      <c r="Z452" s="334"/>
      <c r="AA452" s="334"/>
      <c r="AB452" s="334"/>
      <c r="AC452" s="334"/>
      <c r="AD452" s="334"/>
    </row>
    <row r="453" ht="16.5" customHeight="1">
      <c r="A453" s="334"/>
      <c r="B453" s="329"/>
      <c r="C453" s="329" t="s">
        <v>585</v>
      </c>
      <c r="D453" s="331" t="s">
        <v>585</v>
      </c>
      <c r="E453" s="331" t="s">
        <v>585</v>
      </c>
      <c r="F453" s="331" t="s">
        <v>585</v>
      </c>
      <c r="G453" s="331">
        <f>iferror(sumifs('Hợp tác'!G:G,'Hợp tác'!A:A,B453,'Hợp tác'!H:H,$G$2,'Hợp tác'!I:I,$I$2),"")</f>
        <v>0</v>
      </c>
      <c r="H453" s="332">
        <f>SUMIFS(View!J:J,View!B:B,B453)</f>
        <v>0</v>
      </c>
      <c r="I453" s="332">
        <f>sumifs('Hoa Hồng'!L:L,'Hoa Hồng'!A:A,B453)</f>
        <v>0</v>
      </c>
      <c r="J453" s="332">
        <v>0.0</v>
      </c>
      <c r="K453" s="333" t="s">
        <v>1211</v>
      </c>
      <c r="L453" s="334"/>
      <c r="M453" s="334"/>
      <c r="N453" s="334"/>
      <c r="O453" s="334"/>
      <c r="P453" s="334"/>
      <c r="Q453" s="334"/>
      <c r="R453" s="334"/>
      <c r="S453" s="334"/>
      <c r="T453" s="334"/>
      <c r="U453" s="334"/>
      <c r="V453" s="334"/>
      <c r="W453" s="334"/>
      <c r="X453" s="334"/>
      <c r="Y453" s="334"/>
      <c r="Z453" s="334"/>
      <c r="AA453" s="334"/>
      <c r="AB453" s="334"/>
      <c r="AC453" s="334"/>
      <c r="AD453" s="334"/>
    </row>
    <row r="454" ht="16.5" customHeight="1">
      <c r="A454" s="334"/>
      <c r="B454" s="329"/>
      <c r="C454" s="329" t="s">
        <v>585</v>
      </c>
      <c r="D454" s="331" t="s">
        <v>585</v>
      </c>
      <c r="E454" s="331" t="s">
        <v>585</v>
      </c>
      <c r="F454" s="331" t="s">
        <v>585</v>
      </c>
      <c r="G454" s="331">
        <f>iferror(sumifs('Hợp tác'!G:G,'Hợp tác'!A:A,B454,'Hợp tác'!H:H,$G$2,'Hợp tác'!I:I,$I$2),"")</f>
        <v>0</v>
      </c>
      <c r="H454" s="332">
        <f>SUMIFS(View!J:J,View!B:B,B454)</f>
        <v>0</v>
      </c>
      <c r="I454" s="332">
        <f>sumifs('Hoa Hồng'!L:L,'Hoa Hồng'!A:A,B454)</f>
        <v>0</v>
      </c>
      <c r="J454" s="332">
        <v>0.0</v>
      </c>
      <c r="K454" s="333" t="s">
        <v>1211</v>
      </c>
      <c r="L454" s="334"/>
      <c r="M454" s="334"/>
      <c r="N454" s="334"/>
      <c r="O454" s="334"/>
      <c r="P454" s="334"/>
      <c r="Q454" s="334"/>
      <c r="R454" s="334"/>
      <c r="S454" s="334"/>
      <c r="T454" s="334"/>
      <c r="U454" s="334"/>
      <c r="V454" s="334"/>
      <c r="W454" s="334"/>
      <c r="X454" s="334"/>
      <c r="Y454" s="334"/>
      <c r="Z454" s="334"/>
      <c r="AA454" s="334"/>
      <c r="AB454" s="334"/>
      <c r="AC454" s="334"/>
      <c r="AD454" s="334"/>
    </row>
    <row r="455" ht="16.5" customHeight="1">
      <c r="A455" s="334"/>
      <c r="B455" s="329"/>
      <c r="C455" s="329" t="s">
        <v>585</v>
      </c>
      <c r="D455" s="331" t="s">
        <v>585</v>
      </c>
      <c r="E455" s="331" t="s">
        <v>585</v>
      </c>
      <c r="F455" s="331" t="s">
        <v>585</v>
      </c>
      <c r="G455" s="331">
        <f>iferror(sumifs('Hợp tác'!G:G,'Hợp tác'!A:A,B455,'Hợp tác'!H:H,$G$2,'Hợp tác'!I:I,$I$2),"")</f>
        <v>0</v>
      </c>
      <c r="H455" s="332">
        <f>SUMIFS(View!J:J,View!B:B,B455)</f>
        <v>0</v>
      </c>
      <c r="I455" s="332">
        <f>sumifs('Hoa Hồng'!L:L,'Hoa Hồng'!A:A,B455)</f>
        <v>0</v>
      </c>
      <c r="J455" s="332">
        <v>0.0</v>
      </c>
      <c r="K455" s="333" t="s">
        <v>1211</v>
      </c>
      <c r="L455" s="334"/>
      <c r="M455" s="334"/>
      <c r="N455" s="334"/>
      <c r="O455" s="334"/>
      <c r="P455" s="334"/>
      <c r="Q455" s="334"/>
      <c r="R455" s="334"/>
      <c r="S455" s="334"/>
      <c r="T455" s="334"/>
      <c r="U455" s="334"/>
      <c r="V455" s="334"/>
      <c r="W455" s="334"/>
      <c r="X455" s="334"/>
      <c r="Y455" s="334"/>
      <c r="Z455" s="334"/>
      <c r="AA455" s="334"/>
      <c r="AB455" s="334"/>
      <c r="AC455" s="334"/>
      <c r="AD455" s="334"/>
    </row>
    <row r="456" ht="16.5" customHeight="1">
      <c r="A456" s="334"/>
      <c r="B456" s="329"/>
      <c r="C456" s="329" t="s">
        <v>585</v>
      </c>
      <c r="D456" s="331" t="s">
        <v>585</v>
      </c>
      <c r="E456" s="331" t="s">
        <v>585</v>
      </c>
      <c r="F456" s="331" t="s">
        <v>585</v>
      </c>
      <c r="G456" s="331">
        <f>iferror(sumifs('Hợp tác'!G:G,'Hợp tác'!A:A,B456,'Hợp tác'!H:H,$G$2,'Hợp tác'!I:I,$I$2),"")</f>
        <v>0</v>
      </c>
      <c r="H456" s="332">
        <f>SUMIFS(View!J:J,View!B:B,B456)</f>
        <v>0</v>
      </c>
      <c r="I456" s="332">
        <f>sumifs('Hoa Hồng'!L:L,'Hoa Hồng'!A:A,B456)</f>
        <v>0</v>
      </c>
      <c r="J456" s="332">
        <v>0.0</v>
      </c>
      <c r="K456" s="333" t="s">
        <v>1211</v>
      </c>
      <c r="L456" s="334"/>
      <c r="M456" s="334"/>
      <c r="N456" s="334"/>
      <c r="O456" s="334"/>
      <c r="P456" s="334"/>
      <c r="Q456" s="334"/>
      <c r="R456" s="334"/>
      <c r="S456" s="334"/>
      <c r="T456" s="334"/>
      <c r="U456" s="334"/>
      <c r="V456" s="334"/>
      <c r="W456" s="334"/>
      <c r="X456" s="334"/>
      <c r="Y456" s="334"/>
      <c r="Z456" s="334"/>
      <c r="AA456" s="334"/>
      <c r="AB456" s="334"/>
      <c r="AC456" s="334"/>
      <c r="AD456" s="334"/>
    </row>
    <row r="457" ht="16.5" customHeight="1">
      <c r="A457" s="334"/>
      <c r="B457" s="329"/>
      <c r="C457" s="329" t="s">
        <v>585</v>
      </c>
      <c r="D457" s="331" t="s">
        <v>585</v>
      </c>
      <c r="E457" s="331" t="s">
        <v>585</v>
      </c>
      <c r="F457" s="331" t="s">
        <v>585</v>
      </c>
      <c r="G457" s="331">
        <f>iferror(sumifs('Hợp tác'!G:G,'Hợp tác'!A:A,B457,'Hợp tác'!H:H,$G$2,'Hợp tác'!I:I,$I$2),"")</f>
        <v>0</v>
      </c>
      <c r="H457" s="332">
        <f>SUMIFS(View!J:J,View!B:B,B457)</f>
        <v>0</v>
      </c>
      <c r="I457" s="332">
        <f>sumifs('Hoa Hồng'!L:L,'Hoa Hồng'!A:A,B457)</f>
        <v>0</v>
      </c>
      <c r="J457" s="332">
        <v>0.0</v>
      </c>
      <c r="K457" s="333" t="s">
        <v>1211</v>
      </c>
      <c r="L457" s="334"/>
      <c r="M457" s="334"/>
      <c r="N457" s="334"/>
      <c r="O457" s="334"/>
      <c r="P457" s="334"/>
      <c r="Q457" s="334"/>
      <c r="R457" s="334"/>
      <c r="S457" s="334"/>
      <c r="T457" s="334"/>
      <c r="U457" s="334"/>
      <c r="V457" s="334"/>
      <c r="W457" s="334"/>
      <c r="X457" s="334"/>
      <c r="Y457" s="334"/>
      <c r="Z457" s="334"/>
      <c r="AA457" s="334"/>
      <c r="AB457" s="334"/>
      <c r="AC457" s="334"/>
      <c r="AD457" s="334"/>
    </row>
    <row r="458" ht="16.5" customHeight="1">
      <c r="A458" s="334"/>
      <c r="B458" s="329"/>
      <c r="C458" s="329" t="s">
        <v>585</v>
      </c>
      <c r="D458" s="331" t="s">
        <v>585</v>
      </c>
      <c r="E458" s="331" t="s">
        <v>585</v>
      </c>
      <c r="F458" s="331" t="s">
        <v>585</v>
      </c>
      <c r="G458" s="331">
        <f>iferror(sumifs('Hợp tác'!G:G,'Hợp tác'!A:A,B458,'Hợp tác'!H:H,$G$2,'Hợp tác'!I:I,$I$2),"")</f>
        <v>0</v>
      </c>
      <c r="H458" s="332">
        <f>SUMIFS(View!J:J,View!B:B,B458)</f>
        <v>0</v>
      </c>
      <c r="I458" s="332">
        <f>sumifs('Hoa Hồng'!L:L,'Hoa Hồng'!A:A,B458)</f>
        <v>0</v>
      </c>
      <c r="J458" s="332">
        <v>0.0</v>
      </c>
      <c r="K458" s="333" t="s">
        <v>1211</v>
      </c>
      <c r="L458" s="334"/>
      <c r="M458" s="334"/>
      <c r="N458" s="334"/>
      <c r="O458" s="334"/>
      <c r="P458" s="334"/>
      <c r="Q458" s="334"/>
      <c r="R458" s="334"/>
      <c r="S458" s="334"/>
      <c r="T458" s="334"/>
      <c r="U458" s="334"/>
      <c r="V458" s="334"/>
      <c r="W458" s="334"/>
      <c r="X458" s="334"/>
      <c r="Y458" s="334"/>
      <c r="Z458" s="334"/>
      <c r="AA458" s="334"/>
      <c r="AB458" s="334"/>
      <c r="AC458" s="334"/>
      <c r="AD458" s="334"/>
    </row>
    <row r="459" ht="16.5" customHeight="1">
      <c r="A459" s="334"/>
      <c r="B459" s="329"/>
      <c r="C459" s="329" t="s">
        <v>585</v>
      </c>
      <c r="D459" s="331" t="s">
        <v>585</v>
      </c>
      <c r="E459" s="331" t="s">
        <v>585</v>
      </c>
      <c r="F459" s="331" t="s">
        <v>585</v>
      </c>
      <c r="G459" s="331">
        <f>iferror(sumifs('Hợp tác'!G:G,'Hợp tác'!A:A,B459,'Hợp tác'!H:H,$G$2,'Hợp tác'!I:I,$I$2),"")</f>
        <v>0</v>
      </c>
      <c r="H459" s="332">
        <f>SUMIFS(View!J:J,View!B:B,B459)</f>
        <v>0</v>
      </c>
      <c r="I459" s="332">
        <f>sumifs('Hoa Hồng'!L:L,'Hoa Hồng'!A:A,B459)</f>
        <v>0</v>
      </c>
      <c r="J459" s="332">
        <v>0.0</v>
      </c>
      <c r="K459" s="333" t="s">
        <v>1211</v>
      </c>
      <c r="L459" s="334"/>
      <c r="M459" s="334"/>
      <c r="N459" s="334"/>
      <c r="O459" s="334"/>
      <c r="P459" s="334"/>
      <c r="Q459" s="334"/>
      <c r="R459" s="334"/>
      <c r="S459" s="334"/>
      <c r="T459" s="334"/>
      <c r="U459" s="334"/>
      <c r="V459" s="334"/>
      <c r="W459" s="334"/>
      <c r="X459" s="334"/>
      <c r="Y459" s="334"/>
      <c r="Z459" s="334"/>
      <c r="AA459" s="334"/>
      <c r="AB459" s="334"/>
      <c r="AC459" s="334"/>
      <c r="AD459" s="334"/>
    </row>
    <row r="460" ht="16.5" customHeight="1">
      <c r="A460" s="334"/>
      <c r="B460" s="329"/>
      <c r="C460" s="329" t="s">
        <v>585</v>
      </c>
      <c r="D460" s="331" t="s">
        <v>585</v>
      </c>
      <c r="E460" s="331" t="s">
        <v>585</v>
      </c>
      <c r="F460" s="331" t="s">
        <v>585</v>
      </c>
      <c r="G460" s="331">
        <f>iferror(sumifs('Hợp tác'!G:G,'Hợp tác'!A:A,B460,'Hợp tác'!H:H,$G$2,'Hợp tác'!I:I,$I$2),"")</f>
        <v>0</v>
      </c>
      <c r="H460" s="332">
        <f>SUMIFS(View!J:J,View!B:B,B460)</f>
        <v>0</v>
      </c>
      <c r="I460" s="332">
        <f>sumifs('Hoa Hồng'!L:L,'Hoa Hồng'!A:A,B460)</f>
        <v>0</v>
      </c>
      <c r="J460" s="332">
        <v>0.0</v>
      </c>
      <c r="K460" s="333" t="s">
        <v>1211</v>
      </c>
      <c r="L460" s="334"/>
      <c r="M460" s="334"/>
      <c r="N460" s="334"/>
      <c r="O460" s="334"/>
      <c r="P460" s="334"/>
      <c r="Q460" s="334"/>
      <c r="R460" s="334"/>
      <c r="S460" s="334"/>
      <c r="T460" s="334"/>
      <c r="U460" s="334"/>
      <c r="V460" s="334"/>
      <c r="W460" s="334"/>
      <c r="X460" s="334"/>
      <c r="Y460" s="334"/>
      <c r="Z460" s="334"/>
      <c r="AA460" s="334"/>
      <c r="AB460" s="334"/>
      <c r="AC460" s="334"/>
      <c r="AD460" s="334"/>
    </row>
    <row r="461" ht="16.5" customHeight="1">
      <c r="A461" s="334"/>
      <c r="B461" s="329"/>
      <c r="C461" s="329" t="s">
        <v>585</v>
      </c>
      <c r="D461" s="331" t="s">
        <v>585</v>
      </c>
      <c r="E461" s="331" t="s">
        <v>585</v>
      </c>
      <c r="F461" s="331" t="s">
        <v>585</v>
      </c>
      <c r="G461" s="331">
        <f>iferror(sumifs('Hợp tác'!G:G,'Hợp tác'!A:A,B461,'Hợp tác'!H:H,$G$2,'Hợp tác'!I:I,$I$2),"")</f>
        <v>0</v>
      </c>
      <c r="H461" s="332">
        <f>SUMIFS(View!J:J,View!B:B,B461)</f>
        <v>0</v>
      </c>
      <c r="I461" s="332">
        <f>sumifs('Hoa Hồng'!L:L,'Hoa Hồng'!A:A,B461)</f>
        <v>0</v>
      </c>
      <c r="J461" s="332">
        <v>0.0</v>
      </c>
      <c r="K461" s="333" t="s">
        <v>1211</v>
      </c>
      <c r="L461" s="334"/>
      <c r="M461" s="334"/>
      <c r="N461" s="334"/>
      <c r="O461" s="334"/>
      <c r="P461" s="334"/>
      <c r="Q461" s="334"/>
      <c r="R461" s="334"/>
      <c r="S461" s="334"/>
      <c r="T461" s="334"/>
      <c r="U461" s="334"/>
      <c r="V461" s="334"/>
      <c r="W461" s="334"/>
      <c r="X461" s="334"/>
      <c r="Y461" s="334"/>
      <c r="Z461" s="334"/>
      <c r="AA461" s="334"/>
      <c r="AB461" s="334"/>
      <c r="AC461" s="334"/>
      <c r="AD461" s="334"/>
    </row>
    <row r="462" ht="16.5" customHeight="1">
      <c r="A462" s="334"/>
      <c r="B462" s="329"/>
      <c r="C462" s="329" t="s">
        <v>585</v>
      </c>
      <c r="D462" s="331" t="s">
        <v>585</v>
      </c>
      <c r="E462" s="331" t="s">
        <v>585</v>
      </c>
      <c r="F462" s="331" t="s">
        <v>585</v>
      </c>
      <c r="G462" s="331">
        <f>iferror(sumifs('Hợp tác'!G:G,'Hợp tác'!A:A,B462,'Hợp tác'!H:H,$G$2,'Hợp tác'!I:I,$I$2),"")</f>
        <v>0</v>
      </c>
      <c r="H462" s="332">
        <f>SUMIFS(View!J:J,View!B:B,B462)</f>
        <v>0</v>
      </c>
      <c r="I462" s="332">
        <f>sumifs('Hoa Hồng'!L:L,'Hoa Hồng'!A:A,B462)</f>
        <v>0</v>
      </c>
      <c r="J462" s="332">
        <v>0.0</v>
      </c>
      <c r="K462" s="333" t="s">
        <v>1211</v>
      </c>
      <c r="L462" s="334"/>
      <c r="M462" s="334"/>
      <c r="N462" s="334"/>
      <c r="O462" s="334"/>
      <c r="P462" s="334"/>
      <c r="Q462" s="334"/>
      <c r="R462" s="334"/>
      <c r="S462" s="334"/>
      <c r="T462" s="334"/>
      <c r="U462" s="334"/>
      <c r="V462" s="334"/>
      <c r="W462" s="334"/>
      <c r="X462" s="334"/>
      <c r="Y462" s="334"/>
      <c r="Z462" s="334"/>
      <c r="AA462" s="334"/>
      <c r="AB462" s="334"/>
      <c r="AC462" s="334"/>
      <c r="AD462" s="334"/>
    </row>
    <row r="463" ht="16.5" customHeight="1">
      <c r="A463" s="334"/>
      <c r="B463" s="329"/>
      <c r="C463" s="329" t="s">
        <v>585</v>
      </c>
      <c r="D463" s="331" t="s">
        <v>585</v>
      </c>
      <c r="E463" s="331" t="s">
        <v>585</v>
      </c>
      <c r="F463" s="331" t="s">
        <v>585</v>
      </c>
      <c r="G463" s="331">
        <f>iferror(sumifs('Hợp tác'!G:G,'Hợp tác'!A:A,B463,'Hợp tác'!H:H,$G$2,'Hợp tác'!I:I,$I$2),"")</f>
        <v>0</v>
      </c>
      <c r="H463" s="332">
        <f>SUMIFS(View!J:J,View!B:B,B463)</f>
        <v>0</v>
      </c>
      <c r="I463" s="332">
        <f>sumifs('Hoa Hồng'!L:L,'Hoa Hồng'!A:A,B463)</f>
        <v>0</v>
      </c>
      <c r="J463" s="332">
        <v>0.0</v>
      </c>
      <c r="K463" s="333" t="s">
        <v>1211</v>
      </c>
      <c r="L463" s="334"/>
      <c r="M463" s="334"/>
      <c r="N463" s="334"/>
      <c r="O463" s="334"/>
      <c r="P463" s="334"/>
      <c r="Q463" s="334"/>
      <c r="R463" s="334"/>
      <c r="S463" s="334"/>
      <c r="T463" s="334"/>
      <c r="U463" s="334"/>
      <c r="V463" s="334"/>
      <c r="W463" s="334"/>
      <c r="X463" s="334"/>
      <c r="Y463" s="334"/>
      <c r="Z463" s="334"/>
      <c r="AA463" s="334"/>
      <c r="AB463" s="334"/>
      <c r="AC463" s="334"/>
      <c r="AD463" s="334"/>
    </row>
    <row r="464" ht="16.5" customHeight="1">
      <c r="A464" s="334"/>
      <c r="B464" s="329"/>
      <c r="C464" s="329" t="s">
        <v>585</v>
      </c>
      <c r="D464" s="331" t="s">
        <v>585</v>
      </c>
      <c r="E464" s="331" t="s">
        <v>585</v>
      </c>
      <c r="F464" s="331" t="s">
        <v>585</v>
      </c>
      <c r="G464" s="331">
        <f>iferror(sumifs('Hợp tác'!G:G,'Hợp tác'!A:A,B464,'Hợp tác'!H:H,$G$2,'Hợp tác'!I:I,$I$2),"")</f>
        <v>0</v>
      </c>
      <c r="H464" s="332">
        <f>SUMIFS(View!J:J,View!B:B,B464)</f>
        <v>0</v>
      </c>
      <c r="I464" s="332">
        <f>sumifs('Hoa Hồng'!L:L,'Hoa Hồng'!A:A,B464)</f>
        <v>0</v>
      </c>
      <c r="J464" s="332">
        <v>0.0</v>
      </c>
      <c r="K464" s="333" t="s">
        <v>1211</v>
      </c>
      <c r="L464" s="334"/>
      <c r="M464" s="334"/>
      <c r="N464" s="334"/>
      <c r="O464" s="334"/>
      <c r="P464" s="334"/>
      <c r="Q464" s="334"/>
      <c r="R464" s="334"/>
      <c r="S464" s="334"/>
      <c r="T464" s="334"/>
      <c r="U464" s="334"/>
      <c r="V464" s="334"/>
      <c r="W464" s="334"/>
      <c r="X464" s="334"/>
      <c r="Y464" s="334"/>
      <c r="Z464" s="334"/>
      <c r="AA464" s="334"/>
      <c r="AB464" s="334"/>
      <c r="AC464" s="334"/>
      <c r="AD464" s="334"/>
    </row>
    <row r="465" ht="16.5" customHeight="1">
      <c r="A465" s="334"/>
      <c r="B465" s="329"/>
      <c r="C465" s="329" t="s">
        <v>585</v>
      </c>
      <c r="D465" s="331" t="s">
        <v>585</v>
      </c>
      <c r="E465" s="331" t="s">
        <v>585</v>
      </c>
      <c r="F465" s="331" t="s">
        <v>585</v>
      </c>
      <c r="G465" s="331">
        <f>iferror(sumifs('Hợp tác'!G:G,'Hợp tác'!A:A,B465,'Hợp tác'!H:H,$G$2,'Hợp tác'!I:I,$I$2),"")</f>
        <v>0</v>
      </c>
      <c r="H465" s="332">
        <f>SUMIFS(View!J:J,View!B:B,B465)</f>
        <v>0</v>
      </c>
      <c r="I465" s="332">
        <f>sumifs('Hoa Hồng'!L:L,'Hoa Hồng'!A:A,B465)</f>
        <v>0</v>
      </c>
      <c r="J465" s="332">
        <v>0.0</v>
      </c>
      <c r="K465" s="333" t="s">
        <v>1211</v>
      </c>
      <c r="L465" s="334"/>
      <c r="M465" s="334"/>
      <c r="N465" s="334"/>
      <c r="O465" s="334"/>
      <c r="P465" s="334"/>
      <c r="Q465" s="334"/>
      <c r="R465" s="334"/>
      <c r="S465" s="334"/>
      <c r="T465" s="334"/>
      <c r="U465" s="334"/>
      <c r="V465" s="334"/>
      <c r="W465" s="334"/>
      <c r="X465" s="334"/>
      <c r="Y465" s="334"/>
      <c r="Z465" s="334"/>
      <c r="AA465" s="334"/>
      <c r="AB465" s="334"/>
      <c r="AC465" s="334"/>
      <c r="AD465" s="334"/>
    </row>
    <row r="466" ht="16.5" customHeight="1">
      <c r="A466" s="334"/>
      <c r="B466" s="329"/>
      <c r="C466" s="329" t="s">
        <v>585</v>
      </c>
      <c r="D466" s="331" t="s">
        <v>585</v>
      </c>
      <c r="E466" s="331" t="s">
        <v>585</v>
      </c>
      <c r="F466" s="331" t="s">
        <v>585</v>
      </c>
      <c r="G466" s="331">
        <f>iferror(sumifs('Hợp tác'!G:G,'Hợp tác'!A:A,B466,'Hợp tác'!H:H,$G$2,'Hợp tác'!I:I,$I$2),"")</f>
        <v>0</v>
      </c>
      <c r="H466" s="332">
        <f>SUMIFS(View!J:J,View!B:B,B466)</f>
        <v>0</v>
      </c>
      <c r="I466" s="332">
        <f>sumifs('Hoa Hồng'!L:L,'Hoa Hồng'!A:A,B466)</f>
        <v>0</v>
      </c>
      <c r="J466" s="332">
        <v>0.0</v>
      </c>
      <c r="K466" s="333" t="s">
        <v>1211</v>
      </c>
      <c r="L466" s="334"/>
      <c r="M466" s="334"/>
      <c r="N466" s="334"/>
      <c r="O466" s="334"/>
      <c r="P466" s="334"/>
      <c r="Q466" s="334"/>
      <c r="R466" s="334"/>
      <c r="S466" s="334"/>
      <c r="T466" s="334"/>
      <c r="U466" s="334"/>
      <c r="V466" s="334"/>
      <c r="W466" s="334"/>
      <c r="X466" s="334"/>
      <c r="Y466" s="334"/>
      <c r="Z466" s="334"/>
      <c r="AA466" s="334"/>
      <c r="AB466" s="334"/>
      <c r="AC466" s="334"/>
      <c r="AD466" s="334"/>
    </row>
    <row r="467" ht="16.5" customHeight="1">
      <c r="A467" s="334"/>
      <c r="B467" s="329"/>
      <c r="C467" s="329" t="s">
        <v>585</v>
      </c>
      <c r="D467" s="331" t="s">
        <v>585</v>
      </c>
      <c r="E467" s="331" t="s">
        <v>585</v>
      </c>
      <c r="F467" s="331" t="s">
        <v>585</v>
      </c>
      <c r="G467" s="331">
        <f>iferror(sumifs('Hợp tác'!G:G,'Hợp tác'!A:A,B467,'Hợp tác'!H:H,$G$2,'Hợp tác'!I:I,$I$2),"")</f>
        <v>0</v>
      </c>
      <c r="H467" s="332">
        <f>SUMIFS(View!J:J,View!B:B,B467)</f>
        <v>0</v>
      </c>
      <c r="I467" s="332">
        <f>sumifs('Hoa Hồng'!L:L,'Hoa Hồng'!A:A,B467)</f>
        <v>0</v>
      </c>
      <c r="J467" s="332">
        <v>0.0</v>
      </c>
      <c r="K467" s="333" t="s">
        <v>1211</v>
      </c>
      <c r="L467" s="334"/>
      <c r="M467" s="334"/>
      <c r="N467" s="334"/>
      <c r="O467" s="334"/>
      <c r="P467" s="334"/>
      <c r="Q467" s="334"/>
      <c r="R467" s="334"/>
      <c r="S467" s="334"/>
      <c r="T467" s="334"/>
      <c r="U467" s="334"/>
      <c r="V467" s="334"/>
      <c r="W467" s="334"/>
      <c r="X467" s="334"/>
      <c r="Y467" s="334"/>
      <c r="Z467" s="334"/>
      <c r="AA467" s="334"/>
      <c r="AB467" s="334"/>
      <c r="AC467" s="334"/>
      <c r="AD467" s="334"/>
    </row>
    <row r="468" ht="16.5" customHeight="1">
      <c r="A468" s="334"/>
      <c r="B468" s="329"/>
      <c r="C468" s="329" t="s">
        <v>585</v>
      </c>
      <c r="D468" s="331" t="s">
        <v>585</v>
      </c>
      <c r="E468" s="331" t="s">
        <v>585</v>
      </c>
      <c r="F468" s="331" t="s">
        <v>585</v>
      </c>
      <c r="G468" s="331">
        <f>iferror(sumifs('Hợp tác'!G:G,'Hợp tác'!A:A,B468,'Hợp tác'!H:H,$G$2,'Hợp tác'!I:I,$I$2),"")</f>
        <v>0</v>
      </c>
      <c r="H468" s="332">
        <f>SUMIFS(View!J:J,View!B:B,B468)</f>
        <v>0</v>
      </c>
      <c r="I468" s="332">
        <f>sumifs('Hoa Hồng'!L:L,'Hoa Hồng'!A:A,B468)</f>
        <v>0</v>
      </c>
      <c r="J468" s="332">
        <v>0.0</v>
      </c>
      <c r="K468" s="333" t="s">
        <v>1211</v>
      </c>
      <c r="L468" s="334"/>
      <c r="M468" s="334"/>
      <c r="N468" s="334"/>
      <c r="O468" s="334"/>
      <c r="P468" s="334"/>
      <c r="Q468" s="334"/>
      <c r="R468" s="334"/>
      <c r="S468" s="334"/>
      <c r="T468" s="334"/>
      <c r="U468" s="334"/>
      <c r="V468" s="334"/>
      <c r="W468" s="334"/>
      <c r="X468" s="334"/>
      <c r="Y468" s="334"/>
      <c r="Z468" s="334"/>
      <c r="AA468" s="334"/>
      <c r="AB468" s="334"/>
      <c r="AC468" s="334"/>
      <c r="AD468" s="334"/>
    </row>
    <row r="469" ht="16.5" customHeight="1">
      <c r="A469" s="334"/>
      <c r="B469" s="329"/>
      <c r="C469" s="329" t="s">
        <v>585</v>
      </c>
      <c r="D469" s="331" t="s">
        <v>585</v>
      </c>
      <c r="E469" s="331" t="s">
        <v>585</v>
      </c>
      <c r="F469" s="331" t="s">
        <v>585</v>
      </c>
      <c r="G469" s="331">
        <f>iferror(sumifs('Hợp tác'!G:G,'Hợp tác'!A:A,B469,'Hợp tác'!H:H,$G$2,'Hợp tác'!I:I,$I$2),"")</f>
        <v>0</v>
      </c>
      <c r="H469" s="332">
        <f>SUMIFS(View!J:J,View!B:B,B469)</f>
        <v>0</v>
      </c>
      <c r="I469" s="332">
        <f>sumifs('Hoa Hồng'!L:L,'Hoa Hồng'!A:A,B469)</f>
        <v>0</v>
      </c>
      <c r="J469" s="332">
        <v>0.0</v>
      </c>
      <c r="K469" s="333" t="s">
        <v>1211</v>
      </c>
      <c r="L469" s="334"/>
      <c r="M469" s="334"/>
      <c r="N469" s="334"/>
      <c r="O469" s="334"/>
      <c r="P469" s="334"/>
      <c r="Q469" s="334"/>
      <c r="R469" s="334"/>
      <c r="S469" s="334"/>
      <c r="T469" s="334"/>
      <c r="U469" s="334"/>
      <c r="V469" s="334"/>
      <c r="W469" s="334"/>
      <c r="X469" s="334"/>
      <c r="Y469" s="334"/>
      <c r="Z469" s="334"/>
      <c r="AA469" s="334"/>
      <c r="AB469" s="334"/>
      <c r="AC469" s="334"/>
      <c r="AD469" s="334"/>
    </row>
    <row r="470" ht="16.5" customHeight="1">
      <c r="A470" s="334"/>
      <c r="B470" s="329"/>
      <c r="C470" s="329" t="s">
        <v>585</v>
      </c>
      <c r="D470" s="331" t="s">
        <v>585</v>
      </c>
      <c r="E470" s="331" t="s">
        <v>585</v>
      </c>
      <c r="F470" s="331" t="s">
        <v>585</v>
      </c>
      <c r="G470" s="331">
        <f>iferror(sumifs('Hợp tác'!G:G,'Hợp tác'!A:A,B470,'Hợp tác'!H:H,$G$2,'Hợp tác'!I:I,$I$2),"")</f>
        <v>0</v>
      </c>
      <c r="H470" s="332">
        <f>SUMIFS(View!J:J,View!B:B,B470)</f>
        <v>0</v>
      </c>
      <c r="I470" s="332">
        <f>sumifs('Hoa Hồng'!L:L,'Hoa Hồng'!A:A,B470)</f>
        <v>0</v>
      </c>
      <c r="J470" s="332">
        <v>0.0</v>
      </c>
      <c r="K470" s="333" t="s">
        <v>1211</v>
      </c>
      <c r="L470" s="334"/>
      <c r="M470" s="334"/>
      <c r="N470" s="334"/>
      <c r="O470" s="334"/>
      <c r="P470" s="334"/>
      <c r="Q470" s="334"/>
      <c r="R470" s="334"/>
      <c r="S470" s="334"/>
      <c r="T470" s="334"/>
      <c r="U470" s="334"/>
      <c r="V470" s="334"/>
      <c r="W470" s="334"/>
      <c r="X470" s="334"/>
      <c r="Y470" s="334"/>
      <c r="Z470" s="334"/>
      <c r="AA470" s="334"/>
      <c r="AB470" s="334"/>
      <c r="AC470" s="334"/>
      <c r="AD470" s="334"/>
    </row>
    <row r="471" ht="16.5" customHeight="1">
      <c r="A471" s="334"/>
      <c r="B471" s="329"/>
      <c r="C471" s="329" t="s">
        <v>585</v>
      </c>
      <c r="D471" s="331" t="s">
        <v>585</v>
      </c>
      <c r="E471" s="331" t="s">
        <v>585</v>
      </c>
      <c r="F471" s="331" t="s">
        <v>585</v>
      </c>
      <c r="G471" s="331">
        <f>iferror(sumifs('Hợp tác'!G:G,'Hợp tác'!A:A,B471,'Hợp tác'!H:H,$G$2,'Hợp tác'!I:I,$I$2),"")</f>
        <v>0</v>
      </c>
      <c r="H471" s="332">
        <f>SUMIFS(View!J:J,View!B:B,B471)</f>
        <v>0</v>
      </c>
      <c r="I471" s="332">
        <f>sumifs('Hoa Hồng'!L:L,'Hoa Hồng'!A:A,B471)</f>
        <v>0</v>
      </c>
      <c r="J471" s="332">
        <v>0.0</v>
      </c>
      <c r="K471" s="333" t="s">
        <v>1211</v>
      </c>
      <c r="L471" s="334"/>
      <c r="M471" s="334"/>
      <c r="N471" s="334"/>
      <c r="O471" s="334"/>
      <c r="P471" s="334"/>
      <c r="Q471" s="334"/>
      <c r="R471" s="334"/>
      <c r="S471" s="334"/>
      <c r="T471" s="334"/>
      <c r="U471" s="334"/>
      <c r="V471" s="334"/>
      <c r="W471" s="334"/>
      <c r="X471" s="334"/>
      <c r="Y471" s="334"/>
      <c r="Z471" s="334"/>
      <c r="AA471" s="334"/>
      <c r="AB471" s="334"/>
      <c r="AC471" s="334"/>
      <c r="AD471" s="334"/>
    </row>
    <row r="472" ht="16.5" customHeight="1">
      <c r="A472" s="334"/>
      <c r="B472" s="329"/>
      <c r="C472" s="329" t="s">
        <v>585</v>
      </c>
      <c r="D472" s="331" t="s">
        <v>585</v>
      </c>
      <c r="E472" s="331" t="s">
        <v>585</v>
      </c>
      <c r="F472" s="331" t="s">
        <v>585</v>
      </c>
      <c r="G472" s="331">
        <f>iferror(sumifs('Hợp tác'!G:G,'Hợp tác'!A:A,B472,'Hợp tác'!H:H,$G$2,'Hợp tác'!I:I,$I$2),"")</f>
        <v>0</v>
      </c>
      <c r="H472" s="332">
        <f>SUMIFS(View!J:J,View!B:B,B472)</f>
        <v>0</v>
      </c>
      <c r="I472" s="332">
        <f>sumifs('Hoa Hồng'!L:L,'Hoa Hồng'!A:A,B472)</f>
        <v>0</v>
      </c>
      <c r="J472" s="332">
        <v>0.0</v>
      </c>
      <c r="K472" s="333" t="s">
        <v>1211</v>
      </c>
      <c r="L472" s="334"/>
      <c r="M472" s="334"/>
      <c r="N472" s="334"/>
      <c r="O472" s="334"/>
      <c r="P472" s="334"/>
      <c r="Q472" s="334"/>
      <c r="R472" s="334"/>
      <c r="S472" s="334"/>
      <c r="T472" s="334"/>
      <c r="U472" s="334"/>
      <c r="V472" s="334"/>
      <c r="W472" s="334"/>
      <c r="X472" s="334"/>
      <c r="Y472" s="334"/>
      <c r="Z472" s="334"/>
      <c r="AA472" s="334"/>
      <c r="AB472" s="334"/>
      <c r="AC472" s="334"/>
      <c r="AD472" s="334"/>
    </row>
    <row r="473" ht="16.5" customHeight="1">
      <c r="A473" s="334"/>
      <c r="B473" s="329"/>
      <c r="C473" s="329" t="s">
        <v>585</v>
      </c>
      <c r="D473" s="331" t="s">
        <v>585</v>
      </c>
      <c r="E473" s="331" t="s">
        <v>585</v>
      </c>
      <c r="F473" s="331" t="s">
        <v>585</v>
      </c>
      <c r="G473" s="331">
        <f>iferror(sumifs('Hợp tác'!G:G,'Hợp tác'!A:A,B473,'Hợp tác'!H:H,$G$2,'Hợp tác'!I:I,$I$2),"")</f>
        <v>0</v>
      </c>
      <c r="H473" s="332">
        <f>SUMIFS(View!J:J,View!B:B,B473)</f>
        <v>0</v>
      </c>
      <c r="I473" s="332">
        <f>sumifs('Hoa Hồng'!L:L,'Hoa Hồng'!A:A,B473)</f>
        <v>0</v>
      </c>
      <c r="J473" s="332">
        <v>0.0</v>
      </c>
      <c r="K473" s="333" t="s">
        <v>1211</v>
      </c>
      <c r="L473" s="334"/>
      <c r="M473" s="334"/>
      <c r="N473" s="334"/>
      <c r="O473" s="334"/>
      <c r="P473" s="334"/>
      <c r="Q473" s="334"/>
      <c r="R473" s="334"/>
      <c r="S473" s="334"/>
      <c r="T473" s="334"/>
      <c r="U473" s="334"/>
      <c r="V473" s="334"/>
      <c r="W473" s="334"/>
      <c r="X473" s="334"/>
      <c r="Y473" s="334"/>
      <c r="Z473" s="334"/>
      <c r="AA473" s="334"/>
      <c r="AB473" s="334"/>
      <c r="AC473" s="334"/>
      <c r="AD473" s="334"/>
    </row>
    <row r="474" ht="16.5" customHeight="1">
      <c r="A474" s="334"/>
      <c r="B474" s="329"/>
      <c r="C474" s="329" t="s">
        <v>585</v>
      </c>
      <c r="D474" s="331" t="s">
        <v>585</v>
      </c>
      <c r="E474" s="331" t="s">
        <v>585</v>
      </c>
      <c r="F474" s="331" t="s">
        <v>585</v>
      </c>
      <c r="G474" s="331">
        <f>iferror(sumifs('Hợp tác'!G:G,'Hợp tác'!A:A,B474,'Hợp tác'!H:H,$G$2,'Hợp tác'!I:I,$I$2),"")</f>
        <v>0</v>
      </c>
      <c r="H474" s="332">
        <f>SUMIFS(View!J:J,View!B:B,B474)</f>
        <v>0</v>
      </c>
      <c r="I474" s="332">
        <f>sumifs('Hoa Hồng'!L:L,'Hoa Hồng'!A:A,B474)</f>
        <v>0</v>
      </c>
      <c r="J474" s="332">
        <v>0.0</v>
      </c>
      <c r="K474" s="333" t="s">
        <v>1211</v>
      </c>
      <c r="L474" s="334"/>
      <c r="M474" s="334"/>
      <c r="N474" s="334"/>
      <c r="O474" s="334"/>
      <c r="P474" s="334"/>
      <c r="Q474" s="334"/>
      <c r="R474" s="334"/>
      <c r="S474" s="334"/>
      <c r="T474" s="334"/>
      <c r="U474" s="334"/>
      <c r="V474" s="334"/>
      <c r="W474" s="334"/>
      <c r="X474" s="334"/>
      <c r="Y474" s="334"/>
      <c r="Z474" s="334"/>
      <c r="AA474" s="334"/>
      <c r="AB474" s="334"/>
      <c r="AC474" s="334"/>
      <c r="AD474" s="334"/>
    </row>
    <row r="475" ht="16.5" customHeight="1">
      <c r="A475" s="334"/>
      <c r="B475" s="329"/>
      <c r="C475" s="329" t="s">
        <v>585</v>
      </c>
      <c r="D475" s="331" t="s">
        <v>585</v>
      </c>
      <c r="E475" s="331" t="s">
        <v>585</v>
      </c>
      <c r="F475" s="331" t="s">
        <v>585</v>
      </c>
      <c r="G475" s="331">
        <f>iferror(sumifs('Hợp tác'!G:G,'Hợp tác'!A:A,B475,'Hợp tác'!H:H,$G$2,'Hợp tác'!I:I,$I$2),"")</f>
        <v>0</v>
      </c>
      <c r="H475" s="332">
        <f>SUMIFS(View!J:J,View!B:B,B475)</f>
        <v>0</v>
      </c>
      <c r="I475" s="332">
        <f>sumifs('Hoa Hồng'!L:L,'Hoa Hồng'!A:A,B475)</f>
        <v>0</v>
      </c>
      <c r="J475" s="332">
        <v>0.0</v>
      </c>
      <c r="K475" s="333" t="s">
        <v>1211</v>
      </c>
      <c r="L475" s="334"/>
      <c r="M475" s="334"/>
      <c r="N475" s="334"/>
      <c r="O475" s="334"/>
      <c r="P475" s="334"/>
      <c r="Q475" s="334"/>
      <c r="R475" s="334"/>
      <c r="S475" s="334"/>
      <c r="T475" s="334"/>
      <c r="U475" s="334"/>
      <c r="V475" s="334"/>
      <c r="W475" s="334"/>
      <c r="X475" s="334"/>
      <c r="Y475" s="334"/>
      <c r="Z475" s="334"/>
      <c r="AA475" s="334"/>
      <c r="AB475" s="334"/>
      <c r="AC475" s="334"/>
      <c r="AD475" s="334"/>
    </row>
    <row r="476" ht="16.5" customHeight="1">
      <c r="A476" s="334"/>
      <c r="B476" s="329"/>
      <c r="C476" s="329" t="s">
        <v>585</v>
      </c>
      <c r="D476" s="331" t="s">
        <v>585</v>
      </c>
      <c r="E476" s="331" t="s">
        <v>585</v>
      </c>
      <c r="F476" s="331" t="s">
        <v>585</v>
      </c>
      <c r="G476" s="331">
        <f>iferror(sumifs('Hợp tác'!G:G,'Hợp tác'!A:A,B476,'Hợp tác'!H:H,$G$2,'Hợp tác'!I:I,$I$2),"")</f>
        <v>0</v>
      </c>
      <c r="H476" s="332">
        <f>SUMIFS(View!J:J,View!B:B,B476)</f>
        <v>0</v>
      </c>
      <c r="I476" s="332">
        <f>sumifs('Hoa Hồng'!L:L,'Hoa Hồng'!A:A,B476)</f>
        <v>0</v>
      </c>
      <c r="J476" s="332">
        <v>0.0</v>
      </c>
      <c r="K476" s="333" t="s">
        <v>1211</v>
      </c>
      <c r="L476" s="334"/>
      <c r="M476" s="334"/>
      <c r="N476" s="334"/>
      <c r="O476" s="334"/>
      <c r="P476" s="334"/>
      <c r="Q476" s="334"/>
      <c r="R476" s="334"/>
      <c r="S476" s="334"/>
      <c r="T476" s="334"/>
      <c r="U476" s="334"/>
      <c r="V476" s="334"/>
      <c r="W476" s="334"/>
      <c r="X476" s="334"/>
      <c r="Y476" s="334"/>
      <c r="Z476" s="334"/>
      <c r="AA476" s="334"/>
      <c r="AB476" s="334"/>
      <c r="AC476" s="334"/>
      <c r="AD476" s="334"/>
    </row>
    <row r="477" ht="16.5" customHeight="1">
      <c r="A477" s="334"/>
      <c r="B477" s="329"/>
      <c r="C477" s="329" t="s">
        <v>585</v>
      </c>
      <c r="D477" s="331" t="s">
        <v>585</v>
      </c>
      <c r="E477" s="331" t="s">
        <v>585</v>
      </c>
      <c r="F477" s="331" t="s">
        <v>585</v>
      </c>
      <c r="G477" s="331">
        <f>iferror(sumifs('Hợp tác'!G:G,'Hợp tác'!A:A,B477,'Hợp tác'!H:H,$G$2,'Hợp tác'!I:I,$I$2),"")</f>
        <v>0</v>
      </c>
      <c r="H477" s="332">
        <f>SUMIFS(View!J:J,View!B:B,B477)</f>
        <v>0</v>
      </c>
      <c r="I477" s="332">
        <f>sumifs('Hoa Hồng'!L:L,'Hoa Hồng'!A:A,B477)</f>
        <v>0</v>
      </c>
      <c r="J477" s="332">
        <v>0.0</v>
      </c>
      <c r="K477" s="333" t="s">
        <v>1211</v>
      </c>
      <c r="L477" s="334"/>
      <c r="M477" s="334"/>
      <c r="N477" s="334"/>
      <c r="O477" s="334"/>
      <c r="P477" s="334"/>
      <c r="Q477" s="334"/>
      <c r="R477" s="334"/>
      <c r="S477" s="334"/>
      <c r="T477" s="334"/>
      <c r="U477" s="334"/>
      <c r="V477" s="334"/>
      <c r="W477" s="334"/>
      <c r="X477" s="334"/>
      <c r="Y477" s="334"/>
      <c r="Z477" s="334"/>
      <c r="AA477" s="334"/>
      <c r="AB477" s="334"/>
      <c r="AC477" s="334"/>
      <c r="AD477" s="334"/>
    </row>
    <row r="478" ht="16.5" customHeight="1">
      <c r="A478" s="334"/>
      <c r="B478" s="329"/>
      <c r="C478" s="329" t="s">
        <v>585</v>
      </c>
      <c r="D478" s="331" t="s">
        <v>585</v>
      </c>
      <c r="E478" s="331" t="s">
        <v>585</v>
      </c>
      <c r="F478" s="331" t="s">
        <v>585</v>
      </c>
      <c r="G478" s="331">
        <f>iferror(sumifs('Hợp tác'!G:G,'Hợp tác'!A:A,B478,'Hợp tác'!H:H,$G$2,'Hợp tác'!I:I,$I$2),"")</f>
        <v>0</v>
      </c>
      <c r="H478" s="332">
        <f>SUMIFS(View!J:J,View!B:B,B478)</f>
        <v>0</v>
      </c>
      <c r="I478" s="332">
        <f>sumifs('Hoa Hồng'!L:L,'Hoa Hồng'!A:A,B478)</f>
        <v>0</v>
      </c>
      <c r="J478" s="332">
        <v>0.0</v>
      </c>
      <c r="K478" s="333" t="s">
        <v>1211</v>
      </c>
      <c r="L478" s="334"/>
      <c r="M478" s="334"/>
      <c r="N478" s="334"/>
      <c r="O478" s="334"/>
      <c r="P478" s="334"/>
      <c r="Q478" s="334"/>
      <c r="R478" s="334"/>
      <c r="S478" s="334"/>
      <c r="T478" s="334"/>
      <c r="U478" s="334"/>
      <c r="V478" s="334"/>
      <c r="W478" s="334"/>
      <c r="X478" s="334"/>
      <c r="Y478" s="334"/>
      <c r="Z478" s="334"/>
      <c r="AA478" s="334"/>
      <c r="AB478" s="334"/>
      <c r="AC478" s="334"/>
      <c r="AD478" s="334"/>
    </row>
    <row r="479" ht="16.5" customHeight="1">
      <c r="A479" s="334"/>
      <c r="B479" s="329"/>
      <c r="C479" s="329" t="s">
        <v>585</v>
      </c>
      <c r="D479" s="331" t="s">
        <v>585</v>
      </c>
      <c r="E479" s="331" t="s">
        <v>585</v>
      </c>
      <c r="F479" s="331" t="s">
        <v>585</v>
      </c>
      <c r="G479" s="331">
        <f>iferror(sumifs('Hợp tác'!G:G,'Hợp tác'!A:A,B479,'Hợp tác'!H:H,$G$2,'Hợp tác'!I:I,$I$2),"")</f>
        <v>0</v>
      </c>
      <c r="H479" s="332">
        <f>SUMIFS(View!J:J,View!B:B,B479)</f>
        <v>0</v>
      </c>
      <c r="I479" s="332">
        <f>sumifs('Hoa Hồng'!L:L,'Hoa Hồng'!A:A,B479)</f>
        <v>0</v>
      </c>
      <c r="J479" s="332">
        <v>0.0</v>
      </c>
      <c r="K479" s="333" t="s">
        <v>1211</v>
      </c>
      <c r="L479" s="334"/>
      <c r="M479" s="334"/>
      <c r="N479" s="334"/>
      <c r="O479" s="334"/>
      <c r="P479" s="334"/>
      <c r="Q479" s="334"/>
      <c r="R479" s="334"/>
      <c r="S479" s="334"/>
      <c r="T479" s="334"/>
      <c r="U479" s="334"/>
      <c r="V479" s="334"/>
      <c r="W479" s="334"/>
      <c r="X479" s="334"/>
      <c r="Y479" s="334"/>
      <c r="Z479" s="334"/>
      <c r="AA479" s="334"/>
      <c r="AB479" s="334"/>
      <c r="AC479" s="334"/>
      <c r="AD479" s="334"/>
    </row>
    <row r="480" ht="16.5" customHeight="1">
      <c r="A480" s="334"/>
      <c r="B480" s="329"/>
      <c r="C480" s="329" t="s">
        <v>585</v>
      </c>
      <c r="D480" s="331" t="s">
        <v>585</v>
      </c>
      <c r="E480" s="331" t="s">
        <v>585</v>
      </c>
      <c r="F480" s="331" t="s">
        <v>585</v>
      </c>
      <c r="G480" s="331">
        <f>iferror(sumifs('Hợp tác'!G:G,'Hợp tác'!A:A,B480,'Hợp tác'!H:H,$G$2,'Hợp tác'!I:I,$I$2),"")</f>
        <v>0</v>
      </c>
      <c r="H480" s="332">
        <f>SUMIFS(View!J:J,View!B:B,B480)</f>
        <v>0</v>
      </c>
      <c r="I480" s="332">
        <f>sumifs('Hoa Hồng'!L:L,'Hoa Hồng'!A:A,B480)</f>
        <v>0</v>
      </c>
      <c r="J480" s="332">
        <v>0.0</v>
      </c>
      <c r="K480" s="333" t="s">
        <v>1211</v>
      </c>
      <c r="L480" s="334"/>
      <c r="M480" s="334"/>
      <c r="N480" s="334"/>
      <c r="O480" s="334"/>
      <c r="P480" s="334"/>
      <c r="Q480" s="334"/>
      <c r="R480" s="334"/>
      <c r="S480" s="334"/>
      <c r="T480" s="334"/>
      <c r="U480" s="334"/>
      <c r="V480" s="334"/>
      <c r="W480" s="334"/>
      <c r="X480" s="334"/>
      <c r="Y480" s="334"/>
      <c r="Z480" s="334"/>
      <c r="AA480" s="334"/>
      <c r="AB480" s="334"/>
      <c r="AC480" s="334"/>
      <c r="AD480" s="334"/>
    </row>
    <row r="481" ht="16.5" customHeight="1">
      <c r="A481" s="334"/>
      <c r="B481" s="329"/>
      <c r="C481" s="329" t="s">
        <v>585</v>
      </c>
      <c r="D481" s="331" t="s">
        <v>585</v>
      </c>
      <c r="E481" s="331" t="s">
        <v>585</v>
      </c>
      <c r="F481" s="331" t="s">
        <v>585</v>
      </c>
      <c r="G481" s="331">
        <f>iferror(sumifs('Hợp tác'!G:G,'Hợp tác'!A:A,B481,'Hợp tác'!H:H,$G$2,'Hợp tác'!I:I,$I$2),"")</f>
        <v>0</v>
      </c>
      <c r="H481" s="332">
        <f>SUMIFS(View!J:J,View!B:B,B481)</f>
        <v>0</v>
      </c>
      <c r="I481" s="332">
        <f>sumifs('Hoa Hồng'!L:L,'Hoa Hồng'!A:A,B481)</f>
        <v>0</v>
      </c>
      <c r="J481" s="332">
        <v>0.0</v>
      </c>
      <c r="K481" s="333" t="s">
        <v>1211</v>
      </c>
      <c r="L481" s="334"/>
      <c r="M481" s="334"/>
      <c r="N481" s="334"/>
      <c r="O481" s="334"/>
      <c r="P481" s="334"/>
      <c r="Q481" s="334"/>
      <c r="R481" s="334"/>
      <c r="S481" s="334"/>
      <c r="T481" s="334"/>
      <c r="U481" s="334"/>
      <c r="V481" s="334"/>
      <c r="W481" s="334"/>
      <c r="X481" s="334"/>
      <c r="Y481" s="334"/>
      <c r="Z481" s="334"/>
      <c r="AA481" s="334"/>
      <c r="AB481" s="334"/>
      <c r="AC481" s="334"/>
      <c r="AD481" s="334"/>
    </row>
    <row r="482" ht="16.5" customHeight="1">
      <c r="A482" s="334"/>
      <c r="B482" s="329"/>
      <c r="C482" s="329" t="s">
        <v>585</v>
      </c>
      <c r="D482" s="331" t="s">
        <v>585</v>
      </c>
      <c r="E482" s="331" t="s">
        <v>585</v>
      </c>
      <c r="F482" s="331" t="s">
        <v>585</v>
      </c>
      <c r="G482" s="331">
        <f>iferror(sumifs('Hợp tác'!G:G,'Hợp tác'!A:A,B482,'Hợp tác'!H:H,$G$2,'Hợp tác'!I:I,$I$2),"")</f>
        <v>0</v>
      </c>
      <c r="H482" s="332">
        <f>SUMIFS(View!J:J,View!B:B,B482)</f>
        <v>0</v>
      </c>
      <c r="I482" s="332">
        <f>sumifs('Hoa Hồng'!L:L,'Hoa Hồng'!A:A,B482)</f>
        <v>0</v>
      </c>
      <c r="J482" s="332">
        <v>0.0</v>
      </c>
      <c r="K482" s="333" t="s">
        <v>1211</v>
      </c>
      <c r="L482" s="334"/>
      <c r="M482" s="334"/>
      <c r="N482" s="334"/>
      <c r="O482" s="334"/>
      <c r="P482" s="334"/>
      <c r="Q482" s="334"/>
      <c r="R482" s="334"/>
      <c r="S482" s="334"/>
      <c r="T482" s="334"/>
      <c r="U482" s="334"/>
      <c r="V482" s="334"/>
      <c r="W482" s="334"/>
      <c r="X482" s="334"/>
      <c r="Y482" s="334"/>
      <c r="Z482" s="334"/>
      <c r="AA482" s="334"/>
      <c r="AB482" s="334"/>
      <c r="AC482" s="334"/>
      <c r="AD482" s="334"/>
    </row>
    <row r="483" ht="16.5" customHeight="1">
      <c r="A483" s="334"/>
      <c r="B483" s="329"/>
      <c r="C483" s="329" t="s">
        <v>585</v>
      </c>
      <c r="D483" s="331" t="s">
        <v>585</v>
      </c>
      <c r="E483" s="331" t="s">
        <v>585</v>
      </c>
      <c r="F483" s="331" t="s">
        <v>585</v>
      </c>
      <c r="G483" s="331">
        <f>iferror(sumifs('Hợp tác'!G:G,'Hợp tác'!A:A,B483,'Hợp tác'!H:H,$G$2,'Hợp tác'!I:I,$I$2),"")</f>
        <v>0</v>
      </c>
      <c r="H483" s="332">
        <f>SUMIFS(View!J:J,View!B:B,B483)</f>
        <v>0</v>
      </c>
      <c r="I483" s="332">
        <f>sumifs('Hoa Hồng'!L:L,'Hoa Hồng'!A:A,B483)</f>
        <v>0</v>
      </c>
      <c r="J483" s="332">
        <v>0.0</v>
      </c>
      <c r="K483" s="333" t="s">
        <v>1211</v>
      </c>
      <c r="L483" s="334"/>
      <c r="M483" s="334"/>
      <c r="N483" s="334"/>
      <c r="O483" s="334"/>
      <c r="P483" s="334"/>
      <c r="Q483" s="334"/>
      <c r="R483" s="334"/>
      <c r="S483" s="334"/>
      <c r="T483" s="334"/>
      <c r="U483" s="334"/>
      <c r="V483" s="334"/>
      <c r="W483" s="334"/>
      <c r="X483" s="334"/>
      <c r="Y483" s="334"/>
      <c r="Z483" s="334"/>
      <c r="AA483" s="334"/>
      <c r="AB483" s="334"/>
      <c r="AC483" s="334"/>
      <c r="AD483" s="334"/>
    </row>
    <row r="484" ht="16.5" customHeight="1">
      <c r="A484" s="334"/>
      <c r="B484" s="329"/>
      <c r="C484" s="329" t="s">
        <v>585</v>
      </c>
      <c r="D484" s="331" t="s">
        <v>585</v>
      </c>
      <c r="E484" s="331" t="s">
        <v>585</v>
      </c>
      <c r="F484" s="331" t="s">
        <v>585</v>
      </c>
      <c r="G484" s="331">
        <f>iferror(sumifs('Hợp tác'!G:G,'Hợp tác'!A:A,B484,'Hợp tác'!H:H,$G$2,'Hợp tác'!I:I,$I$2),"")</f>
        <v>0</v>
      </c>
      <c r="H484" s="332">
        <f>SUMIFS(View!J:J,View!B:B,B484)</f>
        <v>0</v>
      </c>
      <c r="I484" s="332">
        <f>sumifs('Hoa Hồng'!L:L,'Hoa Hồng'!A:A,B484)</f>
        <v>0</v>
      </c>
      <c r="J484" s="332">
        <v>0.0</v>
      </c>
      <c r="K484" s="333" t="s">
        <v>1211</v>
      </c>
      <c r="L484" s="334"/>
      <c r="M484" s="334"/>
      <c r="N484" s="334"/>
      <c r="O484" s="334"/>
      <c r="P484" s="334"/>
      <c r="Q484" s="334"/>
      <c r="R484" s="334"/>
      <c r="S484" s="334"/>
      <c r="T484" s="334"/>
      <c r="U484" s="334"/>
      <c r="V484" s="334"/>
      <c r="W484" s="334"/>
      <c r="X484" s="334"/>
      <c r="Y484" s="334"/>
      <c r="Z484" s="334"/>
      <c r="AA484" s="334"/>
      <c r="AB484" s="334"/>
      <c r="AC484" s="334"/>
      <c r="AD484" s="334"/>
    </row>
    <row r="485" ht="16.5" customHeight="1">
      <c r="A485" s="334"/>
      <c r="B485" s="329"/>
      <c r="C485" s="329" t="s">
        <v>585</v>
      </c>
      <c r="D485" s="331" t="s">
        <v>585</v>
      </c>
      <c r="E485" s="331" t="s">
        <v>585</v>
      </c>
      <c r="F485" s="331" t="s">
        <v>585</v>
      </c>
      <c r="G485" s="331">
        <f>iferror(sumifs('Hợp tác'!G:G,'Hợp tác'!A:A,B485,'Hợp tác'!H:H,$G$2,'Hợp tác'!I:I,$I$2),"")</f>
        <v>0</v>
      </c>
      <c r="H485" s="332">
        <f>SUMIFS(View!J:J,View!B:B,B485)</f>
        <v>0</v>
      </c>
      <c r="I485" s="332">
        <f>sumifs('Hoa Hồng'!L:L,'Hoa Hồng'!A:A,B485)</f>
        <v>0</v>
      </c>
      <c r="J485" s="332">
        <v>0.0</v>
      </c>
      <c r="K485" s="333" t="s">
        <v>1211</v>
      </c>
      <c r="L485" s="334"/>
      <c r="M485" s="334"/>
      <c r="N485" s="334"/>
      <c r="O485" s="334"/>
      <c r="P485" s="334"/>
      <c r="Q485" s="334"/>
      <c r="R485" s="334"/>
      <c r="S485" s="334"/>
      <c r="T485" s="334"/>
      <c r="U485" s="334"/>
      <c r="V485" s="334"/>
      <c r="W485" s="334"/>
      <c r="X485" s="334"/>
      <c r="Y485" s="334"/>
      <c r="Z485" s="334"/>
      <c r="AA485" s="334"/>
      <c r="AB485" s="334"/>
      <c r="AC485" s="334"/>
      <c r="AD485" s="334"/>
    </row>
    <row r="486" ht="16.5" customHeight="1">
      <c r="A486" s="334"/>
      <c r="B486" s="329"/>
      <c r="C486" s="329" t="s">
        <v>585</v>
      </c>
      <c r="D486" s="331" t="s">
        <v>585</v>
      </c>
      <c r="E486" s="331" t="s">
        <v>585</v>
      </c>
      <c r="F486" s="331" t="s">
        <v>585</v>
      </c>
      <c r="G486" s="331">
        <f>iferror(sumifs('Hợp tác'!G:G,'Hợp tác'!A:A,B486,'Hợp tác'!H:H,$G$2,'Hợp tác'!I:I,$I$2),"")</f>
        <v>0</v>
      </c>
      <c r="H486" s="332">
        <f>SUMIFS(View!J:J,View!B:B,B486)</f>
        <v>0</v>
      </c>
      <c r="I486" s="332">
        <f>sumifs('Hoa Hồng'!L:L,'Hoa Hồng'!A:A,B486)</f>
        <v>0</v>
      </c>
      <c r="J486" s="332">
        <v>0.0</v>
      </c>
      <c r="K486" s="333" t="s">
        <v>1211</v>
      </c>
      <c r="L486" s="334"/>
      <c r="M486" s="334"/>
      <c r="N486" s="334"/>
      <c r="O486" s="334"/>
      <c r="P486" s="334"/>
      <c r="Q486" s="334"/>
      <c r="R486" s="334"/>
      <c r="S486" s="334"/>
      <c r="T486" s="334"/>
      <c r="U486" s="334"/>
      <c r="V486" s="334"/>
      <c r="W486" s="334"/>
      <c r="X486" s="334"/>
      <c r="Y486" s="334"/>
      <c r="Z486" s="334"/>
      <c r="AA486" s="334"/>
      <c r="AB486" s="334"/>
      <c r="AC486" s="334"/>
      <c r="AD486" s="334"/>
    </row>
    <row r="487" ht="16.5" customHeight="1">
      <c r="A487" s="334"/>
      <c r="B487" s="329"/>
      <c r="C487" s="329" t="s">
        <v>585</v>
      </c>
      <c r="D487" s="331" t="s">
        <v>585</v>
      </c>
      <c r="E487" s="331" t="s">
        <v>585</v>
      </c>
      <c r="F487" s="331" t="s">
        <v>585</v>
      </c>
      <c r="G487" s="331">
        <f>iferror(sumifs('Hợp tác'!G:G,'Hợp tác'!A:A,B487,'Hợp tác'!H:H,$G$2,'Hợp tác'!I:I,$I$2),"")</f>
        <v>0</v>
      </c>
      <c r="H487" s="332">
        <f>SUMIFS(View!J:J,View!B:B,B487)</f>
        <v>0</v>
      </c>
      <c r="I487" s="332">
        <f>sumifs('Hoa Hồng'!L:L,'Hoa Hồng'!A:A,B487)</f>
        <v>0</v>
      </c>
      <c r="J487" s="332">
        <v>0.0</v>
      </c>
      <c r="K487" s="333" t="s">
        <v>1211</v>
      </c>
      <c r="L487" s="334"/>
      <c r="M487" s="334"/>
      <c r="N487" s="334"/>
      <c r="O487" s="334"/>
      <c r="P487" s="334"/>
      <c r="Q487" s="334"/>
      <c r="R487" s="334"/>
      <c r="S487" s="334"/>
      <c r="T487" s="334"/>
      <c r="U487" s="334"/>
      <c r="V487" s="334"/>
      <c r="W487" s="334"/>
      <c r="X487" s="334"/>
      <c r="Y487" s="334"/>
      <c r="Z487" s="334"/>
      <c r="AA487" s="334"/>
      <c r="AB487" s="334"/>
      <c r="AC487" s="334"/>
      <c r="AD487" s="334"/>
    </row>
    <row r="488" ht="16.5" customHeight="1">
      <c r="A488" s="334"/>
      <c r="B488" s="329"/>
      <c r="C488" s="329" t="s">
        <v>585</v>
      </c>
      <c r="D488" s="331" t="s">
        <v>585</v>
      </c>
      <c r="E488" s="331" t="s">
        <v>585</v>
      </c>
      <c r="F488" s="331" t="s">
        <v>585</v>
      </c>
      <c r="G488" s="331">
        <f>iferror(sumifs('Hợp tác'!G:G,'Hợp tác'!A:A,B488,'Hợp tác'!H:H,$G$2,'Hợp tác'!I:I,$I$2),"")</f>
        <v>0</v>
      </c>
      <c r="H488" s="332">
        <f>SUMIFS(View!J:J,View!B:B,B488)</f>
        <v>0</v>
      </c>
      <c r="I488" s="332">
        <f>sumifs('Hoa Hồng'!L:L,'Hoa Hồng'!A:A,B488)</f>
        <v>0</v>
      </c>
      <c r="J488" s="332">
        <v>0.0</v>
      </c>
      <c r="K488" s="333" t="s">
        <v>1211</v>
      </c>
      <c r="L488" s="334"/>
      <c r="M488" s="334"/>
      <c r="N488" s="334"/>
      <c r="O488" s="334"/>
      <c r="P488" s="334"/>
      <c r="Q488" s="334"/>
      <c r="R488" s="334"/>
      <c r="S488" s="334"/>
      <c r="T488" s="334"/>
      <c r="U488" s="334"/>
      <c r="V488" s="334"/>
      <c r="W488" s="334"/>
      <c r="X488" s="334"/>
      <c r="Y488" s="334"/>
      <c r="Z488" s="334"/>
      <c r="AA488" s="334"/>
      <c r="AB488" s="334"/>
      <c r="AC488" s="334"/>
      <c r="AD488" s="334"/>
    </row>
    <row r="489" ht="16.5" customHeight="1">
      <c r="A489" s="334"/>
      <c r="B489" s="329"/>
      <c r="C489" s="329" t="s">
        <v>585</v>
      </c>
      <c r="D489" s="331" t="s">
        <v>585</v>
      </c>
      <c r="E489" s="331" t="s">
        <v>585</v>
      </c>
      <c r="F489" s="331" t="s">
        <v>585</v>
      </c>
      <c r="G489" s="331">
        <f>iferror(sumifs('Hợp tác'!G:G,'Hợp tác'!A:A,B489,'Hợp tác'!H:H,$G$2,'Hợp tác'!I:I,$I$2),"")</f>
        <v>0</v>
      </c>
      <c r="H489" s="332">
        <f>SUMIFS(View!J:J,View!B:B,B489)</f>
        <v>0</v>
      </c>
      <c r="I489" s="332">
        <f>sumifs('Hoa Hồng'!L:L,'Hoa Hồng'!A:A,B489)</f>
        <v>0</v>
      </c>
      <c r="J489" s="332">
        <v>0.0</v>
      </c>
      <c r="K489" s="333" t="s">
        <v>1211</v>
      </c>
      <c r="L489" s="334"/>
      <c r="M489" s="334"/>
      <c r="N489" s="334"/>
      <c r="O489" s="334"/>
      <c r="P489" s="334"/>
      <c r="Q489" s="334"/>
      <c r="R489" s="334"/>
      <c r="S489" s="334"/>
      <c r="T489" s="334"/>
      <c r="U489" s="334"/>
      <c r="V489" s="334"/>
      <c r="W489" s="334"/>
      <c r="X489" s="334"/>
      <c r="Y489" s="334"/>
      <c r="Z489" s="334"/>
      <c r="AA489" s="334"/>
      <c r="AB489" s="334"/>
      <c r="AC489" s="334"/>
      <c r="AD489" s="334"/>
    </row>
    <row r="490" ht="16.5" customHeight="1">
      <c r="A490" s="334"/>
      <c r="B490" s="329"/>
      <c r="C490" s="329" t="s">
        <v>585</v>
      </c>
      <c r="D490" s="331" t="s">
        <v>585</v>
      </c>
      <c r="E490" s="331" t="s">
        <v>585</v>
      </c>
      <c r="F490" s="331" t="s">
        <v>585</v>
      </c>
      <c r="G490" s="331">
        <f>iferror(sumifs('Hợp tác'!G:G,'Hợp tác'!A:A,B490,'Hợp tác'!H:H,$G$2,'Hợp tác'!I:I,$I$2),"")</f>
        <v>0</v>
      </c>
      <c r="H490" s="332">
        <f>SUMIFS(View!J:J,View!B:B,B490)</f>
        <v>0</v>
      </c>
      <c r="I490" s="332">
        <f>sumifs('Hoa Hồng'!L:L,'Hoa Hồng'!A:A,B490)</f>
        <v>0</v>
      </c>
      <c r="J490" s="332">
        <v>0.0</v>
      </c>
      <c r="K490" s="333" t="s">
        <v>1211</v>
      </c>
      <c r="L490" s="334"/>
      <c r="M490" s="334"/>
      <c r="N490" s="334"/>
      <c r="O490" s="334"/>
      <c r="P490" s="334"/>
      <c r="Q490" s="334"/>
      <c r="R490" s="334"/>
      <c r="S490" s="334"/>
      <c r="T490" s="334"/>
      <c r="U490" s="334"/>
      <c r="V490" s="334"/>
      <c r="W490" s="334"/>
      <c r="X490" s="334"/>
      <c r="Y490" s="334"/>
      <c r="Z490" s="334"/>
      <c r="AA490" s="334"/>
      <c r="AB490" s="334"/>
      <c r="AC490" s="334"/>
      <c r="AD490" s="334"/>
    </row>
    <row r="491" ht="16.5" customHeight="1">
      <c r="A491" s="334"/>
      <c r="B491" s="329"/>
      <c r="C491" s="329" t="s">
        <v>585</v>
      </c>
      <c r="D491" s="331" t="s">
        <v>585</v>
      </c>
      <c r="E491" s="331" t="s">
        <v>585</v>
      </c>
      <c r="F491" s="331" t="s">
        <v>585</v>
      </c>
      <c r="G491" s="331">
        <f>iferror(sumifs('Hợp tác'!G:G,'Hợp tác'!A:A,B491,'Hợp tác'!H:H,$G$2,'Hợp tác'!I:I,$I$2),"")</f>
        <v>0</v>
      </c>
      <c r="H491" s="332">
        <f>SUMIFS(View!J:J,View!B:B,B491)</f>
        <v>0</v>
      </c>
      <c r="I491" s="332">
        <f>sumifs('Hoa Hồng'!L:L,'Hoa Hồng'!A:A,B491)</f>
        <v>0</v>
      </c>
      <c r="J491" s="332">
        <v>0.0</v>
      </c>
      <c r="K491" s="333" t="s">
        <v>1211</v>
      </c>
      <c r="L491" s="334"/>
      <c r="M491" s="334"/>
      <c r="N491" s="334"/>
      <c r="O491" s="334"/>
      <c r="P491" s="334"/>
      <c r="Q491" s="334"/>
      <c r="R491" s="334"/>
      <c r="S491" s="334"/>
      <c r="T491" s="334"/>
      <c r="U491" s="334"/>
      <c r="V491" s="334"/>
      <c r="W491" s="334"/>
      <c r="X491" s="334"/>
      <c r="Y491" s="334"/>
      <c r="Z491" s="334"/>
      <c r="AA491" s="334"/>
      <c r="AB491" s="334"/>
      <c r="AC491" s="334"/>
      <c r="AD491" s="334"/>
    </row>
    <row r="492" ht="16.5" customHeight="1">
      <c r="A492" s="334"/>
      <c r="B492" s="329"/>
      <c r="C492" s="329" t="s">
        <v>585</v>
      </c>
      <c r="D492" s="331" t="s">
        <v>585</v>
      </c>
      <c r="E492" s="331" t="s">
        <v>585</v>
      </c>
      <c r="F492" s="331" t="s">
        <v>585</v>
      </c>
      <c r="G492" s="331">
        <f>iferror(sumifs('Hợp tác'!G:G,'Hợp tác'!A:A,B492,'Hợp tác'!H:H,$G$2,'Hợp tác'!I:I,$I$2),"")</f>
        <v>0</v>
      </c>
      <c r="H492" s="332">
        <f>SUMIFS(View!J:J,View!B:B,B492)</f>
        <v>0</v>
      </c>
      <c r="I492" s="332">
        <f>sumifs('Hoa Hồng'!L:L,'Hoa Hồng'!A:A,B492)</f>
        <v>0</v>
      </c>
      <c r="J492" s="332">
        <v>0.0</v>
      </c>
      <c r="K492" s="333" t="s">
        <v>1211</v>
      </c>
      <c r="L492" s="334"/>
      <c r="M492" s="334"/>
      <c r="N492" s="334"/>
      <c r="O492" s="334"/>
      <c r="P492" s="334"/>
      <c r="Q492" s="334"/>
      <c r="R492" s="334"/>
      <c r="S492" s="334"/>
      <c r="T492" s="334"/>
      <c r="U492" s="334"/>
      <c r="V492" s="334"/>
      <c r="W492" s="334"/>
      <c r="X492" s="334"/>
      <c r="Y492" s="334"/>
      <c r="Z492" s="334"/>
      <c r="AA492" s="334"/>
      <c r="AB492" s="334"/>
      <c r="AC492" s="334"/>
      <c r="AD492" s="334"/>
    </row>
    <row r="493" ht="16.5" customHeight="1">
      <c r="A493" s="334"/>
      <c r="B493" s="329"/>
      <c r="C493" s="329" t="s">
        <v>585</v>
      </c>
      <c r="D493" s="331" t="s">
        <v>585</v>
      </c>
      <c r="E493" s="331" t="s">
        <v>585</v>
      </c>
      <c r="F493" s="331" t="s">
        <v>585</v>
      </c>
      <c r="G493" s="331">
        <f>iferror(sumifs('Hợp tác'!G:G,'Hợp tác'!A:A,B493,'Hợp tác'!H:H,$G$2,'Hợp tác'!I:I,$I$2),"")</f>
        <v>0</v>
      </c>
      <c r="H493" s="332">
        <f>SUMIFS(View!J:J,View!B:B,B493)</f>
        <v>0</v>
      </c>
      <c r="I493" s="332">
        <f>sumifs('Hoa Hồng'!L:L,'Hoa Hồng'!A:A,B493)</f>
        <v>0</v>
      </c>
      <c r="J493" s="332">
        <v>0.0</v>
      </c>
      <c r="K493" s="333" t="s">
        <v>1211</v>
      </c>
      <c r="L493" s="334"/>
      <c r="M493" s="334"/>
      <c r="N493" s="334"/>
      <c r="O493" s="334"/>
      <c r="P493" s="334"/>
      <c r="Q493" s="334"/>
      <c r="R493" s="334"/>
      <c r="S493" s="334"/>
      <c r="T493" s="334"/>
      <c r="U493" s="334"/>
      <c r="V493" s="334"/>
      <c r="W493" s="334"/>
      <c r="X493" s="334"/>
      <c r="Y493" s="334"/>
      <c r="Z493" s="334"/>
      <c r="AA493" s="334"/>
      <c r="AB493" s="334"/>
      <c r="AC493" s="334"/>
      <c r="AD493" s="334"/>
    </row>
    <row r="494" ht="16.5" customHeight="1">
      <c r="A494" s="334"/>
      <c r="B494" s="329"/>
      <c r="C494" s="329" t="s">
        <v>585</v>
      </c>
      <c r="D494" s="331" t="s">
        <v>585</v>
      </c>
      <c r="E494" s="331" t="s">
        <v>585</v>
      </c>
      <c r="F494" s="331" t="s">
        <v>585</v>
      </c>
      <c r="G494" s="331">
        <f>iferror(sumifs('Hợp tác'!G:G,'Hợp tác'!A:A,B494,'Hợp tác'!H:H,$G$2,'Hợp tác'!I:I,$I$2),"")</f>
        <v>0</v>
      </c>
      <c r="H494" s="332">
        <f>SUMIFS(View!J:J,View!B:B,B494)</f>
        <v>0</v>
      </c>
      <c r="I494" s="332">
        <f>sumifs('Hoa Hồng'!L:L,'Hoa Hồng'!A:A,B494)</f>
        <v>0</v>
      </c>
      <c r="J494" s="332">
        <v>0.0</v>
      </c>
      <c r="K494" s="333" t="s">
        <v>1211</v>
      </c>
      <c r="L494" s="334"/>
      <c r="M494" s="334"/>
      <c r="N494" s="334"/>
      <c r="O494" s="334"/>
      <c r="P494" s="334"/>
      <c r="Q494" s="334"/>
      <c r="R494" s="334"/>
      <c r="S494" s="334"/>
      <c r="T494" s="334"/>
      <c r="U494" s="334"/>
      <c r="V494" s="334"/>
      <c r="W494" s="334"/>
      <c r="X494" s="334"/>
      <c r="Y494" s="334"/>
      <c r="Z494" s="334"/>
      <c r="AA494" s="334"/>
      <c r="AB494" s="334"/>
      <c r="AC494" s="334"/>
      <c r="AD494" s="334"/>
    </row>
    <row r="495" ht="16.5" customHeight="1">
      <c r="A495" s="334"/>
      <c r="B495" s="329"/>
      <c r="C495" s="329" t="s">
        <v>585</v>
      </c>
      <c r="D495" s="331" t="s">
        <v>585</v>
      </c>
      <c r="E495" s="331" t="s">
        <v>585</v>
      </c>
      <c r="F495" s="331" t="s">
        <v>585</v>
      </c>
      <c r="G495" s="331">
        <f>iferror(sumifs('Hợp tác'!G:G,'Hợp tác'!A:A,B495,'Hợp tác'!H:H,$G$2,'Hợp tác'!I:I,$I$2),"")</f>
        <v>0</v>
      </c>
      <c r="H495" s="332">
        <f>SUMIFS(View!J:J,View!B:B,B495)</f>
        <v>0</v>
      </c>
      <c r="I495" s="332">
        <f>sumifs('Hoa Hồng'!L:L,'Hoa Hồng'!A:A,B495)</f>
        <v>0</v>
      </c>
      <c r="J495" s="332">
        <v>0.0</v>
      </c>
      <c r="K495" s="333" t="s">
        <v>1211</v>
      </c>
      <c r="L495" s="334"/>
      <c r="M495" s="334"/>
      <c r="N495" s="334"/>
      <c r="O495" s="334"/>
      <c r="P495" s="334"/>
      <c r="Q495" s="334"/>
      <c r="R495" s="334"/>
      <c r="S495" s="334"/>
      <c r="T495" s="334"/>
      <c r="U495" s="334"/>
      <c r="V495" s="334"/>
      <c r="W495" s="334"/>
      <c r="X495" s="334"/>
      <c r="Y495" s="334"/>
      <c r="Z495" s="334"/>
      <c r="AA495" s="334"/>
      <c r="AB495" s="334"/>
      <c r="AC495" s="334"/>
      <c r="AD495" s="334"/>
    </row>
    <row r="496" ht="16.5" customHeight="1">
      <c r="A496" s="334"/>
      <c r="B496" s="329"/>
      <c r="C496" s="329" t="s">
        <v>585</v>
      </c>
      <c r="D496" s="331" t="s">
        <v>585</v>
      </c>
      <c r="E496" s="331" t="s">
        <v>585</v>
      </c>
      <c r="F496" s="331" t="s">
        <v>585</v>
      </c>
      <c r="G496" s="331">
        <f>iferror(sumifs('Hợp tác'!G:G,'Hợp tác'!A:A,B496,'Hợp tác'!H:H,$G$2,'Hợp tác'!I:I,$I$2),"")</f>
        <v>0</v>
      </c>
      <c r="H496" s="332">
        <f>SUMIFS(View!J:J,View!B:B,B496)</f>
        <v>0</v>
      </c>
      <c r="I496" s="332">
        <f>sumifs('Hoa Hồng'!L:L,'Hoa Hồng'!A:A,B496)</f>
        <v>0</v>
      </c>
      <c r="J496" s="332">
        <v>0.0</v>
      </c>
      <c r="K496" s="333" t="s">
        <v>1211</v>
      </c>
      <c r="L496" s="334"/>
      <c r="M496" s="334"/>
      <c r="N496" s="334"/>
      <c r="O496" s="334"/>
      <c r="P496" s="334"/>
      <c r="Q496" s="334"/>
      <c r="R496" s="334"/>
      <c r="S496" s="334"/>
      <c r="T496" s="334"/>
      <c r="U496" s="334"/>
      <c r="V496" s="334"/>
      <c r="W496" s="334"/>
      <c r="X496" s="334"/>
      <c r="Y496" s="334"/>
      <c r="Z496" s="334"/>
      <c r="AA496" s="334"/>
      <c r="AB496" s="334"/>
      <c r="AC496" s="334"/>
      <c r="AD496" s="334"/>
    </row>
    <row r="497" ht="16.5" customHeight="1">
      <c r="A497" s="334"/>
      <c r="B497" s="329"/>
      <c r="C497" s="329" t="s">
        <v>585</v>
      </c>
      <c r="D497" s="331" t="s">
        <v>585</v>
      </c>
      <c r="E497" s="331" t="s">
        <v>585</v>
      </c>
      <c r="F497" s="331" t="s">
        <v>585</v>
      </c>
      <c r="G497" s="331">
        <f>iferror(sumifs('Hợp tác'!G:G,'Hợp tác'!A:A,B497,'Hợp tác'!H:H,$G$2,'Hợp tác'!I:I,$I$2),"")</f>
        <v>0</v>
      </c>
      <c r="H497" s="332">
        <f>SUMIFS(View!J:J,View!B:B,B497)</f>
        <v>0</v>
      </c>
      <c r="I497" s="332">
        <f>sumifs('Hoa Hồng'!L:L,'Hoa Hồng'!A:A,B497)</f>
        <v>0</v>
      </c>
      <c r="J497" s="332">
        <v>0.0</v>
      </c>
      <c r="K497" s="333" t="s">
        <v>1211</v>
      </c>
      <c r="L497" s="334"/>
      <c r="M497" s="334"/>
      <c r="N497" s="334"/>
      <c r="O497" s="334"/>
      <c r="P497" s="334"/>
      <c r="Q497" s="334"/>
      <c r="R497" s="334"/>
      <c r="S497" s="334"/>
      <c r="T497" s="334"/>
      <c r="U497" s="334"/>
      <c r="V497" s="334"/>
      <c r="W497" s="334"/>
      <c r="X497" s="334"/>
      <c r="Y497" s="334"/>
      <c r="Z497" s="334"/>
      <c r="AA497" s="334"/>
      <c r="AB497" s="334"/>
      <c r="AC497" s="334"/>
      <c r="AD497" s="334"/>
    </row>
    <row r="498" ht="16.5" customHeight="1">
      <c r="A498" s="334"/>
      <c r="B498" s="329"/>
      <c r="C498" s="329" t="s">
        <v>585</v>
      </c>
      <c r="D498" s="331" t="s">
        <v>585</v>
      </c>
      <c r="E498" s="331" t="s">
        <v>585</v>
      </c>
      <c r="F498" s="331" t="s">
        <v>585</v>
      </c>
      <c r="G498" s="331">
        <f>iferror(sumifs('Hợp tác'!G:G,'Hợp tác'!A:A,B498,'Hợp tác'!H:H,$G$2,'Hợp tác'!I:I,$I$2),"")</f>
        <v>0</v>
      </c>
      <c r="H498" s="332">
        <f>SUMIFS(View!J:J,View!B:B,B498)</f>
        <v>0</v>
      </c>
      <c r="I498" s="332">
        <f>sumifs('Hoa Hồng'!L:L,'Hoa Hồng'!A:A,B498)</f>
        <v>0</v>
      </c>
      <c r="J498" s="332">
        <v>0.0</v>
      </c>
      <c r="K498" s="333" t="s">
        <v>1211</v>
      </c>
      <c r="L498" s="334"/>
      <c r="M498" s="334"/>
      <c r="N498" s="334"/>
      <c r="O498" s="334"/>
      <c r="P498" s="334"/>
      <c r="Q498" s="334"/>
      <c r="R498" s="334"/>
      <c r="S498" s="334"/>
      <c r="T498" s="334"/>
      <c r="U498" s="334"/>
      <c r="V498" s="334"/>
      <c r="W498" s="334"/>
      <c r="X498" s="334"/>
      <c r="Y498" s="334"/>
      <c r="Z498" s="334"/>
      <c r="AA498" s="334"/>
      <c r="AB498" s="334"/>
      <c r="AC498" s="334"/>
      <c r="AD498" s="334"/>
    </row>
    <row r="499" ht="16.5" customHeight="1">
      <c r="A499" s="334"/>
      <c r="B499" s="329"/>
      <c r="C499" s="329" t="s">
        <v>585</v>
      </c>
      <c r="D499" s="331" t="s">
        <v>585</v>
      </c>
      <c r="E499" s="331" t="s">
        <v>585</v>
      </c>
      <c r="F499" s="331" t="s">
        <v>585</v>
      </c>
      <c r="G499" s="331">
        <f>iferror(sumifs('Hợp tác'!G:G,'Hợp tác'!A:A,B499,'Hợp tác'!H:H,$G$2,'Hợp tác'!I:I,$I$2),"")</f>
        <v>0</v>
      </c>
      <c r="H499" s="332">
        <f>SUMIFS(View!J:J,View!B:B,B499)</f>
        <v>0</v>
      </c>
      <c r="I499" s="332">
        <f>sumifs('Hoa Hồng'!L:L,'Hoa Hồng'!A:A,B499)</f>
        <v>0</v>
      </c>
      <c r="J499" s="332">
        <v>0.0</v>
      </c>
      <c r="K499" s="333" t="s">
        <v>1211</v>
      </c>
      <c r="L499" s="334"/>
      <c r="M499" s="334"/>
      <c r="N499" s="334"/>
      <c r="O499" s="334"/>
      <c r="P499" s="334"/>
      <c r="Q499" s="334"/>
      <c r="R499" s="334"/>
      <c r="S499" s="334"/>
      <c r="T499" s="334"/>
      <c r="U499" s="334"/>
      <c r="V499" s="334"/>
      <c r="W499" s="334"/>
      <c r="X499" s="334"/>
      <c r="Y499" s="334"/>
      <c r="Z499" s="334"/>
      <c r="AA499" s="334"/>
      <c r="AB499" s="334"/>
      <c r="AC499" s="334"/>
      <c r="AD499" s="334"/>
    </row>
    <row r="500" ht="16.5" customHeight="1">
      <c r="A500" s="334"/>
      <c r="B500" s="329"/>
      <c r="C500" s="329" t="s">
        <v>585</v>
      </c>
      <c r="D500" s="331" t="s">
        <v>585</v>
      </c>
      <c r="E500" s="331" t="s">
        <v>585</v>
      </c>
      <c r="F500" s="331" t="s">
        <v>585</v>
      </c>
      <c r="G500" s="331">
        <f>iferror(sumifs('Hợp tác'!G:G,'Hợp tác'!A:A,B500,'Hợp tác'!H:H,$G$2,'Hợp tác'!I:I,$I$2),"")</f>
        <v>0</v>
      </c>
      <c r="H500" s="332">
        <f>SUMIFS(View!J:J,View!B:B,B500)</f>
        <v>0</v>
      </c>
      <c r="I500" s="332">
        <f>sumifs('Hoa Hồng'!L:L,'Hoa Hồng'!A:A,B500)</f>
        <v>0</v>
      </c>
      <c r="J500" s="332">
        <v>0.0</v>
      </c>
      <c r="K500" s="333" t="s">
        <v>1211</v>
      </c>
      <c r="L500" s="334"/>
      <c r="M500" s="334"/>
      <c r="N500" s="334"/>
      <c r="O500" s="334"/>
      <c r="P500" s="334"/>
      <c r="Q500" s="334"/>
      <c r="R500" s="334"/>
      <c r="S500" s="334"/>
      <c r="T500" s="334"/>
      <c r="U500" s="334"/>
      <c r="V500" s="334"/>
      <c r="W500" s="334"/>
      <c r="X500" s="334"/>
      <c r="Y500" s="334"/>
      <c r="Z500" s="334"/>
      <c r="AA500" s="334"/>
      <c r="AB500" s="334"/>
      <c r="AC500" s="334"/>
      <c r="AD500" s="334"/>
    </row>
    <row r="501" ht="16.5" customHeight="1">
      <c r="A501" s="334"/>
      <c r="B501" s="329"/>
      <c r="C501" s="329" t="s">
        <v>585</v>
      </c>
      <c r="D501" s="331" t="s">
        <v>585</v>
      </c>
      <c r="E501" s="331" t="s">
        <v>585</v>
      </c>
      <c r="F501" s="331" t="s">
        <v>585</v>
      </c>
      <c r="G501" s="331">
        <f>iferror(sumifs('Hợp tác'!G:G,'Hợp tác'!A:A,B501,'Hợp tác'!H:H,$G$2,'Hợp tác'!I:I,$I$2),"")</f>
        <v>0</v>
      </c>
      <c r="H501" s="332">
        <f>SUMIFS(View!J:J,View!B:B,B501)</f>
        <v>0</v>
      </c>
      <c r="I501" s="332">
        <f>sumifs('Hoa Hồng'!L:L,'Hoa Hồng'!A:A,B501)</f>
        <v>0</v>
      </c>
      <c r="J501" s="332">
        <v>0.0</v>
      </c>
      <c r="K501" s="333" t="s">
        <v>1211</v>
      </c>
      <c r="L501" s="334"/>
      <c r="M501" s="334"/>
      <c r="N501" s="334"/>
      <c r="O501" s="334"/>
      <c r="P501" s="334"/>
      <c r="Q501" s="334"/>
      <c r="R501" s="334"/>
      <c r="S501" s="334"/>
      <c r="T501" s="334"/>
      <c r="U501" s="334"/>
      <c r="V501" s="334"/>
      <c r="W501" s="334"/>
      <c r="X501" s="334"/>
      <c r="Y501" s="334"/>
      <c r="Z501" s="334"/>
      <c r="AA501" s="334"/>
      <c r="AB501" s="334"/>
      <c r="AC501" s="334"/>
      <c r="AD501" s="334"/>
    </row>
    <row r="502" ht="16.5" customHeight="1">
      <c r="A502" s="334"/>
      <c r="B502" s="329"/>
      <c r="C502" s="329" t="s">
        <v>585</v>
      </c>
      <c r="D502" s="331" t="s">
        <v>585</v>
      </c>
      <c r="E502" s="331" t="s">
        <v>585</v>
      </c>
      <c r="F502" s="331" t="s">
        <v>585</v>
      </c>
      <c r="G502" s="331">
        <f>iferror(sumifs('Hợp tác'!G:G,'Hợp tác'!A:A,B502,'Hợp tác'!H:H,$G$2,'Hợp tác'!I:I,$I$2),"")</f>
        <v>0</v>
      </c>
      <c r="H502" s="332">
        <f>SUMIFS(View!J:J,View!B:B,B502)</f>
        <v>0</v>
      </c>
      <c r="I502" s="332">
        <f>sumifs('Hoa Hồng'!L:L,'Hoa Hồng'!A:A,B502)</f>
        <v>0</v>
      </c>
      <c r="J502" s="332">
        <v>0.0</v>
      </c>
      <c r="K502" s="333" t="s">
        <v>1211</v>
      </c>
      <c r="L502" s="334"/>
      <c r="M502" s="334"/>
      <c r="N502" s="334"/>
      <c r="O502" s="334"/>
      <c r="P502" s="334"/>
      <c r="Q502" s="334"/>
      <c r="R502" s="334"/>
      <c r="S502" s="334"/>
      <c r="T502" s="334"/>
      <c r="U502" s="334"/>
      <c r="V502" s="334"/>
      <c r="W502" s="334"/>
      <c r="X502" s="334"/>
      <c r="Y502" s="334"/>
      <c r="Z502" s="334"/>
      <c r="AA502" s="334"/>
      <c r="AB502" s="334"/>
      <c r="AC502" s="334"/>
      <c r="AD502" s="334"/>
    </row>
    <row r="503" ht="16.5" customHeight="1">
      <c r="A503" s="334"/>
      <c r="B503" s="329"/>
      <c r="C503" s="329" t="s">
        <v>585</v>
      </c>
      <c r="D503" s="331" t="s">
        <v>585</v>
      </c>
      <c r="E503" s="331" t="s">
        <v>585</v>
      </c>
      <c r="F503" s="331" t="s">
        <v>585</v>
      </c>
      <c r="G503" s="331">
        <f>iferror(sumifs('Hợp tác'!G:G,'Hợp tác'!A:A,B503,'Hợp tác'!H:H,$G$2,'Hợp tác'!I:I,$I$2),"")</f>
        <v>0</v>
      </c>
      <c r="H503" s="332">
        <f>SUMIFS(View!J:J,View!B:B,B503)</f>
        <v>0</v>
      </c>
      <c r="I503" s="332">
        <f>sumifs('Hoa Hồng'!L:L,'Hoa Hồng'!A:A,B503)</f>
        <v>0</v>
      </c>
      <c r="J503" s="332">
        <v>0.0</v>
      </c>
      <c r="K503" s="333" t="s">
        <v>1211</v>
      </c>
      <c r="L503" s="334"/>
      <c r="M503" s="334"/>
      <c r="N503" s="334"/>
      <c r="O503" s="334"/>
      <c r="P503" s="334"/>
      <c r="Q503" s="334"/>
      <c r="R503" s="334"/>
      <c r="S503" s="334"/>
      <c r="T503" s="334"/>
      <c r="U503" s="334"/>
      <c r="V503" s="334"/>
      <c r="W503" s="334"/>
      <c r="X503" s="334"/>
      <c r="Y503" s="334"/>
      <c r="Z503" s="334"/>
      <c r="AA503" s="334"/>
      <c r="AB503" s="334"/>
      <c r="AC503" s="334"/>
      <c r="AD503" s="334"/>
    </row>
    <row r="504" ht="16.5" customHeight="1">
      <c r="A504" s="334"/>
      <c r="B504" s="329"/>
      <c r="C504" s="329" t="s">
        <v>585</v>
      </c>
      <c r="D504" s="331" t="s">
        <v>585</v>
      </c>
      <c r="E504" s="331" t="s">
        <v>585</v>
      </c>
      <c r="F504" s="331" t="s">
        <v>585</v>
      </c>
      <c r="G504" s="331">
        <f>iferror(sumifs('Hợp tác'!G:G,'Hợp tác'!A:A,B504,'Hợp tác'!H:H,$G$2,'Hợp tác'!I:I,$I$2),"")</f>
        <v>0</v>
      </c>
      <c r="H504" s="332">
        <f>SUMIFS(View!J:J,View!B:B,B504)</f>
        <v>0</v>
      </c>
      <c r="I504" s="332">
        <f>sumifs('Hoa Hồng'!L:L,'Hoa Hồng'!A:A,B504)</f>
        <v>0</v>
      </c>
      <c r="J504" s="332">
        <v>0.0</v>
      </c>
      <c r="K504" s="333" t="s">
        <v>1211</v>
      </c>
      <c r="L504" s="334"/>
      <c r="M504" s="334"/>
      <c r="N504" s="334"/>
      <c r="O504" s="334"/>
      <c r="P504" s="334"/>
      <c r="Q504" s="334"/>
      <c r="R504" s="334"/>
      <c r="S504" s="334"/>
      <c r="T504" s="334"/>
      <c r="U504" s="334"/>
      <c r="V504" s="334"/>
      <c r="W504" s="334"/>
      <c r="X504" s="334"/>
      <c r="Y504" s="334"/>
      <c r="Z504" s="334"/>
      <c r="AA504" s="334"/>
      <c r="AB504" s="334"/>
      <c r="AC504" s="334"/>
      <c r="AD504" s="334"/>
    </row>
    <row r="505" ht="16.5" customHeight="1">
      <c r="A505" s="334"/>
      <c r="B505" s="329"/>
      <c r="C505" s="329" t="s">
        <v>585</v>
      </c>
      <c r="D505" s="331" t="s">
        <v>585</v>
      </c>
      <c r="E505" s="331" t="s">
        <v>585</v>
      </c>
      <c r="F505" s="331" t="s">
        <v>585</v>
      </c>
      <c r="G505" s="331">
        <f>iferror(sumifs('Hợp tác'!G:G,'Hợp tác'!A:A,B505,'Hợp tác'!H:H,$G$2,'Hợp tác'!I:I,$I$2),"")</f>
        <v>0</v>
      </c>
      <c r="H505" s="332">
        <f>SUMIFS(View!J:J,View!B:B,B505)</f>
        <v>0</v>
      </c>
      <c r="I505" s="332">
        <f>sumifs('Hoa Hồng'!L:L,'Hoa Hồng'!A:A,B505)</f>
        <v>0</v>
      </c>
      <c r="J505" s="332">
        <v>0.0</v>
      </c>
      <c r="K505" s="333" t="s">
        <v>1211</v>
      </c>
      <c r="L505" s="334"/>
      <c r="M505" s="334"/>
      <c r="N505" s="334"/>
      <c r="O505" s="334"/>
      <c r="P505" s="334"/>
      <c r="Q505" s="334"/>
      <c r="R505" s="334"/>
      <c r="S505" s="334"/>
      <c r="T505" s="334"/>
      <c r="U505" s="334"/>
      <c r="V505" s="334"/>
      <c r="W505" s="334"/>
      <c r="X505" s="334"/>
      <c r="Y505" s="334"/>
      <c r="Z505" s="334"/>
      <c r="AA505" s="334"/>
      <c r="AB505" s="334"/>
      <c r="AC505" s="334"/>
      <c r="AD505" s="334"/>
    </row>
    <row r="506" ht="16.5" customHeight="1">
      <c r="A506" s="334"/>
      <c r="B506" s="329"/>
      <c r="C506" s="329" t="s">
        <v>585</v>
      </c>
      <c r="D506" s="331" t="s">
        <v>585</v>
      </c>
      <c r="E506" s="331" t="s">
        <v>585</v>
      </c>
      <c r="F506" s="331" t="s">
        <v>585</v>
      </c>
      <c r="G506" s="331">
        <f>iferror(sumifs('Hợp tác'!G:G,'Hợp tác'!A:A,B506,'Hợp tác'!H:H,$G$2,'Hợp tác'!I:I,$I$2),"")</f>
        <v>0</v>
      </c>
      <c r="H506" s="332">
        <f>SUMIFS(View!J:J,View!B:B,B506)</f>
        <v>0</v>
      </c>
      <c r="I506" s="332">
        <f>sumifs('Hoa Hồng'!L:L,'Hoa Hồng'!A:A,B506)</f>
        <v>0</v>
      </c>
      <c r="J506" s="332">
        <v>0.0</v>
      </c>
      <c r="K506" s="333" t="s">
        <v>1211</v>
      </c>
      <c r="L506" s="334"/>
      <c r="M506" s="334"/>
      <c r="N506" s="334"/>
      <c r="O506" s="334"/>
      <c r="P506" s="334"/>
      <c r="Q506" s="334"/>
      <c r="R506" s="334"/>
      <c r="S506" s="334"/>
      <c r="T506" s="334"/>
      <c r="U506" s="334"/>
      <c r="V506" s="334"/>
      <c r="W506" s="334"/>
      <c r="X506" s="334"/>
      <c r="Y506" s="334"/>
      <c r="Z506" s="334"/>
      <c r="AA506" s="334"/>
      <c r="AB506" s="334"/>
      <c r="AC506" s="334"/>
      <c r="AD506" s="334"/>
    </row>
    <row r="507" ht="16.5" customHeight="1">
      <c r="A507" s="334"/>
      <c r="B507" s="329"/>
      <c r="C507" s="329" t="s">
        <v>585</v>
      </c>
      <c r="D507" s="331" t="s">
        <v>585</v>
      </c>
      <c r="E507" s="331" t="s">
        <v>585</v>
      </c>
      <c r="F507" s="331" t="s">
        <v>585</v>
      </c>
      <c r="G507" s="331">
        <f>iferror(sumifs('Hợp tác'!G:G,'Hợp tác'!A:A,B507,'Hợp tác'!H:H,$G$2,'Hợp tác'!I:I,$I$2),"")</f>
        <v>0</v>
      </c>
      <c r="H507" s="332">
        <f>SUMIFS(View!J:J,View!B:B,B507)</f>
        <v>0</v>
      </c>
      <c r="I507" s="332">
        <f>sumifs('Hoa Hồng'!L:L,'Hoa Hồng'!A:A,B507)</f>
        <v>0</v>
      </c>
      <c r="J507" s="332">
        <v>0.0</v>
      </c>
      <c r="K507" s="333" t="s">
        <v>1211</v>
      </c>
      <c r="L507" s="334"/>
      <c r="M507" s="334"/>
      <c r="N507" s="334"/>
      <c r="O507" s="334"/>
      <c r="P507" s="334"/>
      <c r="Q507" s="334"/>
      <c r="R507" s="334"/>
      <c r="S507" s="334"/>
      <c r="T507" s="334"/>
      <c r="U507" s="334"/>
      <c r="V507" s="334"/>
      <c r="W507" s="334"/>
      <c r="X507" s="334"/>
      <c r="Y507" s="334"/>
      <c r="Z507" s="334"/>
      <c r="AA507" s="334"/>
      <c r="AB507" s="334"/>
      <c r="AC507" s="334"/>
      <c r="AD507" s="334"/>
    </row>
    <row r="508" ht="16.5" customHeight="1">
      <c r="A508" s="334"/>
      <c r="B508" s="329"/>
      <c r="C508" s="329" t="s">
        <v>585</v>
      </c>
      <c r="D508" s="331" t="s">
        <v>585</v>
      </c>
      <c r="E508" s="331" t="s">
        <v>585</v>
      </c>
      <c r="F508" s="331" t="s">
        <v>585</v>
      </c>
      <c r="G508" s="331">
        <f>iferror(sumifs('Hợp tác'!G:G,'Hợp tác'!A:A,B508,'Hợp tác'!H:H,$G$2,'Hợp tác'!I:I,$I$2),"")</f>
        <v>0</v>
      </c>
      <c r="H508" s="332">
        <f>SUMIFS(View!J:J,View!B:B,B508)</f>
        <v>0</v>
      </c>
      <c r="I508" s="332">
        <f>sumifs('Hoa Hồng'!L:L,'Hoa Hồng'!A:A,B508)</f>
        <v>0</v>
      </c>
      <c r="J508" s="332">
        <v>0.0</v>
      </c>
      <c r="K508" s="333" t="s">
        <v>1211</v>
      </c>
      <c r="L508" s="334"/>
      <c r="M508" s="334"/>
      <c r="N508" s="334"/>
      <c r="O508" s="334"/>
      <c r="P508" s="334"/>
      <c r="Q508" s="334"/>
      <c r="R508" s="334"/>
      <c r="S508" s="334"/>
      <c r="T508" s="334"/>
      <c r="U508" s="334"/>
      <c r="V508" s="334"/>
      <c r="W508" s="334"/>
      <c r="X508" s="334"/>
      <c r="Y508" s="334"/>
      <c r="Z508" s="334"/>
      <c r="AA508" s="334"/>
      <c r="AB508" s="334"/>
      <c r="AC508" s="334"/>
      <c r="AD508" s="334"/>
    </row>
    <row r="509" ht="16.5" customHeight="1">
      <c r="A509" s="334"/>
      <c r="B509" s="329"/>
      <c r="C509" s="329" t="s">
        <v>585</v>
      </c>
      <c r="D509" s="331" t="s">
        <v>585</v>
      </c>
      <c r="E509" s="331" t="s">
        <v>585</v>
      </c>
      <c r="F509" s="331" t="s">
        <v>585</v>
      </c>
      <c r="G509" s="331">
        <f>iferror(sumifs('Hợp tác'!G:G,'Hợp tác'!A:A,B509,'Hợp tác'!H:H,$G$2,'Hợp tác'!I:I,$I$2),"")</f>
        <v>0</v>
      </c>
      <c r="H509" s="332">
        <f>SUMIFS(View!J:J,View!B:B,B509)</f>
        <v>0</v>
      </c>
      <c r="I509" s="332">
        <f>sumifs('Hoa Hồng'!L:L,'Hoa Hồng'!A:A,B509)</f>
        <v>0</v>
      </c>
      <c r="J509" s="332">
        <v>0.0</v>
      </c>
      <c r="K509" s="333" t="s">
        <v>1211</v>
      </c>
      <c r="L509" s="334"/>
      <c r="M509" s="334"/>
      <c r="N509" s="334"/>
      <c r="O509" s="334"/>
      <c r="P509" s="334"/>
      <c r="Q509" s="334"/>
      <c r="R509" s="334"/>
      <c r="S509" s="334"/>
      <c r="T509" s="334"/>
      <c r="U509" s="334"/>
      <c r="V509" s="334"/>
      <c r="W509" s="334"/>
      <c r="X509" s="334"/>
      <c r="Y509" s="334"/>
      <c r="Z509" s="334"/>
      <c r="AA509" s="334"/>
      <c r="AB509" s="334"/>
      <c r="AC509" s="334"/>
      <c r="AD509" s="334"/>
    </row>
    <row r="510" ht="16.5" customHeight="1">
      <c r="A510" s="334"/>
      <c r="B510" s="329"/>
      <c r="C510" s="329" t="s">
        <v>585</v>
      </c>
      <c r="D510" s="331" t="s">
        <v>585</v>
      </c>
      <c r="E510" s="331" t="s">
        <v>585</v>
      </c>
      <c r="F510" s="331" t="s">
        <v>585</v>
      </c>
      <c r="G510" s="331">
        <f>iferror(sumifs('Hợp tác'!G:G,'Hợp tác'!A:A,B510,'Hợp tác'!H:H,$G$2,'Hợp tác'!I:I,$I$2),"")</f>
        <v>0</v>
      </c>
      <c r="H510" s="332">
        <f>SUMIFS(View!J:J,View!B:B,B510)</f>
        <v>0</v>
      </c>
      <c r="I510" s="332">
        <f>sumifs('Hoa Hồng'!L:L,'Hoa Hồng'!A:A,B510)</f>
        <v>0</v>
      </c>
      <c r="J510" s="332">
        <v>0.0</v>
      </c>
      <c r="K510" s="333" t="s">
        <v>1211</v>
      </c>
      <c r="L510" s="334"/>
      <c r="M510" s="334"/>
      <c r="N510" s="334"/>
      <c r="O510" s="334"/>
      <c r="P510" s="334"/>
      <c r="Q510" s="334"/>
      <c r="R510" s="334"/>
      <c r="S510" s="334"/>
      <c r="T510" s="334"/>
      <c r="U510" s="334"/>
      <c r="V510" s="334"/>
      <c r="W510" s="334"/>
      <c r="X510" s="334"/>
      <c r="Y510" s="334"/>
      <c r="Z510" s="334"/>
      <c r="AA510" s="334"/>
      <c r="AB510" s="334"/>
      <c r="AC510" s="334"/>
      <c r="AD510" s="334"/>
    </row>
    <row r="511" ht="16.5" customHeight="1">
      <c r="A511" s="334"/>
      <c r="B511" s="329"/>
      <c r="C511" s="329" t="s">
        <v>585</v>
      </c>
      <c r="D511" s="331" t="s">
        <v>585</v>
      </c>
      <c r="E511" s="331" t="s">
        <v>585</v>
      </c>
      <c r="F511" s="331" t="s">
        <v>585</v>
      </c>
      <c r="G511" s="331">
        <f>iferror(sumifs('Hợp tác'!G:G,'Hợp tác'!A:A,B511,'Hợp tác'!H:H,$G$2,'Hợp tác'!I:I,$I$2),"")</f>
        <v>0</v>
      </c>
      <c r="H511" s="332">
        <f>SUMIFS(View!J:J,View!B:B,B511)</f>
        <v>0</v>
      </c>
      <c r="I511" s="332">
        <f>sumifs('Hoa Hồng'!L:L,'Hoa Hồng'!A:A,B511)</f>
        <v>0</v>
      </c>
      <c r="J511" s="332">
        <v>0.0</v>
      </c>
      <c r="K511" s="333" t="s">
        <v>1211</v>
      </c>
      <c r="L511" s="334"/>
      <c r="M511" s="334"/>
      <c r="N511" s="334"/>
      <c r="O511" s="334"/>
      <c r="P511" s="334"/>
      <c r="Q511" s="334"/>
      <c r="R511" s="334"/>
      <c r="S511" s="334"/>
      <c r="T511" s="334"/>
      <c r="U511" s="334"/>
      <c r="V511" s="334"/>
      <c r="W511" s="334"/>
      <c r="X511" s="334"/>
      <c r="Y511" s="334"/>
      <c r="Z511" s="334"/>
      <c r="AA511" s="334"/>
      <c r="AB511" s="334"/>
      <c r="AC511" s="334"/>
      <c r="AD511" s="334"/>
    </row>
    <row r="512" ht="16.5" customHeight="1">
      <c r="A512" s="334"/>
      <c r="B512" s="329"/>
      <c r="C512" s="329" t="s">
        <v>585</v>
      </c>
      <c r="D512" s="331" t="s">
        <v>585</v>
      </c>
      <c r="E512" s="331" t="s">
        <v>585</v>
      </c>
      <c r="F512" s="331" t="s">
        <v>585</v>
      </c>
      <c r="G512" s="331">
        <f>iferror(sumifs('Hợp tác'!G:G,'Hợp tác'!A:A,B512,'Hợp tác'!H:H,$G$2,'Hợp tác'!I:I,$I$2),"")</f>
        <v>0</v>
      </c>
      <c r="H512" s="332">
        <f>SUMIFS(View!J:J,View!B:B,B512)</f>
        <v>0</v>
      </c>
      <c r="I512" s="332">
        <f>sumifs('Hoa Hồng'!L:L,'Hoa Hồng'!A:A,B512)</f>
        <v>0</v>
      </c>
      <c r="J512" s="332">
        <v>0.0</v>
      </c>
      <c r="K512" s="333" t="s">
        <v>1211</v>
      </c>
      <c r="L512" s="334"/>
      <c r="M512" s="334"/>
      <c r="N512" s="334"/>
      <c r="O512" s="334"/>
      <c r="P512" s="334"/>
      <c r="Q512" s="334"/>
      <c r="R512" s="334"/>
      <c r="S512" s="334"/>
      <c r="T512" s="334"/>
      <c r="U512" s="334"/>
      <c r="V512" s="334"/>
      <c r="W512" s="334"/>
      <c r="X512" s="334"/>
      <c r="Y512" s="334"/>
      <c r="Z512" s="334"/>
      <c r="AA512" s="334"/>
      <c r="AB512" s="334"/>
      <c r="AC512" s="334"/>
      <c r="AD512" s="334"/>
    </row>
    <row r="513" ht="16.5" customHeight="1">
      <c r="A513" s="334"/>
      <c r="B513" s="329"/>
      <c r="C513" s="329" t="s">
        <v>585</v>
      </c>
      <c r="D513" s="331" t="s">
        <v>585</v>
      </c>
      <c r="E513" s="331" t="s">
        <v>585</v>
      </c>
      <c r="F513" s="331" t="s">
        <v>585</v>
      </c>
      <c r="G513" s="331">
        <f>iferror(sumifs('Hợp tác'!G:G,'Hợp tác'!A:A,B513,'Hợp tác'!H:H,$G$2,'Hợp tác'!I:I,$I$2),"")</f>
        <v>0</v>
      </c>
      <c r="H513" s="332">
        <f>SUMIFS(View!J:J,View!B:B,B513)</f>
        <v>0</v>
      </c>
      <c r="I513" s="332">
        <f>sumifs('Hoa Hồng'!L:L,'Hoa Hồng'!A:A,B513)</f>
        <v>0</v>
      </c>
      <c r="J513" s="332">
        <v>0.0</v>
      </c>
      <c r="K513" s="333" t="s">
        <v>1211</v>
      </c>
      <c r="L513" s="334"/>
      <c r="M513" s="334"/>
      <c r="N513" s="334"/>
      <c r="O513" s="334"/>
      <c r="P513" s="334"/>
      <c r="Q513" s="334"/>
      <c r="R513" s="334"/>
      <c r="S513" s="334"/>
      <c r="T513" s="334"/>
      <c r="U513" s="334"/>
      <c r="V513" s="334"/>
      <c r="W513" s="334"/>
      <c r="X513" s="334"/>
      <c r="Y513" s="334"/>
      <c r="Z513" s="334"/>
      <c r="AA513" s="334"/>
      <c r="AB513" s="334"/>
      <c r="AC513" s="334"/>
      <c r="AD513" s="334"/>
    </row>
    <row r="514" ht="16.5" customHeight="1">
      <c r="A514" s="334"/>
      <c r="B514" s="329"/>
      <c r="C514" s="329" t="s">
        <v>585</v>
      </c>
      <c r="D514" s="331" t="s">
        <v>585</v>
      </c>
      <c r="E514" s="331" t="s">
        <v>585</v>
      </c>
      <c r="F514" s="331" t="s">
        <v>585</v>
      </c>
      <c r="G514" s="331">
        <f>iferror(sumifs('Hợp tác'!G:G,'Hợp tác'!A:A,B514,'Hợp tác'!H:H,$G$2,'Hợp tác'!I:I,$I$2),"")</f>
        <v>0</v>
      </c>
      <c r="H514" s="332">
        <f>SUMIFS(View!J:J,View!B:B,B514)</f>
        <v>0</v>
      </c>
      <c r="I514" s="332">
        <f>sumifs('Hoa Hồng'!L:L,'Hoa Hồng'!A:A,B514)</f>
        <v>0</v>
      </c>
      <c r="J514" s="332">
        <v>0.0</v>
      </c>
      <c r="K514" s="333" t="s">
        <v>1211</v>
      </c>
      <c r="L514" s="334"/>
      <c r="M514" s="334"/>
      <c r="N514" s="334"/>
      <c r="O514" s="334"/>
      <c r="P514" s="334"/>
      <c r="Q514" s="334"/>
      <c r="R514" s="334"/>
      <c r="S514" s="334"/>
      <c r="T514" s="334"/>
      <c r="U514" s="334"/>
      <c r="V514" s="334"/>
      <c r="W514" s="334"/>
      <c r="X514" s="334"/>
      <c r="Y514" s="334"/>
      <c r="Z514" s="334"/>
      <c r="AA514" s="334"/>
      <c r="AB514" s="334"/>
      <c r="AC514" s="334"/>
      <c r="AD514" s="334"/>
    </row>
    <row r="515" ht="16.5" customHeight="1">
      <c r="A515" s="334"/>
      <c r="B515" s="329"/>
      <c r="C515" s="329" t="s">
        <v>585</v>
      </c>
      <c r="D515" s="331" t="s">
        <v>585</v>
      </c>
      <c r="E515" s="331" t="s">
        <v>585</v>
      </c>
      <c r="F515" s="331" t="s">
        <v>585</v>
      </c>
      <c r="G515" s="331">
        <f>iferror(sumifs('Hợp tác'!G:G,'Hợp tác'!A:A,B515,'Hợp tác'!H:H,$G$2,'Hợp tác'!I:I,$I$2),"")</f>
        <v>0</v>
      </c>
      <c r="H515" s="332">
        <f>SUMIFS(View!J:J,View!B:B,B515)</f>
        <v>0</v>
      </c>
      <c r="I515" s="332">
        <f>sumifs('Hoa Hồng'!L:L,'Hoa Hồng'!A:A,B515)</f>
        <v>0</v>
      </c>
      <c r="J515" s="332">
        <v>0.0</v>
      </c>
      <c r="K515" s="333" t="s">
        <v>1211</v>
      </c>
      <c r="L515" s="334"/>
      <c r="M515" s="334"/>
      <c r="N515" s="334"/>
      <c r="O515" s="334"/>
      <c r="P515" s="334"/>
      <c r="Q515" s="334"/>
      <c r="R515" s="334"/>
      <c r="S515" s="334"/>
      <c r="T515" s="334"/>
      <c r="U515" s="334"/>
      <c r="V515" s="334"/>
      <c r="W515" s="334"/>
      <c r="X515" s="334"/>
      <c r="Y515" s="334"/>
      <c r="Z515" s="334"/>
      <c r="AA515" s="334"/>
      <c r="AB515" s="334"/>
      <c r="AC515" s="334"/>
      <c r="AD515" s="334"/>
    </row>
    <row r="516" ht="16.5" customHeight="1">
      <c r="A516" s="334"/>
      <c r="B516" s="329"/>
      <c r="C516" s="329" t="s">
        <v>585</v>
      </c>
      <c r="D516" s="331" t="s">
        <v>585</v>
      </c>
      <c r="E516" s="331" t="s">
        <v>585</v>
      </c>
      <c r="F516" s="331" t="s">
        <v>585</v>
      </c>
      <c r="G516" s="331">
        <f>iferror(sumifs('Hợp tác'!G:G,'Hợp tác'!A:A,B516,'Hợp tác'!H:H,$G$2,'Hợp tác'!I:I,$I$2),"")</f>
        <v>0</v>
      </c>
      <c r="H516" s="332">
        <f>SUMIFS(View!J:J,View!B:B,B516)</f>
        <v>0</v>
      </c>
      <c r="I516" s="332">
        <f>sumifs('Hoa Hồng'!L:L,'Hoa Hồng'!A:A,B516)</f>
        <v>0</v>
      </c>
      <c r="J516" s="332">
        <v>0.0</v>
      </c>
      <c r="K516" s="333" t="s">
        <v>1211</v>
      </c>
      <c r="L516" s="334"/>
      <c r="M516" s="334"/>
      <c r="N516" s="334"/>
      <c r="O516" s="334"/>
      <c r="P516" s="334"/>
      <c r="Q516" s="334"/>
      <c r="R516" s="334"/>
      <c r="S516" s="334"/>
      <c r="T516" s="334"/>
      <c r="U516" s="334"/>
      <c r="V516" s="334"/>
      <c r="W516" s="334"/>
      <c r="X516" s="334"/>
      <c r="Y516" s="334"/>
      <c r="Z516" s="334"/>
      <c r="AA516" s="334"/>
      <c r="AB516" s="334"/>
      <c r="AC516" s="334"/>
      <c r="AD516" s="334"/>
    </row>
    <row r="517" ht="16.5" customHeight="1">
      <c r="A517" s="334"/>
      <c r="B517" s="329"/>
      <c r="C517" s="329" t="s">
        <v>585</v>
      </c>
      <c r="D517" s="331" t="s">
        <v>585</v>
      </c>
      <c r="E517" s="331" t="s">
        <v>585</v>
      </c>
      <c r="F517" s="331" t="s">
        <v>585</v>
      </c>
      <c r="G517" s="331">
        <f>iferror(sumifs('Hợp tác'!G:G,'Hợp tác'!A:A,B517,'Hợp tác'!H:H,$G$2,'Hợp tác'!I:I,$I$2),"")</f>
        <v>0</v>
      </c>
      <c r="H517" s="332">
        <f>SUMIFS(View!J:J,View!B:B,B517)</f>
        <v>0</v>
      </c>
      <c r="I517" s="332">
        <f>sumifs('Hoa Hồng'!L:L,'Hoa Hồng'!A:A,B517)</f>
        <v>0</v>
      </c>
      <c r="J517" s="332">
        <v>0.0</v>
      </c>
      <c r="K517" s="333" t="s">
        <v>1211</v>
      </c>
      <c r="L517" s="334"/>
      <c r="M517" s="334"/>
      <c r="N517" s="334"/>
      <c r="O517" s="334"/>
      <c r="P517" s="334"/>
      <c r="Q517" s="334"/>
      <c r="R517" s="334"/>
      <c r="S517" s="334"/>
      <c r="T517" s="334"/>
      <c r="U517" s="334"/>
      <c r="V517" s="334"/>
      <c r="W517" s="334"/>
      <c r="X517" s="334"/>
      <c r="Y517" s="334"/>
      <c r="Z517" s="334"/>
      <c r="AA517" s="334"/>
      <c r="AB517" s="334"/>
      <c r="AC517" s="334"/>
      <c r="AD517" s="334"/>
    </row>
    <row r="518" ht="16.5" customHeight="1">
      <c r="A518" s="334"/>
      <c r="B518" s="329"/>
      <c r="C518" s="329" t="s">
        <v>585</v>
      </c>
      <c r="D518" s="331" t="s">
        <v>585</v>
      </c>
      <c r="E518" s="331" t="s">
        <v>585</v>
      </c>
      <c r="F518" s="331" t="s">
        <v>585</v>
      </c>
      <c r="G518" s="331">
        <f>iferror(sumifs('Hợp tác'!G:G,'Hợp tác'!A:A,B518,'Hợp tác'!H:H,$G$2,'Hợp tác'!I:I,$I$2),"")</f>
        <v>0</v>
      </c>
      <c r="H518" s="332">
        <f>SUMIFS(View!J:J,View!B:B,B518)</f>
        <v>0</v>
      </c>
      <c r="I518" s="332">
        <f>sumifs('Hoa Hồng'!L:L,'Hoa Hồng'!A:A,B518)</f>
        <v>0</v>
      </c>
      <c r="J518" s="332">
        <v>0.0</v>
      </c>
      <c r="K518" s="333" t="s">
        <v>1211</v>
      </c>
      <c r="L518" s="334"/>
      <c r="M518" s="334"/>
      <c r="N518" s="334"/>
      <c r="O518" s="334"/>
      <c r="P518" s="334"/>
      <c r="Q518" s="334"/>
      <c r="R518" s="334"/>
      <c r="S518" s="334"/>
      <c r="T518" s="334"/>
      <c r="U518" s="334"/>
      <c r="V518" s="334"/>
      <c r="W518" s="334"/>
      <c r="X518" s="334"/>
      <c r="Y518" s="334"/>
      <c r="Z518" s="334"/>
      <c r="AA518" s="334"/>
      <c r="AB518" s="334"/>
      <c r="AC518" s="334"/>
      <c r="AD518" s="334"/>
    </row>
    <row r="519" ht="16.5" customHeight="1">
      <c r="A519" s="334"/>
      <c r="B519" s="329"/>
      <c r="C519" s="329" t="s">
        <v>585</v>
      </c>
      <c r="D519" s="331" t="s">
        <v>585</v>
      </c>
      <c r="E519" s="331" t="s">
        <v>585</v>
      </c>
      <c r="F519" s="331" t="s">
        <v>585</v>
      </c>
      <c r="G519" s="331">
        <f>iferror(sumifs('Hợp tác'!G:G,'Hợp tác'!A:A,B519,'Hợp tác'!H:H,$G$2,'Hợp tác'!I:I,$I$2),"")</f>
        <v>0</v>
      </c>
      <c r="H519" s="332">
        <f>SUMIFS(View!J:J,View!B:B,B519)</f>
        <v>0</v>
      </c>
      <c r="I519" s="332">
        <f>sumifs('Hoa Hồng'!L:L,'Hoa Hồng'!A:A,B519)</f>
        <v>0</v>
      </c>
      <c r="J519" s="332">
        <v>0.0</v>
      </c>
      <c r="K519" s="333" t="s">
        <v>1211</v>
      </c>
      <c r="L519" s="334"/>
      <c r="M519" s="334"/>
      <c r="N519" s="334"/>
      <c r="O519" s="334"/>
      <c r="P519" s="334"/>
      <c r="Q519" s="334"/>
      <c r="R519" s="334"/>
      <c r="S519" s="334"/>
      <c r="T519" s="334"/>
      <c r="U519" s="334"/>
      <c r="V519" s="334"/>
      <c r="W519" s="334"/>
      <c r="X519" s="334"/>
      <c r="Y519" s="334"/>
      <c r="Z519" s="334"/>
      <c r="AA519" s="334"/>
      <c r="AB519" s="334"/>
      <c r="AC519" s="334"/>
      <c r="AD519" s="334"/>
    </row>
    <row r="520" ht="16.5" customHeight="1">
      <c r="A520" s="334"/>
      <c r="B520" s="329"/>
      <c r="C520" s="329" t="s">
        <v>585</v>
      </c>
      <c r="D520" s="331" t="s">
        <v>585</v>
      </c>
      <c r="E520" s="331" t="s">
        <v>585</v>
      </c>
      <c r="F520" s="331" t="s">
        <v>585</v>
      </c>
      <c r="G520" s="331">
        <f>iferror(sumifs('Hợp tác'!G:G,'Hợp tác'!A:A,B520,'Hợp tác'!H:H,$G$2,'Hợp tác'!I:I,$I$2),"")</f>
        <v>0</v>
      </c>
      <c r="H520" s="332">
        <f>SUMIFS(View!J:J,View!B:B,B520)</f>
        <v>0</v>
      </c>
      <c r="I520" s="332">
        <f>sumifs('Hoa Hồng'!L:L,'Hoa Hồng'!A:A,B520)</f>
        <v>0</v>
      </c>
      <c r="J520" s="332">
        <v>0.0</v>
      </c>
      <c r="K520" s="333" t="s">
        <v>1211</v>
      </c>
      <c r="L520" s="334"/>
      <c r="M520" s="334"/>
      <c r="N520" s="334"/>
      <c r="O520" s="334"/>
      <c r="P520" s="334"/>
      <c r="Q520" s="334"/>
      <c r="R520" s="334"/>
      <c r="S520" s="334"/>
      <c r="T520" s="334"/>
      <c r="U520" s="334"/>
      <c r="V520" s="334"/>
      <c r="W520" s="334"/>
      <c r="X520" s="334"/>
      <c r="Y520" s="334"/>
      <c r="Z520" s="334"/>
      <c r="AA520" s="334"/>
      <c r="AB520" s="334"/>
      <c r="AC520" s="334"/>
      <c r="AD520" s="334"/>
    </row>
    <row r="521" ht="16.5" customHeight="1">
      <c r="A521" s="334"/>
      <c r="B521" s="329"/>
      <c r="C521" s="329" t="s">
        <v>585</v>
      </c>
      <c r="D521" s="331" t="s">
        <v>585</v>
      </c>
      <c r="E521" s="331" t="s">
        <v>585</v>
      </c>
      <c r="F521" s="331" t="s">
        <v>585</v>
      </c>
      <c r="G521" s="331">
        <f>iferror(sumifs('Hợp tác'!G:G,'Hợp tác'!A:A,B521,'Hợp tác'!H:H,$G$2,'Hợp tác'!I:I,$I$2),"")</f>
        <v>0</v>
      </c>
      <c r="H521" s="332">
        <f>SUMIFS(View!J:J,View!B:B,B521)</f>
        <v>0</v>
      </c>
      <c r="I521" s="332">
        <f>sumifs('Hoa Hồng'!L:L,'Hoa Hồng'!A:A,B521)</f>
        <v>0</v>
      </c>
      <c r="J521" s="332">
        <v>0.0</v>
      </c>
      <c r="K521" s="333" t="s">
        <v>1211</v>
      </c>
      <c r="L521" s="334"/>
      <c r="M521" s="334"/>
      <c r="N521" s="334"/>
      <c r="O521" s="334"/>
      <c r="P521" s="334"/>
      <c r="Q521" s="334"/>
      <c r="R521" s="334"/>
      <c r="S521" s="334"/>
      <c r="T521" s="334"/>
      <c r="U521" s="334"/>
      <c r="V521" s="334"/>
      <c r="W521" s="334"/>
      <c r="X521" s="334"/>
      <c r="Y521" s="334"/>
      <c r="Z521" s="334"/>
      <c r="AA521" s="334"/>
      <c r="AB521" s="334"/>
      <c r="AC521" s="334"/>
      <c r="AD521" s="334"/>
    </row>
    <row r="522" ht="16.5" customHeight="1">
      <c r="A522" s="334"/>
      <c r="B522" s="329"/>
      <c r="C522" s="329" t="s">
        <v>585</v>
      </c>
      <c r="D522" s="331" t="s">
        <v>585</v>
      </c>
      <c r="E522" s="331" t="s">
        <v>585</v>
      </c>
      <c r="F522" s="331" t="s">
        <v>585</v>
      </c>
      <c r="G522" s="331">
        <f>iferror(sumifs('Hợp tác'!G:G,'Hợp tác'!A:A,B522,'Hợp tác'!H:H,$G$2,'Hợp tác'!I:I,$I$2),"")</f>
        <v>0</v>
      </c>
      <c r="H522" s="332">
        <f>SUMIFS(View!J:J,View!B:B,B522)</f>
        <v>0</v>
      </c>
      <c r="I522" s="332">
        <f>sumifs('Hoa Hồng'!L:L,'Hoa Hồng'!A:A,B522)</f>
        <v>0</v>
      </c>
      <c r="J522" s="332">
        <v>0.0</v>
      </c>
      <c r="K522" s="333" t="s">
        <v>1211</v>
      </c>
      <c r="L522" s="334"/>
      <c r="M522" s="334"/>
      <c r="N522" s="334"/>
      <c r="O522" s="334"/>
      <c r="P522" s="334"/>
      <c r="Q522" s="334"/>
      <c r="R522" s="334"/>
      <c r="S522" s="334"/>
      <c r="T522" s="334"/>
      <c r="U522" s="334"/>
      <c r="V522" s="334"/>
      <c r="W522" s="334"/>
      <c r="X522" s="334"/>
      <c r="Y522" s="334"/>
      <c r="Z522" s="334"/>
      <c r="AA522" s="334"/>
      <c r="AB522" s="334"/>
      <c r="AC522" s="334"/>
      <c r="AD522" s="334"/>
    </row>
    <row r="523" ht="16.5" customHeight="1">
      <c r="A523" s="334"/>
      <c r="B523" s="329"/>
      <c r="C523" s="329" t="s">
        <v>585</v>
      </c>
      <c r="D523" s="331" t="s">
        <v>585</v>
      </c>
      <c r="E523" s="331" t="s">
        <v>585</v>
      </c>
      <c r="F523" s="331" t="s">
        <v>585</v>
      </c>
      <c r="G523" s="331">
        <f>iferror(sumifs('Hợp tác'!G:G,'Hợp tác'!A:A,B523,'Hợp tác'!H:H,$G$2,'Hợp tác'!I:I,$I$2),"")</f>
        <v>0</v>
      </c>
      <c r="H523" s="332">
        <f>SUMIFS(View!J:J,View!B:B,B523)</f>
        <v>0</v>
      </c>
      <c r="I523" s="332">
        <f>sumifs('Hoa Hồng'!L:L,'Hoa Hồng'!A:A,B523)</f>
        <v>0</v>
      </c>
      <c r="J523" s="332">
        <v>0.0</v>
      </c>
      <c r="K523" s="333" t="s">
        <v>1211</v>
      </c>
      <c r="L523" s="334"/>
      <c r="M523" s="334"/>
      <c r="N523" s="334"/>
      <c r="O523" s="334"/>
      <c r="P523" s="334"/>
      <c r="Q523" s="334"/>
      <c r="R523" s="334"/>
      <c r="S523" s="334"/>
      <c r="T523" s="334"/>
      <c r="U523" s="334"/>
      <c r="V523" s="334"/>
      <c r="W523" s="334"/>
      <c r="X523" s="334"/>
      <c r="Y523" s="334"/>
      <c r="Z523" s="334"/>
      <c r="AA523" s="334"/>
      <c r="AB523" s="334"/>
      <c r="AC523" s="334"/>
      <c r="AD523" s="334"/>
    </row>
    <row r="524" ht="16.5" customHeight="1">
      <c r="A524" s="334"/>
      <c r="B524" s="329"/>
      <c r="C524" s="329" t="s">
        <v>585</v>
      </c>
      <c r="D524" s="331" t="s">
        <v>585</v>
      </c>
      <c r="E524" s="331" t="s">
        <v>585</v>
      </c>
      <c r="F524" s="331" t="s">
        <v>585</v>
      </c>
      <c r="G524" s="331">
        <f>iferror(sumifs('Hợp tác'!G:G,'Hợp tác'!A:A,B524,'Hợp tác'!H:H,$G$2,'Hợp tác'!I:I,$I$2),"")</f>
        <v>0</v>
      </c>
      <c r="H524" s="332">
        <f>SUMIFS(View!J:J,View!B:B,B524)</f>
        <v>0</v>
      </c>
      <c r="I524" s="332">
        <f>sumifs('Hoa Hồng'!L:L,'Hoa Hồng'!A:A,B524)</f>
        <v>0</v>
      </c>
      <c r="J524" s="332">
        <v>0.0</v>
      </c>
      <c r="K524" s="333" t="s">
        <v>1211</v>
      </c>
      <c r="L524" s="334"/>
      <c r="M524" s="334"/>
      <c r="N524" s="334"/>
      <c r="O524" s="334"/>
      <c r="P524" s="334"/>
      <c r="Q524" s="334"/>
      <c r="R524" s="334"/>
      <c r="S524" s="334"/>
      <c r="T524" s="334"/>
      <c r="U524" s="334"/>
      <c r="V524" s="334"/>
      <c r="W524" s="334"/>
      <c r="X524" s="334"/>
      <c r="Y524" s="334"/>
      <c r="Z524" s="334"/>
      <c r="AA524" s="334"/>
      <c r="AB524" s="334"/>
      <c r="AC524" s="334"/>
      <c r="AD524" s="334"/>
    </row>
    <row r="525" ht="16.5" customHeight="1">
      <c r="A525" s="334"/>
      <c r="B525" s="329"/>
      <c r="C525" s="329" t="s">
        <v>585</v>
      </c>
      <c r="D525" s="331" t="s">
        <v>585</v>
      </c>
      <c r="E525" s="331" t="s">
        <v>585</v>
      </c>
      <c r="F525" s="331" t="s">
        <v>585</v>
      </c>
      <c r="G525" s="331">
        <f>iferror(sumifs('Hợp tác'!G:G,'Hợp tác'!A:A,B525,'Hợp tác'!H:H,$G$2,'Hợp tác'!I:I,$I$2),"")</f>
        <v>0</v>
      </c>
      <c r="H525" s="332">
        <f>SUMIFS(View!J:J,View!B:B,B525)</f>
        <v>0</v>
      </c>
      <c r="I525" s="332">
        <f>sumifs('Hoa Hồng'!L:L,'Hoa Hồng'!A:A,B525)</f>
        <v>0</v>
      </c>
      <c r="J525" s="332">
        <v>0.0</v>
      </c>
      <c r="K525" s="333" t="s">
        <v>1211</v>
      </c>
      <c r="L525" s="334"/>
      <c r="M525" s="334"/>
      <c r="N525" s="334"/>
      <c r="O525" s="334"/>
      <c r="P525" s="334"/>
      <c r="Q525" s="334"/>
      <c r="R525" s="334"/>
      <c r="S525" s="334"/>
      <c r="T525" s="334"/>
      <c r="U525" s="334"/>
      <c r="V525" s="334"/>
      <c r="W525" s="334"/>
      <c r="X525" s="334"/>
      <c r="Y525" s="334"/>
      <c r="Z525" s="334"/>
      <c r="AA525" s="334"/>
      <c r="AB525" s="334"/>
      <c r="AC525" s="334"/>
      <c r="AD525" s="334"/>
    </row>
    <row r="526" ht="16.5" customHeight="1">
      <c r="A526" s="334"/>
      <c r="B526" s="329"/>
      <c r="C526" s="329" t="s">
        <v>585</v>
      </c>
      <c r="D526" s="331" t="s">
        <v>585</v>
      </c>
      <c r="E526" s="331" t="s">
        <v>585</v>
      </c>
      <c r="F526" s="331" t="s">
        <v>585</v>
      </c>
      <c r="G526" s="331">
        <f>iferror(sumifs('Hợp tác'!G:G,'Hợp tác'!A:A,B526,'Hợp tác'!H:H,$G$2,'Hợp tác'!I:I,$I$2),"")</f>
        <v>0</v>
      </c>
      <c r="H526" s="332">
        <f>SUMIFS(View!J:J,View!B:B,B526)</f>
        <v>0</v>
      </c>
      <c r="I526" s="332">
        <f>sumifs('Hoa Hồng'!L:L,'Hoa Hồng'!A:A,B526)</f>
        <v>0</v>
      </c>
      <c r="J526" s="332">
        <v>0.0</v>
      </c>
      <c r="K526" s="333" t="s">
        <v>1211</v>
      </c>
      <c r="L526" s="334"/>
      <c r="M526" s="334"/>
      <c r="N526" s="334"/>
      <c r="O526" s="334"/>
      <c r="P526" s="334"/>
      <c r="Q526" s="334"/>
      <c r="R526" s="334"/>
      <c r="S526" s="334"/>
      <c r="T526" s="334"/>
      <c r="U526" s="334"/>
      <c r="V526" s="334"/>
      <c r="W526" s="334"/>
      <c r="X526" s="334"/>
      <c r="Y526" s="334"/>
      <c r="Z526" s="334"/>
      <c r="AA526" s="334"/>
      <c r="AB526" s="334"/>
      <c r="AC526" s="334"/>
      <c r="AD526" s="334"/>
    </row>
    <row r="527" ht="16.5" customHeight="1">
      <c r="A527" s="334"/>
      <c r="B527" s="329"/>
      <c r="C527" s="329" t="s">
        <v>585</v>
      </c>
      <c r="D527" s="331" t="s">
        <v>585</v>
      </c>
      <c r="E527" s="331" t="s">
        <v>585</v>
      </c>
      <c r="F527" s="331" t="s">
        <v>585</v>
      </c>
      <c r="G527" s="331">
        <f>iferror(sumifs('Hợp tác'!G:G,'Hợp tác'!A:A,B527,'Hợp tác'!H:H,$G$2,'Hợp tác'!I:I,$I$2),"")</f>
        <v>0</v>
      </c>
      <c r="H527" s="332">
        <f>SUMIFS(View!J:J,View!B:B,B527)</f>
        <v>0</v>
      </c>
      <c r="I527" s="332">
        <f>sumifs('Hoa Hồng'!L:L,'Hoa Hồng'!A:A,B527)</f>
        <v>0</v>
      </c>
      <c r="J527" s="332">
        <v>0.0</v>
      </c>
      <c r="K527" s="333" t="s">
        <v>1211</v>
      </c>
      <c r="L527" s="334"/>
      <c r="M527" s="334"/>
      <c r="N527" s="334"/>
      <c r="O527" s="334"/>
      <c r="P527" s="334"/>
      <c r="Q527" s="334"/>
      <c r="R527" s="334"/>
      <c r="S527" s="334"/>
      <c r="T527" s="334"/>
      <c r="U527" s="334"/>
      <c r="V527" s="334"/>
      <c r="W527" s="334"/>
      <c r="X527" s="334"/>
      <c r="Y527" s="334"/>
      <c r="Z527" s="334"/>
      <c r="AA527" s="334"/>
      <c r="AB527" s="334"/>
      <c r="AC527" s="334"/>
      <c r="AD527" s="334"/>
    </row>
    <row r="528" ht="16.5" customHeight="1">
      <c r="A528" s="334"/>
      <c r="B528" s="329"/>
      <c r="C528" s="329" t="s">
        <v>585</v>
      </c>
      <c r="D528" s="331" t="s">
        <v>585</v>
      </c>
      <c r="E528" s="331" t="s">
        <v>585</v>
      </c>
      <c r="F528" s="331" t="s">
        <v>585</v>
      </c>
      <c r="G528" s="331">
        <f>iferror(sumifs('Hợp tác'!G:G,'Hợp tác'!A:A,B528,'Hợp tác'!H:H,$G$2,'Hợp tác'!I:I,$I$2),"")</f>
        <v>0</v>
      </c>
      <c r="H528" s="332">
        <f>SUMIFS(View!J:J,View!B:B,B528)</f>
        <v>0</v>
      </c>
      <c r="I528" s="332">
        <f>sumifs('Hoa Hồng'!L:L,'Hoa Hồng'!A:A,B528)</f>
        <v>0</v>
      </c>
      <c r="J528" s="332">
        <v>0.0</v>
      </c>
      <c r="K528" s="333" t="s">
        <v>1211</v>
      </c>
      <c r="L528" s="334"/>
      <c r="M528" s="334"/>
      <c r="N528" s="334"/>
      <c r="O528" s="334"/>
      <c r="P528" s="334"/>
      <c r="Q528" s="334"/>
      <c r="R528" s="334"/>
      <c r="S528" s="334"/>
      <c r="T528" s="334"/>
      <c r="U528" s="334"/>
      <c r="V528" s="334"/>
      <c r="W528" s="334"/>
      <c r="X528" s="334"/>
      <c r="Y528" s="334"/>
      <c r="Z528" s="334"/>
      <c r="AA528" s="334"/>
      <c r="AB528" s="334"/>
      <c r="AC528" s="334"/>
      <c r="AD528" s="334"/>
    </row>
    <row r="529" ht="16.5" customHeight="1">
      <c r="A529" s="334"/>
      <c r="B529" s="329"/>
      <c r="C529" s="329" t="s">
        <v>585</v>
      </c>
      <c r="D529" s="331" t="s">
        <v>585</v>
      </c>
      <c r="E529" s="331" t="s">
        <v>585</v>
      </c>
      <c r="F529" s="331" t="s">
        <v>585</v>
      </c>
      <c r="G529" s="331">
        <f>iferror(sumifs('Hợp tác'!G:G,'Hợp tác'!A:A,B529,'Hợp tác'!H:H,$G$2,'Hợp tác'!I:I,$I$2),"")</f>
        <v>0</v>
      </c>
      <c r="H529" s="332">
        <f>SUMIFS(View!J:J,View!B:B,B529)</f>
        <v>0</v>
      </c>
      <c r="I529" s="332">
        <f>sumifs('Hoa Hồng'!L:L,'Hoa Hồng'!A:A,B529)</f>
        <v>0</v>
      </c>
      <c r="J529" s="332">
        <v>0.0</v>
      </c>
      <c r="K529" s="333" t="s">
        <v>1211</v>
      </c>
      <c r="L529" s="334"/>
      <c r="M529" s="334"/>
      <c r="N529" s="334"/>
      <c r="O529" s="334"/>
      <c r="P529" s="334"/>
      <c r="Q529" s="334"/>
      <c r="R529" s="334"/>
      <c r="S529" s="334"/>
      <c r="T529" s="334"/>
      <c r="U529" s="334"/>
      <c r="V529" s="334"/>
      <c r="W529" s="334"/>
      <c r="X529" s="334"/>
      <c r="Y529" s="334"/>
      <c r="Z529" s="334"/>
      <c r="AA529" s="334"/>
      <c r="AB529" s="334"/>
      <c r="AC529" s="334"/>
      <c r="AD529" s="334"/>
    </row>
    <row r="530" ht="16.5" customHeight="1">
      <c r="A530" s="334"/>
      <c r="B530" s="329"/>
      <c r="C530" s="329" t="s">
        <v>585</v>
      </c>
      <c r="D530" s="331" t="s">
        <v>585</v>
      </c>
      <c r="E530" s="331" t="s">
        <v>585</v>
      </c>
      <c r="F530" s="331" t="s">
        <v>585</v>
      </c>
      <c r="G530" s="331">
        <f>iferror(sumifs('Hợp tác'!G:G,'Hợp tác'!A:A,B530,'Hợp tác'!H:H,$G$2,'Hợp tác'!I:I,$I$2),"")</f>
        <v>0</v>
      </c>
      <c r="H530" s="332">
        <f>SUMIFS(View!J:J,View!B:B,B530)</f>
        <v>0</v>
      </c>
      <c r="I530" s="332">
        <f>sumifs('Hoa Hồng'!L:L,'Hoa Hồng'!A:A,B530)</f>
        <v>0</v>
      </c>
      <c r="J530" s="332">
        <v>0.0</v>
      </c>
      <c r="K530" s="333" t="s">
        <v>1211</v>
      </c>
      <c r="L530" s="334"/>
      <c r="M530" s="334"/>
      <c r="N530" s="334"/>
      <c r="O530" s="334"/>
      <c r="P530" s="334"/>
      <c r="Q530" s="334"/>
      <c r="R530" s="334"/>
      <c r="S530" s="334"/>
      <c r="T530" s="334"/>
      <c r="U530" s="334"/>
      <c r="V530" s="334"/>
      <c r="W530" s="334"/>
      <c r="X530" s="334"/>
      <c r="Y530" s="334"/>
      <c r="Z530" s="334"/>
      <c r="AA530" s="334"/>
      <c r="AB530" s="334"/>
      <c r="AC530" s="334"/>
      <c r="AD530" s="334"/>
    </row>
    <row r="531" ht="16.5" customHeight="1">
      <c r="A531" s="334"/>
      <c r="B531" s="329"/>
      <c r="C531" s="329" t="s">
        <v>585</v>
      </c>
      <c r="D531" s="331" t="s">
        <v>585</v>
      </c>
      <c r="E531" s="331" t="s">
        <v>585</v>
      </c>
      <c r="F531" s="331" t="s">
        <v>585</v>
      </c>
      <c r="G531" s="331">
        <f>iferror(sumifs('Hợp tác'!G:G,'Hợp tác'!A:A,B531,'Hợp tác'!H:H,$G$2,'Hợp tác'!I:I,$I$2),"")</f>
        <v>0</v>
      </c>
      <c r="H531" s="332">
        <f>SUMIFS(View!J:J,View!B:B,B531)</f>
        <v>0</v>
      </c>
      <c r="I531" s="332">
        <f>sumifs('Hoa Hồng'!L:L,'Hoa Hồng'!A:A,B531)</f>
        <v>0</v>
      </c>
      <c r="J531" s="332">
        <v>0.0</v>
      </c>
      <c r="K531" s="333" t="s">
        <v>1211</v>
      </c>
      <c r="L531" s="334"/>
      <c r="M531" s="334"/>
      <c r="N531" s="334"/>
      <c r="O531" s="334"/>
      <c r="P531" s="334"/>
      <c r="Q531" s="334"/>
      <c r="R531" s="334"/>
      <c r="S531" s="334"/>
      <c r="T531" s="334"/>
      <c r="U531" s="334"/>
      <c r="V531" s="334"/>
      <c r="W531" s="334"/>
      <c r="X531" s="334"/>
      <c r="Y531" s="334"/>
      <c r="Z531" s="334"/>
      <c r="AA531" s="334"/>
      <c r="AB531" s="334"/>
      <c r="AC531" s="334"/>
      <c r="AD531" s="334"/>
    </row>
    <row r="532" ht="16.5" customHeight="1">
      <c r="A532" s="334"/>
      <c r="B532" s="329"/>
      <c r="C532" s="329" t="s">
        <v>585</v>
      </c>
      <c r="D532" s="331" t="s">
        <v>585</v>
      </c>
      <c r="E532" s="331" t="s">
        <v>585</v>
      </c>
      <c r="F532" s="331" t="s">
        <v>585</v>
      </c>
      <c r="G532" s="331">
        <f>iferror(sumifs('Hợp tác'!G:G,'Hợp tác'!A:A,B532,'Hợp tác'!H:H,$G$2,'Hợp tác'!I:I,$I$2),"")</f>
        <v>0</v>
      </c>
      <c r="H532" s="332">
        <f>SUMIFS(View!J:J,View!B:B,B532)</f>
        <v>0</v>
      </c>
      <c r="I532" s="332">
        <f>sumifs('Hoa Hồng'!L:L,'Hoa Hồng'!A:A,B532)</f>
        <v>0</v>
      </c>
      <c r="J532" s="332">
        <v>0.0</v>
      </c>
      <c r="K532" s="333" t="s">
        <v>1211</v>
      </c>
      <c r="L532" s="334"/>
      <c r="M532" s="334"/>
      <c r="N532" s="334"/>
      <c r="O532" s="334"/>
      <c r="P532" s="334"/>
      <c r="Q532" s="334"/>
      <c r="R532" s="334"/>
      <c r="S532" s="334"/>
      <c r="T532" s="334"/>
      <c r="U532" s="334"/>
      <c r="V532" s="334"/>
      <c r="W532" s="334"/>
      <c r="X532" s="334"/>
      <c r="Y532" s="334"/>
      <c r="Z532" s="334"/>
      <c r="AA532" s="334"/>
      <c r="AB532" s="334"/>
      <c r="AC532" s="334"/>
      <c r="AD532" s="334"/>
    </row>
    <row r="533" ht="16.5" customHeight="1">
      <c r="A533" s="334"/>
      <c r="B533" s="329"/>
      <c r="C533" s="329" t="s">
        <v>585</v>
      </c>
      <c r="D533" s="331" t="s">
        <v>585</v>
      </c>
      <c r="E533" s="331" t="s">
        <v>585</v>
      </c>
      <c r="F533" s="331" t="s">
        <v>585</v>
      </c>
      <c r="G533" s="331">
        <f>iferror(sumifs('Hợp tác'!G:G,'Hợp tác'!A:A,B533,'Hợp tác'!H:H,$G$2,'Hợp tác'!I:I,$I$2),"")</f>
        <v>0</v>
      </c>
      <c r="H533" s="332">
        <f>SUMIFS(View!J:J,View!B:B,B533)</f>
        <v>0</v>
      </c>
      <c r="I533" s="332">
        <f>sumifs('Hoa Hồng'!L:L,'Hoa Hồng'!A:A,B533)</f>
        <v>0</v>
      </c>
      <c r="J533" s="332">
        <v>0.0</v>
      </c>
      <c r="K533" s="333" t="s">
        <v>1211</v>
      </c>
      <c r="L533" s="334"/>
      <c r="M533" s="334"/>
      <c r="N533" s="334"/>
      <c r="O533" s="334"/>
      <c r="P533" s="334"/>
      <c r="Q533" s="334"/>
      <c r="R533" s="334"/>
      <c r="S533" s="334"/>
      <c r="T533" s="334"/>
      <c r="U533" s="334"/>
      <c r="V533" s="334"/>
      <c r="W533" s="334"/>
      <c r="X533" s="334"/>
      <c r="Y533" s="334"/>
      <c r="Z533" s="334"/>
      <c r="AA533" s="334"/>
      <c r="AB533" s="334"/>
      <c r="AC533" s="334"/>
      <c r="AD533" s="334"/>
    </row>
    <row r="534" ht="16.5" customHeight="1">
      <c r="A534" s="334"/>
      <c r="B534" s="329"/>
      <c r="C534" s="329" t="s">
        <v>585</v>
      </c>
      <c r="D534" s="331" t="s">
        <v>585</v>
      </c>
      <c r="E534" s="331" t="s">
        <v>585</v>
      </c>
      <c r="F534" s="331" t="s">
        <v>585</v>
      </c>
      <c r="G534" s="331">
        <f>iferror(sumifs('Hợp tác'!G:G,'Hợp tác'!A:A,B534,'Hợp tác'!H:H,$G$2,'Hợp tác'!I:I,$I$2),"")</f>
        <v>0</v>
      </c>
      <c r="H534" s="332">
        <f>SUMIFS(View!J:J,View!B:B,B534)</f>
        <v>0</v>
      </c>
      <c r="I534" s="332">
        <f>sumifs('Hoa Hồng'!L:L,'Hoa Hồng'!A:A,B534)</f>
        <v>0</v>
      </c>
      <c r="J534" s="332">
        <v>0.0</v>
      </c>
      <c r="K534" s="333" t="s">
        <v>1211</v>
      </c>
      <c r="L534" s="334"/>
      <c r="M534" s="334"/>
      <c r="N534" s="334"/>
      <c r="O534" s="334"/>
      <c r="P534" s="334"/>
      <c r="Q534" s="334"/>
      <c r="R534" s="334"/>
      <c r="S534" s="334"/>
      <c r="T534" s="334"/>
      <c r="U534" s="334"/>
      <c r="V534" s="334"/>
      <c r="W534" s="334"/>
      <c r="X534" s="334"/>
      <c r="Y534" s="334"/>
      <c r="Z534" s="334"/>
      <c r="AA534" s="334"/>
      <c r="AB534" s="334"/>
      <c r="AC534" s="334"/>
      <c r="AD534" s="334"/>
    </row>
    <row r="535" ht="16.5" customHeight="1">
      <c r="A535" s="334"/>
      <c r="B535" s="329"/>
      <c r="C535" s="329" t="s">
        <v>585</v>
      </c>
      <c r="D535" s="331" t="s">
        <v>585</v>
      </c>
      <c r="E535" s="331" t="s">
        <v>585</v>
      </c>
      <c r="F535" s="331" t="s">
        <v>585</v>
      </c>
      <c r="G535" s="331">
        <f>iferror(sumifs('Hợp tác'!G:G,'Hợp tác'!A:A,B535,'Hợp tác'!H:H,$G$2,'Hợp tác'!I:I,$I$2),"")</f>
        <v>0</v>
      </c>
      <c r="H535" s="332">
        <f>SUMIFS(View!J:J,View!B:B,B535)</f>
        <v>0</v>
      </c>
      <c r="I535" s="332">
        <f>sumifs('Hoa Hồng'!L:L,'Hoa Hồng'!A:A,B535)</f>
        <v>0</v>
      </c>
      <c r="J535" s="332">
        <v>0.0</v>
      </c>
      <c r="K535" s="333" t="s">
        <v>1211</v>
      </c>
      <c r="L535" s="334"/>
      <c r="M535" s="334"/>
      <c r="N535" s="334"/>
      <c r="O535" s="334"/>
      <c r="P535" s="334"/>
      <c r="Q535" s="334"/>
      <c r="R535" s="334"/>
      <c r="S535" s="334"/>
      <c r="T535" s="334"/>
      <c r="U535" s="334"/>
      <c r="V535" s="334"/>
      <c r="W535" s="334"/>
      <c r="X535" s="334"/>
      <c r="Y535" s="334"/>
      <c r="Z535" s="334"/>
      <c r="AA535" s="334"/>
      <c r="AB535" s="334"/>
      <c r="AC535" s="334"/>
      <c r="AD535" s="334"/>
    </row>
    <row r="536" ht="16.5" customHeight="1">
      <c r="A536" s="334"/>
      <c r="B536" s="329"/>
      <c r="C536" s="329" t="s">
        <v>585</v>
      </c>
      <c r="D536" s="331" t="s">
        <v>585</v>
      </c>
      <c r="E536" s="331" t="s">
        <v>585</v>
      </c>
      <c r="F536" s="331" t="s">
        <v>585</v>
      </c>
      <c r="G536" s="331">
        <f>iferror(sumifs('Hợp tác'!G:G,'Hợp tác'!A:A,B536,'Hợp tác'!H:H,$G$2,'Hợp tác'!I:I,$I$2),"")</f>
        <v>0</v>
      </c>
      <c r="H536" s="332">
        <f>SUMIFS(View!J:J,View!B:B,B536)</f>
        <v>0</v>
      </c>
      <c r="I536" s="332">
        <f>sumifs('Hoa Hồng'!L:L,'Hoa Hồng'!A:A,B536)</f>
        <v>0</v>
      </c>
      <c r="J536" s="332">
        <v>0.0</v>
      </c>
      <c r="K536" s="333" t="s">
        <v>1211</v>
      </c>
      <c r="L536" s="334"/>
      <c r="M536" s="334"/>
      <c r="N536" s="334"/>
      <c r="O536" s="334"/>
      <c r="P536" s="334"/>
      <c r="Q536" s="334"/>
      <c r="R536" s="334"/>
      <c r="S536" s="334"/>
      <c r="T536" s="334"/>
      <c r="U536" s="334"/>
      <c r="V536" s="334"/>
      <c r="W536" s="334"/>
      <c r="X536" s="334"/>
      <c r="Y536" s="334"/>
      <c r="Z536" s="334"/>
      <c r="AA536" s="334"/>
      <c r="AB536" s="334"/>
      <c r="AC536" s="334"/>
      <c r="AD536" s="334"/>
    </row>
    <row r="537" ht="16.5" customHeight="1">
      <c r="A537" s="334"/>
      <c r="B537" s="329"/>
      <c r="C537" s="329" t="s">
        <v>585</v>
      </c>
      <c r="D537" s="331" t="s">
        <v>585</v>
      </c>
      <c r="E537" s="331" t="s">
        <v>585</v>
      </c>
      <c r="F537" s="331" t="s">
        <v>585</v>
      </c>
      <c r="G537" s="331">
        <f>iferror(sumifs('Hợp tác'!G:G,'Hợp tác'!A:A,B537,'Hợp tác'!H:H,$G$2,'Hợp tác'!I:I,$I$2),"")</f>
        <v>0</v>
      </c>
      <c r="H537" s="332">
        <f>SUMIFS(View!J:J,View!B:B,B537)</f>
        <v>0</v>
      </c>
      <c r="I537" s="332">
        <f>sumifs('Hoa Hồng'!L:L,'Hoa Hồng'!A:A,B537)</f>
        <v>0</v>
      </c>
      <c r="J537" s="332">
        <v>0.0</v>
      </c>
      <c r="K537" s="333" t="s">
        <v>1211</v>
      </c>
      <c r="L537" s="334"/>
      <c r="M537" s="334"/>
      <c r="N537" s="334"/>
      <c r="O537" s="334"/>
      <c r="P537" s="334"/>
      <c r="Q537" s="334"/>
      <c r="R537" s="334"/>
      <c r="S537" s="334"/>
      <c r="T537" s="334"/>
      <c r="U537" s="334"/>
      <c r="V537" s="334"/>
      <c r="W537" s="334"/>
      <c r="X537" s="334"/>
      <c r="Y537" s="334"/>
      <c r="Z537" s="334"/>
      <c r="AA537" s="334"/>
      <c r="AB537" s="334"/>
      <c r="AC537" s="334"/>
      <c r="AD537" s="334"/>
    </row>
    <row r="538" ht="16.5" customHeight="1">
      <c r="A538" s="334"/>
      <c r="B538" s="329"/>
      <c r="C538" s="329" t="s">
        <v>585</v>
      </c>
      <c r="D538" s="331" t="s">
        <v>585</v>
      </c>
      <c r="E538" s="331" t="s">
        <v>585</v>
      </c>
      <c r="F538" s="331" t="s">
        <v>585</v>
      </c>
      <c r="G538" s="331">
        <f>iferror(sumifs('Hợp tác'!G:G,'Hợp tác'!A:A,B538,'Hợp tác'!H:H,$G$2,'Hợp tác'!I:I,$I$2),"")</f>
        <v>0</v>
      </c>
      <c r="H538" s="332">
        <f>SUMIFS(View!J:J,View!B:B,B538)</f>
        <v>0</v>
      </c>
      <c r="I538" s="332">
        <f>sumifs('Hoa Hồng'!L:L,'Hoa Hồng'!A:A,B538)</f>
        <v>0</v>
      </c>
      <c r="J538" s="332">
        <v>0.0</v>
      </c>
      <c r="K538" s="333" t="s">
        <v>1211</v>
      </c>
      <c r="L538" s="334"/>
      <c r="M538" s="334"/>
      <c r="N538" s="334"/>
      <c r="O538" s="334"/>
      <c r="P538" s="334"/>
      <c r="Q538" s="334"/>
      <c r="R538" s="334"/>
      <c r="S538" s="334"/>
      <c r="T538" s="334"/>
      <c r="U538" s="334"/>
      <c r="V538" s="334"/>
      <c r="W538" s="334"/>
      <c r="X538" s="334"/>
      <c r="Y538" s="334"/>
      <c r="Z538" s="334"/>
      <c r="AA538" s="334"/>
      <c r="AB538" s="334"/>
      <c r="AC538" s="334"/>
      <c r="AD538" s="334"/>
    </row>
    <row r="539" ht="16.5" customHeight="1">
      <c r="A539" s="334"/>
      <c r="B539" s="329"/>
      <c r="C539" s="329" t="s">
        <v>585</v>
      </c>
      <c r="D539" s="331" t="s">
        <v>585</v>
      </c>
      <c r="E539" s="331" t="s">
        <v>585</v>
      </c>
      <c r="F539" s="331" t="s">
        <v>585</v>
      </c>
      <c r="G539" s="331">
        <f>iferror(sumifs('Hợp tác'!G:G,'Hợp tác'!A:A,B539,'Hợp tác'!H:H,$G$2,'Hợp tác'!I:I,$I$2),"")</f>
        <v>0</v>
      </c>
      <c r="H539" s="332">
        <f>SUMIFS(View!J:J,View!B:B,B539)</f>
        <v>0</v>
      </c>
      <c r="I539" s="332">
        <f>sumifs('Hoa Hồng'!L:L,'Hoa Hồng'!A:A,B539)</f>
        <v>0</v>
      </c>
      <c r="J539" s="332">
        <v>0.0</v>
      </c>
      <c r="K539" s="333" t="s">
        <v>1211</v>
      </c>
      <c r="L539" s="334"/>
      <c r="M539" s="334"/>
      <c r="N539" s="334"/>
      <c r="O539" s="334"/>
      <c r="P539" s="334"/>
      <c r="Q539" s="334"/>
      <c r="R539" s="334"/>
      <c r="S539" s="334"/>
      <c r="T539" s="334"/>
      <c r="U539" s="334"/>
      <c r="V539" s="334"/>
      <c r="W539" s="334"/>
      <c r="X539" s="334"/>
      <c r="Y539" s="334"/>
      <c r="Z539" s="334"/>
      <c r="AA539" s="334"/>
      <c r="AB539" s="334"/>
      <c r="AC539" s="334"/>
      <c r="AD539" s="334"/>
    </row>
    <row r="540" ht="16.5" customHeight="1">
      <c r="A540" s="334"/>
      <c r="B540" s="329"/>
      <c r="C540" s="329" t="s">
        <v>585</v>
      </c>
      <c r="D540" s="331" t="s">
        <v>585</v>
      </c>
      <c r="E540" s="331" t="s">
        <v>585</v>
      </c>
      <c r="F540" s="331" t="s">
        <v>585</v>
      </c>
      <c r="G540" s="331">
        <f>iferror(sumifs('Hợp tác'!G:G,'Hợp tác'!A:A,B540,'Hợp tác'!H:H,$G$2,'Hợp tác'!I:I,$I$2),"")</f>
        <v>0</v>
      </c>
      <c r="H540" s="332">
        <f>SUMIFS(View!J:J,View!B:B,B540)</f>
        <v>0</v>
      </c>
      <c r="I540" s="332">
        <f>sumifs('Hoa Hồng'!L:L,'Hoa Hồng'!A:A,B540)</f>
        <v>0</v>
      </c>
      <c r="J540" s="332">
        <v>0.0</v>
      </c>
      <c r="K540" s="333" t="s">
        <v>1211</v>
      </c>
      <c r="L540" s="334"/>
      <c r="M540" s="334"/>
      <c r="N540" s="334"/>
      <c r="O540" s="334"/>
      <c r="P540" s="334"/>
      <c r="Q540" s="334"/>
      <c r="R540" s="334"/>
      <c r="S540" s="334"/>
      <c r="T540" s="334"/>
      <c r="U540" s="334"/>
      <c r="V540" s="334"/>
      <c r="W540" s="334"/>
      <c r="X540" s="334"/>
      <c r="Y540" s="334"/>
      <c r="Z540" s="334"/>
      <c r="AA540" s="334"/>
      <c r="AB540" s="334"/>
      <c r="AC540" s="334"/>
      <c r="AD540" s="334"/>
    </row>
    <row r="541" ht="16.5" customHeight="1">
      <c r="A541" s="334"/>
      <c r="B541" s="329"/>
      <c r="C541" s="329" t="s">
        <v>585</v>
      </c>
      <c r="D541" s="331" t="s">
        <v>585</v>
      </c>
      <c r="E541" s="331" t="s">
        <v>585</v>
      </c>
      <c r="F541" s="331" t="s">
        <v>585</v>
      </c>
      <c r="G541" s="331">
        <f>iferror(sumifs('Hợp tác'!G:G,'Hợp tác'!A:A,B541,'Hợp tác'!H:H,$G$2,'Hợp tác'!I:I,$I$2),"")</f>
        <v>0</v>
      </c>
      <c r="H541" s="332">
        <f>SUMIFS(View!J:J,View!B:B,B541)</f>
        <v>0</v>
      </c>
      <c r="I541" s="332">
        <f>sumifs('Hoa Hồng'!L:L,'Hoa Hồng'!A:A,B541)</f>
        <v>0</v>
      </c>
      <c r="J541" s="332">
        <v>0.0</v>
      </c>
      <c r="K541" s="333" t="s">
        <v>1211</v>
      </c>
      <c r="L541" s="334"/>
      <c r="M541" s="334"/>
      <c r="N541" s="334"/>
      <c r="O541" s="334"/>
      <c r="P541" s="334"/>
      <c r="Q541" s="334"/>
      <c r="R541" s="334"/>
      <c r="S541" s="334"/>
      <c r="T541" s="334"/>
      <c r="U541" s="334"/>
      <c r="V541" s="334"/>
      <c r="W541" s="334"/>
      <c r="X541" s="334"/>
      <c r="Y541" s="334"/>
      <c r="Z541" s="334"/>
      <c r="AA541" s="334"/>
      <c r="AB541" s="334"/>
      <c r="AC541" s="334"/>
      <c r="AD541" s="334"/>
    </row>
    <row r="542" ht="16.5" customHeight="1">
      <c r="A542" s="334"/>
      <c r="B542" s="329"/>
      <c r="C542" s="329" t="s">
        <v>585</v>
      </c>
      <c r="D542" s="331" t="s">
        <v>585</v>
      </c>
      <c r="E542" s="331" t="s">
        <v>585</v>
      </c>
      <c r="F542" s="331" t="s">
        <v>585</v>
      </c>
      <c r="G542" s="331">
        <f>iferror(sumifs('Hợp tác'!G:G,'Hợp tác'!A:A,B542,'Hợp tác'!H:H,$G$2,'Hợp tác'!I:I,$I$2),"")</f>
        <v>0</v>
      </c>
      <c r="H542" s="332">
        <f>SUMIFS(View!J:J,View!B:B,B542)</f>
        <v>0</v>
      </c>
      <c r="I542" s="332">
        <f>sumifs('Hoa Hồng'!L:L,'Hoa Hồng'!A:A,B542)</f>
        <v>0</v>
      </c>
      <c r="J542" s="332">
        <v>0.0</v>
      </c>
      <c r="K542" s="333" t="s">
        <v>1211</v>
      </c>
      <c r="L542" s="334"/>
      <c r="M542" s="334"/>
      <c r="N542" s="334"/>
      <c r="O542" s="334"/>
      <c r="P542" s="334"/>
      <c r="Q542" s="334"/>
      <c r="R542" s="334"/>
      <c r="S542" s="334"/>
      <c r="T542" s="334"/>
      <c r="U542" s="334"/>
      <c r="V542" s="334"/>
      <c r="W542" s="334"/>
      <c r="X542" s="334"/>
      <c r="Y542" s="334"/>
      <c r="Z542" s="334"/>
      <c r="AA542" s="334"/>
      <c r="AB542" s="334"/>
      <c r="AC542" s="334"/>
      <c r="AD542" s="334"/>
    </row>
    <row r="543" ht="16.5" customHeight="1">
      <c r="A543" s="334"/>
      <c r="B543" s="329"/>
      <c r="C543" s="329" t="s">
        <v>585</v>
      </c>
      <c r="D543" s="331" t="s">
        <v>585</v>
      </c>
      <c r="E543" s="331" t="s">
        <v>585</v>
      </c>
      <c r="F543" s="331" t="s">
        <v>585</v>
      </c>
      <c r="G543" s="331">
        <f>iferror(sumifs('Hợp tác'!G:G,'Hợp tác'!A:A,B543,'Hợp tác'!H:H,$G$2,'Hợp tác'!I:I,$I$2),"")</f>
        <v>0</v>
      </c>
      <c r="H543" s="332">
        <f>SUMIFS(View!J:J,View!B:B,B543)</f>
        <v>0</v>
      </c>
      <c r="I543" s="332">
        <f>sumifs('Hoa Hồng'!L:L,'Hoa Hồng'!A:A,B543)</f>
        <v>0</v>
      </c>
      <c r="J543" s="332">
        <v>0.0</v>
      </c>
      <c r="K543" s="333" t="s">
        <v>1211</v>
      </c>
      <c r="L543" s="334"/>
      <c r="M543" s="334"/>
      <c r="N543" s="334"/>
      <c r="O543" s="334"/>
      <c r="P543" s="334"/>
      <c r="Q543" s="334"/>
      <c r="R543" s="334"/>
      <c r="S543" s="334"/>
      <c r="T543" s="334"/>
      <c r="U543" s="334"/>
      <c r="V543" s="334"/>
      <c r="W543" s="334"/>
      <c r="X543" s="334"/>
      <c r="Y543" s="334"/>
      <c r="Z543" s="334"/>
      <c r="AA543" s="334"/>
      <c r="AB543" s="334"/>
      <c r="AC543" s="334"/>
      <c r="AD543" s="334"/>
    </row>
    <row r="544" ht="16.5" customHeight="1">
      <c r="A544" s="334"/>
      <c r="B544" s="329"/>
      <c r="C544" s="329" t="s">
        <v>585</v>
      </c>
      <c r="D544" s="331" t="s">
        <v>585</v>
      </c>
      <c r="E544" s="331" t="s">
        <v>585</v>
      </c>
      <c r="F544" s="331" t="s">
        <v>585</v>
      </c>
      <c r="G544" s="331">
        <f>iferror(sumifs('Hợp tác'!G:G,'Hợp tác'!A:A,B544,'Hợp tác'!H:H,$G$2,'Hợp tác'!I:I,$I$2),"")</f>
        <v>0</v>
      </c>
      <c r="H544" s="332">
        <f>SUMIFS(View!J:J,View!B:B,B544)</f>
        <v>0</v>
      </c>
      <c r="I544" s="332">
        <f>sumifs('Hoa Hồng'!L:L,'Hoa Hồng'!A:A,B544)</f>
        <v>0</v>
      </c>
      <c r="J544" s="332">
        <v>0.0</v>
      </c>
      <c r="K544" s="333" t="s">
        <v>1211</v>
      </c>
      <c r="L544" s="334"/>
      <c r="M544" s="334"/>
      <c r="N544" s="334"/>
      <c r="O544" s="334"/>
      <c r="P544" s="334"/>
      <c r="Q544" s="334"/>
      <c r="R544" s="334"/>
      <c r="S544" s="334"/>
      <c r="T544" s="334"/>
      <c r="U544" s="334"/>
      <c r="V544" s="334"/>
      <c r="W544" s="334"/>
      <c r="X544" s="334"/>
      <c r="Y544" s="334"/>
      <c r="Z544" s="334"/>
      <c r="AA544" s="334"/>
      <c r="AB544" s="334"/>
      <c r="AC544" s="334"/>
      <c r="AD544" s="334"/>
    </row>
    <row r="545" ht="16.5" customHeight="1">
      <c r="A545" s="334"/>
      <c r="B545" s="329"/>
      <c r="C545" s="329" t="s">
        <v>585</v>
      </c>
      <c r="D545" s="331" t="s">
        <v>585</v>
      </c>
      <c r="E545" s="331" t="s">
        <v>585</v>
      </c>
      <c r="F545" s="331" t="s">
        <v>585</v>
      </c>
      <c r="G545" s="331">
        <f>iferror(sumifs('Hợp tác'!G:G,'Hợp tác'!A:A,B545,'Hợp tác'!H:H,$G$2,'Hợp tác'!I:I,$I$2),"")</f>
        <v>0</v>
      </c>
      <c r="H545" s="332">
        <f>SUMIFS(View!J:J,View!B:B,B545)</f>
        <v>0</v>
      </c>
      <c r="I545" s="332">
        <f>sumifs('Hoa Hồng'!L:L,'Hoa Hồng'!A:A,B545)</f>
        <v>0</v>
      </c>
      <c r="J545" s="332">
        <v>0.0</v>
      </c>
      <c r="K545" s="333" t="s">
        <v>1211</v>
      </c>
      <c r="L545" s="334"/>
      <c r="M545" s="334"/>
      <c r="N545" s="334"/>
      <c r="O545" s="334"/>
      <c r="P545" s="334"/>
      <c r="Q545" s="334"/>
      <c r="R545" s="334"/>
      <c r="S545" s="334"/>
      <c r="T545" s="334"/>
      <c r="U545" s="334"/>
      <c r="V545" s="334"/>
      <c r="W545" s="334"/>
      <c r="X545" s="334"/>
      <c r="Y545" s="334"/>
      <c r="Z545" s="334"/>
      <c r="AA545" s="334"/>
      <c r="AB545" s="334"/>
      <c r="AC545" s="334"/>
      <c r="AD545" s="334"/>
    </row>
    <row r="546" ht="16.5" customHeight="1">
      <c r="A546" s="334"/>
      <c r="B546" s="329"/>
      <c r="C546" s="329" t="s">
        <v>585</v>
      </c>
      <c r="D546" s="331" t="s">
        <v>585</v>
      </c>
      <c r="E546" s="331" t="s">
        <v>585</v>
      </c>
      <c r="F546" s="331" t="s">
        <v>585</v>
      </c>
      <c r="G546" s="331">
        <f>iferror(sumifs('Hợp tác'!G:G,'Hợp tác'!A:A,B546,'Hợp tác'!H:H,$G$2,'Hợp tác'!I:I,$I$2),"")</f>
        <v>0</v>
      </c>
      <c r="H546" s="332">
        <f>SUMIFS(View!J:J,View!B:B,B546)</f>
        <v>0</v>
      </c>
      <c r="I546" s="332">
        <f>sumifs('Hoa Hồng'!L:L,'Hoa Hồng'!A:A,B546)</f>
        <v>0</v>
      </c>
      <c r="J546" s="332">
        <v>0.0</v>
      </c>
      <c r="K546" s="333" t="s">
        <v>1211</v>
      </c>
      <c r="L546" s="334"/>
      <c r="M546" s="334"/>
      <c r="N546" s="334"/>
      <c r="O546" s="334"/>
      <c r="P546" s="334"/>
      <c r="Q546" s="334"/>
      <c r="R546" s="334"/>
      <c r="S546" s="334"/>
      <c r="T546" s="334"/>
      <c r="U546" s="334"/>
      <c r="V546" s="334"/>
      <c r="W546" s="334"/>
      <c r="X546" s="334"/>
      <c r="Y546" s="334"/>
      <c r="Z546" s="334"/>
      <c r="AA546" s="334"/>
      <c r="AB546" s="334"/>
      <c r="AC546" s="334"/>
      <c r="AD546" s="334"/>
    </row>
    <row r="547" ht="16.5" customHeight="1">
      <c r="A547" s="334"/>
      <c r="B547" s="329"/>
      <c r="C547" s="329" t="s">
        <v>585</v>
      </c>
      <c r="D547" s="331" t="s">
        <v>585</v>
      </c>
      <c r="E547" s="331" t="s">
        <v>585</v>
      </c>
      <c r="F547" s="331" t="s">
        <v>585</v>
      </c>
      <c r="G547" s="331">
        <f>iferror(sumifs('Hợp tác'!G:G,'Hợp tác'!A:A,B547,'Hợp tác'!H:H,$G$2,'Hợp tác'!I:I,$I$2),"")</f>
        <v>0</v>
      </c>
      <c r="H547" s="332">
        <f>SUMIFS(View!J:J,View!B:B,B547)</f>
        <v>0</v>
      </c>
      <c r="I547" s="332">
        <f>sumifs('Hoa Hồng'!L:L,'Hoa Hồng'!A:A,B547)</f>
        <v>0</v>
      </c>
      <c r="J547" s="332">
        <v>0.0</v>
      </c>
      <c r="K547" s="333" t="s">
        <v>1211</v>
      </c>
      <c r="L547" s="334"/>
      <c r="M547" s="334"/>
      <c r="N547" s="334"/>
      <c r="O547" s="334"/>
      <c r="P547" s="334"/>
      <c r="Q547" s="334"/>
      <c r="R547" s="334"/>
      <c r="S547" s="334"/>
      <c r="T547" s="334"/>
      <c r="U547" s="334"/>
      <c r="V547" s="334"/>
      <c r="W547" s="334"/>
      <c r="X547" s="334"/>
      <c r="Y547" s="334"/>
      <c r="Z547" s="334"/>
      <c r="AA547" s="334"/>
      <c r="AB547" s="334"/>
      <c r="AC547" s="334"/>
      <c r="AD547" s="334"/>
    </row>
    <row r="548" ht="16.5" customHeight="1">
      <c r="A548" s="334"/>
      <c r="B548" s="329"/>
      <c r="C548" s="329" t="s">
        <v>585</v>
      </c>
      <c r="D548" s="331" t="s">
        <v>585</v>
      </c>
      <c r="E548" s="331" t="s">
        <v>585</v>
      </c>
      <c r="F548" s="331" t="s">
        <v>585</v>
      </c>
      <c r="G548" s="331">
        <f>iferror(sumifs('Hợp tác'!G:G,'Hợp tác'!A:A,B548,'Hợp tác'!H:H,$G$2,'Hợp tác'!I:I,$I$2),"")</f>
        <v>0</v>
      </c>
      <c r="H548" s="332">
        <f>SUMIFS(View!J:J,View!B:B,B548)</f>
        <v>0</v>
      </c>
      <c r="I548" s="332">
        <f>sumifs('Hoa Hồng'!L:L,'Hoa Hồng'!A:A,B548)</f>
        <v>0</v>
      </c>
      <c r="J548" s="332">
        <v>0.0</v>
      </c>
      <c r="K548" s="333" t="s">
        <v>1211</v>
      </c>
      <c r="L548" s="334"/>
      <c r="M548" s="334"/>
      <c r="N548" s="334"/>
      <c r="O548" s="334"/>
      <c r="P548" s="334"/>
      <c r="Q548" s="334"/>
      <c r="R548" s="334"/>
      <c r="S548" s="334"/>
      <c r="T548" s="334"/>
      <c r="U548" s="334"/>
      <c r="V548" s="334"/>
      <c r="W548" s="334"/>
      <c r="X548" s="334"/>
      <c r="Y548" s="334"/>
      <c r="Z548" s="334"/>
      <c r="AA548" s="334"/>
      <c r="AB548" s="334"/>
      <c r="AC548" s="334"/>
      <c r="AD548" s="334"/>
    </row>
    <row r="549" ht="16.5" customHeight="1">
      <c r="A549" s="334"/>
      <c r="B549" s="329"/>
      <c r="C549" s="329" t="s">
        <v>585</v>
      </c>
      <c r="D549" s="331" t="s">
        <v>585</v>
      </c>
      <c r="E549" s="331" t="s">
        <v>585</v>
      </c>
      <c r="F549" s="331" t="s">
        <v>585</v>
      </c>
      <c r="G549" s="331">
        <f>iferror(sumifs('Hợp tác'!G:G,'Hợp tác'!A:A,B549,'Hợp tác'!H:H,$G$2,'Hợp tác'!I:I,$I$2),"")</f>
        <v>0</v>
      </c>
      <c r="H549" s="332">
        <f>SUMIFS(View!J:J,View!B:B,B549)</f>
        <v>0</v>
      </c>
      <c r="I549" s="332">
        <f>sumifs('Hoa Hồng'!L:L,'Hoa Hồng'!A:A,B549)</f>
        <v>0</v>
      </c>
      <c r="J549" s="332">
        <v>0.0</v>
      </c>
      <c r="K549" s="333" t="s">
        <v>1211</v>
      </c>
      <c r="L549" s="334"/>
      <c r="M549" s="334"/>
      <c r="N549" s="334"/>
      <c r="O549" s="334"/>
      <c r="P549" s="334"/>
      <c r="Q549" s="334"/>
      <c r="R549" s="334"/>
      <c r="S549" s="334"/>
      <c r="T549" s="334"/>
      <c r="U549" s="334"/>
      <c r="V549" s="334"/>
      <c r="W549" s="334"/>
      <c r="X549" s="334"/>
      <c r="Y549" s="334"/>
      <c r="Z549" s="334"/>
      <c r="AA549" s="334"/>
      <c r="AB549" s="334"/>
      <c r="AC549" s="334"/>
      <c r="AD549" s="334"/>
    </row>
    <row r="550" ht="16.5" customHeight="1">
      <c r="A550" s="334"/>
      <c r="B550" s="329"/>
      <c r="C550" s="329" t="s">
        <v>585</v>
      </c>
      <c r="D550" s="331" t="s">
        <v>585</v>
      </c>
      <c r="E550" s="331" t="s">
        <v>585</v>
      </c>
      <c r="F550" s="331" t="s">
        <v>585</v>
      </c>
      <c r="G550" s="331">
        <f>iferror(sumifs('Hợp tác'!G:G,'Hợp tác'!A:A,B550,'Hợp tác'!H:H,$G$2,'Hợp tác'!I:I,$I$2),"")</f>
        <v>0</v>
      </c>
      <c r="H550" s="332">
        <f>SUMIFS(View!J:J,View!B:B,B550)</f>
        <v>0</v>
      </c>
      <c r="I550" s="332">
        <f>sumifs('Hoa Hồng'!L:L,'Hoa Hồng'!A:A,B550)</f>
        <v>0</v>
      </c>
      <c r="J550" s="332">
        <v>0.0</v>
      </c>
      <c r="K550" s="333" t="s">
        <v>1211</v>
      </c>
      <c r="L550" s="334"/>
      <c r="M550" s="334"/>
      <c r="N550" s="334"/>
      <c r="O550" s="334"/>
      <c r="P550" s="334"/>
      <c r="Q550" s="334"/>
      <c r="R550" s="334"/>
      <c r="S550" s="334"/>
      <c r="T550" s="334"/>
      <c r="U550" s="334"/>
      <c r="V550" s="334"/>
      <c r="W550" s="334"/>
      <c r="X550" s="334"/>
      <c r="Y550" s="334"/>
      <c r="Z550" s="334"/>
      <c r="AA550" s="334"/>
      <c r="AB550" s="334"/>
      <c r="AC550" s="334"/>
      <c r="AD550" s="334"/>
    </row>
    <row r="551" ht="16.5" customHeight="1">
      <c r="A551" s="334"/>
      <c r="B551" s="329"/>
      <c r="C551" s="329" t="s">
        <v>585</v>
      </c>
      <c r="D551" s="331" t="s">
        <v>585</v>
      </c>
      <c r="E551" s="331" t="s">
        <v>585</v>
      </c>
      <c r="F551" s="331" t="s">
        <v>585</v>
      </c>
      <c r="G551" s="331">
        <f>iferror(sumifs('Hợp tác'!G:G,'Hợp tác'!A:A,B551,'Hợp tác'!H:H,$G$2,'Hợp tác'!I:I,$I$2),"")</f>
        <v>0</v>
      </c>
      <c r="H551" s="332">
        <f>SUMIFS(View!J:J,View!B:B,B551)</f>
        <v>0</v>
      </c>
      <c r="I551" s="332">
        <f>sumifs('Hoa Hồng'!L:L,'Hoa Hồng'!A:A,B551)</f>
        <v>0</v>
      </c>
      <c r="J551" s="332">
        <v>0.0</v>
      </c>
      <c r="K551" s="333" t="s">
        <v>1211</v>
      </c>
      <c r="L551" s="334"/>
      <c r="M551" s="334"/>
      <c r="N551" s="334"/>
      <c r="O551" s="334"/>
      <c r="P551" s="334"/>
      <c r="Q551" s="334"/>
      <c r="R551" s="334"/>
      <c r="S551" s="334"/>
      <c r="T551" s="334"/>
      <c r="U551" s="334"/>
      <c r="V551" s="334"/>
      <c r="W551" s="334"/>
      <c r="X551" s="334"/>
      <c r="Y551" s="334"/>
      <c r="Z551" s="334"/>
      <c r="AA551" s="334"/>
      <c r="AB551" s="334"/>
      <c r="AC551" s="334"/>
      <c r="AD551" s="334"/>
    </row>
    <row r="552" ht="16.5" customHeight="1">
      <c r="A552" s="334"/>
      <c r="B552" s="329"/>
      <c r="C552" s="329" t="s">
        <v>585</v>
      </c>
      <c r="D552" s="331" t="s">
        <v>585</v>
      </c>
      <c r="E552" s="331" t="s">
        <v>585</v>
      </c>
      <c r="F552" s="331" t="s">
        <v>585</v>
      </c>
      <c r="G552" s="331">
        <f>iferror(sumifs('Hợp tác'!G:G,'Hợp tác'!A:A,B552,'Hợp tác'!H:H,$G$2,'Hợp tác'!I:I,$I$2),"")</f>
        <v>0</v>
      </c>
      <c r="H552" s="332">
        <f>SUMIFS(View!J:J,View!B:B,B552)</f>
        <v>0</v>
      </c>
      <c r="I552" s="332">
        <f>sumifs('Hoa Hồng'!L:L,'Hoa Hồng'!A:A,B552)</f>
        <v>0</v>
      </c>
      <c r="J552" s="332">
        <v>0.0</v>
      </c>
      <c r="K552" s="333" t="s">
        <v>1211</v>
      </c>
      <c r="L552" s="334"/>
      <c r="M552" s="334"/>
      <c r="N552" s="334"/>
      <c r="O552" s="334"/>
      <c r="P552" s="334"/>
      <c r="Q552" s="334"/>
      <c r="R552" s="334"/>
      <c r="S552" s="334"/>
      <c r="T552" s="334"/>
      <c r="U552" s="334"/>
      <c r="V552" s="334"/>
      <c r="W552" s="334"/>
      <c r="X552" s="334"/>
      <c r="Y552" s="334"/>
      <c r="Z552" s="334"/>
      <c r="AA552" s="334"/>
      <c r="AB552" s="334"/>
      <c r="AC552" s="334"/>
      <c r="AD552" s="334"/>
    </row>
    <row r="553" ht="16.5" customHeight="1">
      <c r="A553" s="334"/>
      <c r="B553" s="329"/>
      <c r="C553" s="329" t="s">
        <v>585</v>
      </c>
      <c r="D553" s="331" t="s">
        <v>585</v>
      </c>
      <c r="E553" s="331" t="s">
        <v>585</v>
      </c>
      <c r="F553" s="331" t="s">
        <v>585</v>
      </c>
      <c r="G553" s="331">
        <f>iferror(sumifs('Hợp tác'!G:G,'Hợp tác'!A:A,B553,'Hợp tác'!H:H,$G$2,'Hợp tác'!I:I,$I$2),"")</f>
        <v>0</v>
      </c>
      <c r="H553" s="332">
        <f>SUMIFS(View!J:J,View!B:B,B553)</f>
        <v>0</v>
      </c>
      <c r="I553" s="332">
        <f>sumifs('Hoa Hồng'!L:L,'Hoa Hồng'!A:A,B553)</f>
        <v>0</v>
      </c>
      <c r="J553" s="332">
        <v>0.0</v>
      </c>
      <c r="K553" s="333" t="s">
        <v>1211</v>
      </c>
      <c r="L553" s="334"/>
      <c r="M553" s="334"/>
      <c r="N553" s="334"/>
      <c r="O553" s="334"/>
      <c r="P553" s="334"/>
      <c r="Q553" s="334"/>
      <c r="R553" s="334"/>
      <c r="S553" s="334"/>
      <c r="T553" s="334"/>
      <c r="U553" s="334"/>
      <c r="V553" s="334"/>
      <c r="W553" s="334"/>
      <c r="X553" s="334"/>
      <c r="Y553" s="334"/>
      <c r="Z553" s="334"/>
      <c r="AA553" s="334"/>
      <c r="AB553" s="334"/>
      <c r="AC553" s="334"/>
      <c r="AD553" s="334"/>
    </row>
    <row r="554" ht="16.5" customHeight="1">
      <c r="A554" s="334"/>
      <c r="B554" s="329"/>
      <c r="C554" s="329" t="s">
        <v>585</v>
      </c>
      <c r="D554" s="331" t="s">
        <v>585</v>
      </c>
      <c r="E554" s="331" t="s">
        <v>585</v>
      </c>
      <c r="F554" s="331" t="s">
        <v>585</v>
      </c>
      <c r="G554" s="331">
        <f>iferror(sumifs('Hợp tác'!G:G,'Hợp tác'!A:A,B554,'Hợp tác'!H:H,$G$2,'Hợp tác'!I:I,$I$2),"")</f>
        <v>0</v>
      </c>
      <c r="H554" s="332">
        <f>SUMIFS(View!J:J,View!B:B,B554)</f>
        <v>0</v>
      </c>
      <c r="I554" s="332">
        <f>sumifs('Hoa Hồng'!L:L,'Hoa Hồng'!A:A,B554)</f>
        <v>0</v>
      </c>
      <c r="J554" s="332">
        <v>0.0</v>
      </c>
      <c r="K554" s="333" t="s">
        <v>1211</v>
      </c>
      <c r="L554" s="334"/>
      <c r="M554" s="334"/>
      <c r="N554" s="334"/>
      <c r="O554" s="334"/>
      <c r="P554" s="334"/>
      <c r="Q554" s="334"/>
      <c r="R554" s="334"/>
      <c r="S554" s="334"/>
      <c r="T554" s="334"/>
      <c r="U554" s="334"/>
      <c r="V554" s="334"/>
      <c r="W554" s="334"/>
      <c r="X554" s="334"/>
      <c r="Y554" s="334"/>
      <c r="Z554" s="334"/>
      <c r="AA554" s="334"/>
      <c r="AB554" s="334"/>
      <c r="AC554" s="334"/>
      <c r="AD554" s="334"/>
    </row>
    <row r="555" ht="16.5" customHeight="1">
      <c r="A555" s="334"/>
      <c r="B555" s="329"/>
      <c r="C555" s="329" t="s">
        <v>585</v>
      </c>
      <c r="D555" s="331" t="s">
        <v>585</v>
      </c>
      <c r="E555" s="331" t="s">
        <v>585</v>
      </c>
      <c r="F555" s="331" t="s">
        <v>585</v>
      </c>
      <c r="G555" s="331">
        <f>iferror(sumifs('Hợp tác'!G:G,'Hợp tác'!A:A,B555,'Hợp tác'!H:H,$G$2,'Hợp tác'!I:I,$I$2),"")</f>
        <v>0</v>
      </c>
      <c r="H555" s="332">
        <f>SUMIFS(View!J:J,View!B:B,B555)</f>
        <v>0</v>
      </c>
      <c r="I555" s="332">
        <f>sumifs('Hoa Hồng'!L:L,'Hoa Hồng'!A:A,B555)</f>
        <v>0</v>
      </c>
      <c r="J555" s="332">
        <v>0.0</v>
      </c>
      <c r="K555" s="333" t="s">
        <v>1211</v>
      </c>
      <c r="L555" s="334"/>
      <c r="M555" s="334"/>
      <c r="N555" s="334"/>
      <c r="O555" s="334"/>
      <c r="P555" s="334"/>
      <c r="Q555" s="334"/>
      <c r="R555" s="334"/>
      <c r="S555" s="334"/>
      <c r="T555" s="334"/>
      <c r="U555" s="334"/>
      <c r="V555" s="334"/>
      <c r="W555" s="334"/>
      <c r="X555" s="334"/>
      <c r="Y555" s="334"/>
      <c r="Z555" s="334"/>
      <c r="AA555" s="334"/>
      <c r="AB555" s="334"/>
      <c r="AC555" s="334"/>
      <c r="AD555" s="334"/>
    </row>
    <row r="556" ht="16.5" customHeight="1">
      <c r="A556" s="334"/>
      <c r="B556" s="329"/>
      <c r="C556" s="329" t="s">
        <v>585</v>
      </c>
      <c r="D556" s="331" t="s">
        <v>585</v>
      </c>
      <c r="E556" s="331" t="s">
        <v>585</v>
      </c>
      <c r="F556" s="331" t="s">
        <v>585</v>
      </c>
      <c r="G556" s="331">
        <f>iferror(sumifs('Hợp tác'!G:G,'Hợp tác'!A:A,B556,'Hợp tác'!H:H,$G$2,'Hợp tác'!I:I,$I$2),"")</f>
        <v>0</v>
      </c>
      <c r="H556" s="332">
        <f>SUMIFS(View!J:J,View!B:B,B556)</f>
        <v>0</v>
      </c>
      <c r="I556" s="332">
        <f>sumifs('Hoa Hồng'!L:L,'Hoa Hồng'!A:A,B556)</f>
        <v>0</v>
      </c>
      <c r="J556" s="332">
        <v>0.0</v>
      </c>
      <c r="K556" s="333" t="s">
        <v>1211</v>
      </c>
      <c r="L556" s="334"/>
      <c r="M556" s="334"/>
      <c r="N556" s="334"/>
      <c r="O556" s="334"/>
      <c r="P556" s="334"/>
      <c r="Q556" s="334"/>
      <c r="R556" s="334"/>
      <c r="S556" s="334"/>
      <c r="T556" s="334"/>
      <c r="U556" s="334"/>
      <c r="V556" s="334"/>
      <c r="W556" s="334"/>
      <c r="X556" s="334"/>
      <c r="Y556" s="334"/>
      <c r="Z556" s="334"/>
      <c r="AA556" s="334"/>
      <c r="AB556" s="334"/>
      <c r="AC556" s="334"/>
      <c r="AD556" s="334"/>
    </row>
    <row r="557" ht="16.5" customHeight="1">
      <c r="A557" s="334"/>
      <c r="B557" s="329"/>
      <c r="C557" s="329" t="s">
        <v>585</v>
      </c>
      <c r="D557" s="331" t="s">
        <v>585</v>
      </c>
      <c r="E557" s="331" t="s">
        <v>585</v>
      </c>
      <c r="F557" s="331" t="s">
        <v>585</v>
      </c>
      <c r="G557" s="331">
        <f>iferror(sumifs('Hợp tác'!G:G,'Hợp tác'!A:A,B557,'Hợp tác'!H:H,$G$2,'Hợp tác'!I:I,$I$2),"")</f>
        <v>0</v>
      </c>
      <c r="H557" s="332">
        <f>SUMIFS(View!J:J,View!B:B,B557)</f>
        <v>0</v>
      </c>
      <c r="I557" s="332">
        <f>sumifs('Hoa Hồng'!L:L,'Hoa Hồng'!A:A,B557)</f>
        <v>0</v>
      </c>
      <c r="J557" s="332">
        <v>0.0</v>
      </c>
      <c r="K557" s="333" t="s">
        <v>1211</v>
      </c>
      <c r="L557" s="334"/>
      <c r="M557" s="334"/>
      <c r="N557" s="334"/>
      <c r="O557" s="334"/>
      <c r="P557" s="334"/>
      <c r="Q557" s="334"/>
      <c r="R557" s="334"/>
      <c r="S557" s="334"/>
      <c r="T557" s="334"/>
      <c r="U557" s="334"/>
      <c r="V557" s="334"/>
      <c r="W557" s="334"/>
      <c r="X557" s="334"/>
      <c r="Y557" s="334"/>
      <c r="Z557" s="334"/>
      <c r="AA557" s="334"/>
      <c r="AB557" s="334"/>
      <c r="AC557" s="334"/>
      <c r="AD557" s="334"/>
    </row>
    <row r="558" ht="16.5" customHeight="1">
      <c r="A558" s="334"/>
      <c r="B558" s="329"/>
      <c r="C558" s="329" t="s">
        <v>585</v>
      </c>
      <c r="D558" s="331" t="s">
        <v>585</v>
      </c>
      <c r="E558" s="331" t="s">
        <v>585</v>
      </c>
      <c r="F558" s="331" t="s">
        <v>585</v>
      </c>
      <c r="G558" s="331">
        <f>iferror(sumifs('Hợp tác'!G:G,'Hợp tác'!A:A,B558,'Hợp tác'!H:H,$G$2,'Hợp tác'!I:I,$I$2),"")</f>
        <v>0</v>
      </c>
      <c r="H558" s="332">
        <f>SUMIFS(View!J:J,View!B:B,B558)</f>
        <v>0</v>
      </c>
      <c r="I558" s="332">
        <f>sumifs('Hoa Hồng'!L:L,'Hoa Hồng'!A:A,B558)</f>
        <v>0</v>
      </c>
      <c r="J558" s="332">
        <v>0.0</v>
      </c>
      <c r="K558" s="333" t="s">
        <v>1211</v>
      </c>
      <c r="L558" s="334"/>
      <c r="M558" s="334"/>
      <c r="N558" s="334"/>
      <c r="O558" s="334"/>
      <c r="P558" s="334"/>
      <c r="Q558" s="334"/>
      <c r="R558" s="334"/>
      <c r="S558" s="334"/>
      <c r="T558" s="334"/>
      <c r="U558" s="334"/>
      <c r="V558" s="334"/>
      <c r="W558" s="334"/>
      <c r="X558" s="334"/>
      <c r="Y558" s="334"/>
      <c r="Z558" s="334"/>
      <c r="AA558" s="334"/>
      <c r="AB558" s="334"/>
      <c r="AC558" s="334"/>
      <c r="AD558" s="334"/>
    </row>
    <row r="559" ht="16.5" customHeight="1">
      <c r="A559" s="334"/>
      <c r="B559" s="329"/>
      <c r="C559" s="329" t="s">
        <v>585</v>
      </c>
      <c r="D559" s="331" t="s">
        <v>585</v>
      </c>
      <c r="E559" s="331" t="s">
        <v>585</v>
      </c>
      <c r="F559" s="331" t="s">
        <v>585</v>
      </c>
      <c r="G559" s="331">
        <f>iferror(sumifs('Hợp tác'!G:G,'Hợp tác'!A:A,B559,'Hợp tác'!H:H,$G$2,'Hợp tác'!I:I,$I$2),"")</f>
        <v>0</v>
      </c>
      <c r="H559" s="332">
        <f>SUMIFS(View!J:J,View!B:B,B559)</f>
        <v>0</v>
      </c>
      <c r="I559" s="332">
        <f>sumifs('Hoa Hồng'!L:L,'Hoa Hồng'!A:A,B559)</f>
        <v>0</v>
      </c>
      <c r="J559" s="332">
        <v>0.0</v>
      </c>
      <c r="K559" s="333" t="s">
        <v>1211</v>
      </c>
      <c r="L559" s="334"/>
      <c r="M559" s="334"/>
      <c r="N559" s="334"/>
      <c r="O559" s="334"/>
      <c r="P559" s="334"/>
      <c r="Q559" s="334"/>
      <c r="R559" s="334"/>
      <c r="S559" s="334"/>
      <c r="T559" s="334"/>
      <c r="U559" s="334"/>
      <c r="V559" s="334"/>
      <c r="W559" s="334"/>
      <c r="X559" s="334"/>
      <c r="Y559" s="334"/>
      <c r="Z559" s="334"/>
      <c r="AA559" s="334"/>
      <c r="AB559" s="334"/>
      <c r="AC559" s="334"/>
      <c r="AD559" s="334"/>
    </row>
    <row r="560" ht="16.5" customHeight="1">
      <c r="A560" s="334"/>
      <c r="B560" s="329"/>
      <c r="C560" s="329" t="s">
        <v>585</v>
      </c>
      <c r="D560" s="331" t="s">
        <v>585</v>
      </c>
      <c r="E560" s="331" t="s">
        <v>585</v>
      </c>
      <c r="F560" s="331" t="s">
        <v>585</v>
      </c>
      <c r="G560" s="331">
        <f>iferror(sumifs('Hợp tác'!G:G,'Hợp tác'!A:A,B560,'Hợp tác'!H:H,$G$2,'Hợp tác'!I:I,$I$2),"")</f>
        <v>0</v>
      </c>
      <c r="H560" s="332">
        <f>SUMIFS(View!J:J,View!B:B,B560)</f>
        <v>0</v>
      </c>
      <c r="I560" s="332">
        <f>sumifs('Hoa Hồng'!L:L,'Hoa Hồng'!A:A,B560)</f>
        <v>0</v>
      </c>
      <c r="J560" s="332">
        <v>0.0</v>
      </c>
      <c r="K560" s="333" t="s">
        <v>1211</v>
      </c>
      <c r="L560" s="334"/>
      <c r="M560" s="334"/>
      <c r="N560" s="334"/>
      <c r="O560" s="334"/>
      <c r="P560" s="334"/>
      <c r="Q560" s="334"/>
      <c r="R560" s="334"/>
      <c r="S560" s="334"/>
      <c r="T560" s="334"/>
      <c r="U560" s="334"/>
      <c r="V560" s="334"/>
      <c r="W560" s="334"/>
      <c r="X560" s="334"/>
      <c r="Y560" s="334"/>
      <c r="Z560" s="334"/>
      <c r="AA560" s="334"/>
      <c r="AB560" s="334"/>
      <c r="AC560" s="334"/>
      <c r="AD560" s="334"/>
    </row>
    <row r="561" ht="16.5" customHeight="1">
      <c r="A561" s="334"/>
      <c r="B561" s="329"/>
      <c r="C561" s="329" t="s">
        <v>585</v>
      </c>
      <c r="D561" s="331" t="s">
        <v>585</v>
      </c>
      <c r="E561" s="331" t="s">
        <v>585</v>
      </c>
      <c r="F561" s="331" t="s">
        <v>585</v>
      </c>
      <c r="G561" s="331">
        <f>iferror(sumifs('Hợp tác'!G:G,'Hợp tác'!A:A,B561,'Hợp tác'!H:H,$G$2,'Hợp tác'!I:I,$I$2),"")</f>
        <v>0</v>
      </c>
      <c r="H561" s="332">
        <f>SUMIFS(View!J:J,View!B:B,B561)</f>
        <v>0</v>
      </c>
      <c r="I561" s="332">
        <f>sumifs('Hoa Hồng'!L:L,'Hoa Hồng'!A:A,B561)</f>
        <v>0</v>
      </c>
      <c r="J561" s="332">
        <v>0.0</v>
      </c>
      <c r="K561" s="333" t="s">
        <v>1211</v>
      </c>
      <c r="L561" s="334"/>
      <c r="M561" s="334"/>
      <c r="N561" s="334"/>
      <c r="O561" s="334"/>
      <c r="P561" s="334"/>
      <c r="Q561" s="334"/>
      <c r="R561" s="334"/>
      <c r="S561" s="334"/>
      <c r="T561" s="334"/>
      <c r="U561" s="334"/>
      <c r="V561" s="334"/>
      <c r="W561" s="334"/>
      <c r="X561" s="334"/>
      <c r="Y561" s="334"/>
      <c r="Z561" s="334"/>
      <c r="AA561" s="334"/>
      <c r="AB561" s="334"/>
      <c r="AC561" s="334"/>
      <c r="AD561" s="334"/>
    </row>
    <row r="562" ht="16.5" customHeight="1">
      <c r="A562" s="334"/>
      <c r="B562" s="329"/>
      <c r="C562" s="329" t="s">
        <v>585</v>
      </c>
      <c r="D562" s="331" t="s">
        <v>585</v>
      </c>
      <c r="E562" s="331" t="s">
        <v>585</v>
      </c>
      <c r="F562" s="331" t="s">
        <v>585</v>
      </c>
      <c r="G562" s="331">
        <f>iferror(sumifs('Hợp tác'!G:G,'Hợp tác'!A:A,B562,'Hợp tác'!H:H,$G$2,'Hợp tác'!I:I,$I$2),"")</f>
        <v>0</v>
      </c>
      <c r="H562" s="332">
        <f>SUMIFS(View!J:J,View!B:B,B562)</f>
        <v>0</v>
      </c>
      <c r="I562" s="332">
        <f>sumifs('Hoa Hồng'!L:L,'Hoa Hồng'!A:A,B562)</f>
        <v>0</v>
      </c>
      <c r="J562" s="332">
        <v>0.0</v>
      </c>
      <c r="K562" s="333" t="s">
        <v>1211</v>
      </c>
      <c r="L562" s="334"/>
      <c r="M562" s="334"/>
      <c r="N562" s="334"/>
      <c r="O562" s="334"/>
      <c r="P562" s="334"/>
      <c r="Q562" s="334"/>
      <c r="R562" s="334"/>
      <c r="S562" s="334"/>
      <c r="T562" s="334"/>
      <c r="U562" s="334"/>
      <c r="V562" s="334"/>
      <c r="W562" s="334"/>
      <c r="X562" s="334"/>
      <c r="Y562" s="334"/>
      <c r="Z562" s="334"/>
      <c r="AA562" s="334"/>
      <c r="AB562" s="334"/>
      <c r="AC562" s="334"/>
      <c r="AD562" s="334"/>
    </row>
    <row r="563" ht="16.5" customHeight="1">
      <c r="A563" s="334"/>
      <c r="B563" s="329"/>
      <c r="C563" s="329" t="s">
        <v>585</v>
      </c>
      <c r="D563" s="331" t="s">
        <v>585</v>
      </c>
      <c r="E563" s="331" t="s">
        <v>585</v>
      </c>
      <c r="F563" s="331" t="s">
        <v>585</v>
      </c>
      <c r="G563" s="331">
        <f>iferror(sumifs('Hợp tác'!G:G,'Hợp tác'!A:A,B563,'Hợp tác'!H:H,$G$2,'Hợp tác'!I:I,$I$2),"")</f>
        <v>0</v>
      </c>
      <c r="H563" s="332">
        <f>SUMIFS(View!J:J,View!B:B,B563)</f>
        <v>0</v>
      </c>
      <c r="I563" s="332">
        <f>sumifs('Hoa Hồng'!L:L,'Hoa Hồng'!A:A,B563)</f>
        <v>0</v>
      </c>
      <c r="J563" s="332">
        <v>0.0</v>
      </c>
      <c r="K563" s="333" t="s">
        <v>1211</v>
      </c>
      <c r="L563" s="334"/>
      <c r="M563" s="334"/>
      <c r="N563" s="334"/>
      <c r="O563" s="334"/>
      <c r="P563" s="334"/>
      <c r="Q563" s="334"/>
      <c r="R563" s="334"/>
      <c r="S563" s="334"/>
      <c r="T563" s="334"/>
      <c r="U563" s="334"/>
      <c r="V563" s="334"/>
      <c r="W563" s="334"/>
      <c r="X563" s="334"/>
      <c r="Y563" s="334"/>
      <c r="Z563" s="334"/>
      <c r="AA563" s="334"/>
      <c r="AB563" s="334"/>
      <c r="AC563" s="334"/>
      <c r="AD563" s="334"/>
    </row>
    <row r="564" ht="16.5" customHeight="1">
      <c r="A564" s="334"/>
      <c r="B564" s="329"/>
      <c r="C564" s="329" t="s">
        <v>585</v>
      </c>
      <c r="D564" s="331" t="s">
        <v>585</v>
      </c>
      <c r="E564" s="331" t="s">
        <v>585</v>
      </c>
      <c r="F564" s="331" t="s">
        <v>585</v>
      </c>
      <c r="G564" s="331">
        <f>iferror(sumifs('Hợp tác'!G:G,'Hợp tác'!A:A,B564,'Hợp tác'!H:H,$G$2,'Hợp tác'!I:I,$I$2),"")</f>
        <v>0</v>
      </c>
      <c r="H564" s="332">
        <f>SUMIFS(View!J:J,View!B:B,B564)</f>
        <v>0</v>
      </c>
      <c r="I564" s="332">
        <f>sumifs('Hoa Hồng'!L:L,'Hoa Hồng'!A:A,B564)</f>
        <v>0</v>
      </c>
      <c r="J564" s="332">
        <v>0.0</v>
      </c>
      <c r="K564" s="333" t="s">
        <v>1211</v>
      </c>
      <c r="L564" s="334"/>
      <c r="M564" s="334"/>
      <c r="N564" s="334"/>
      <c r="O564" s="334"/>
      <c r="P564" s="334"/>
      <c r="Q564" s="334"/>
      <c r="R564" s="334"/>
      <c r="S564" s="334"/>
      <c r="T564" s="334"/>
      <c r="U564" s="334"/>
      <c r="V564" s="334"/>
      <c r="W564" s="334"/>
      <c r="X564" s="334"/>
      <c r="Y564" s="334"/>
      <c r="Z564" s="334"/>
      <c r="AA564" s="334"/>
      <c r="AB564" s="334"/>
      <c r="AC564" s="334"/>
      <c r="AD564" s="334"/>
    </row>
    <row r="565" ht="16.5" customHeight="1">
      <c r="A565" s="334"/>
      <c r="B565" s="329"/>
      <c r="C565" s="329" t="s">
        <v>585</v>
      </c>
      <c r="D565" s="331" t="s">
        <v>585</v>
      </c>
      <c r="E565" s="331" t="s">
        <v>585</v>
      </c>
      <c r="F565" s="331" t="s">
        <v>585</v>
      </c>
      <c r="G565" s="331">
        <f>iferror(sumifs('Hợp tác'!G:G,'Hợp tác'!A:A,B565,'Hợp tác'!H:H,$G$2,'Hợp tác'!I:I,$I$2),"")</f>
        <v>0</v>
      </c>
      <c r="H565" s="332">
        <f>SUMIFS(View!J:J,View!B:B,B565)</f>
        <v>0</v>
      </c>
      <c r="I565" s="332">
        <f>sumifs('Hoa Hồng'!L:L,'Hoa Hồng'!A:A,B565)</f>
        <v>0</v>
      </c>
      <c r="J565" s="332">
        <v>0.0</v>
      </c>
      <c r="K565" s="333" t="s">
        <v>1211</v>
      </c>
      <c r="L565" s="334"/>
      <c r="M565" s="334"/>
      <c r="N565" s="334"/>
      <c r="O565" s="334"/>
      <c r="P565" s="334"/>
      <c r="Q565" s="334"/>
      <c r="R565" s="334"/>
      <c r="S565" s="334"/>
      <c r="T565" s="334"/>
      <c r="U565" s="334"/>
      <c r="V565" s="334"/>
      <c r="W565" s="334"/>
      <c r="X565" s="334"/>
      <c r="Y565" s="334"/>
      <c r="Z565" s="334"/>
      <c r="AA565" s="334"/>
      <c r="AB565" s="334"/>
      <c r="AC565" s="334"/>
      <c r="AD565" s="334"/>
    </row>
    <row r="566" ht="16.5" customHeight="1">
      <c r="A566" s="334"/>
      <c r="B566" s="329"/>
      <c r="C566" s="329" t="s">
        <v>585</v>
      </c>
      <c r="D566" s="331" t="s">
        <v>585</v>
      </c>
      <c r="E566" s="331" t="s">
        <v>585</v>
      </c>
      <c r="F566" s="331" t="s">
        <v>585</v>
      </c>
      <c r="G566" s="331">
        <f>iferror(sumifs('Hợp tác'!G:G,'Hợp tác'!A:A,B566,'Hợp tác'!H:H,$G$2,'Hợp tác'!I:I,$I$2),"")</f>
        <v>0</v>
      </c>
      <c r="H566" s="332">
        <f>SUMIFS(View!J:J,View!B:B,B566)</f>
        <v>0</v>
      </c>
      <c r="I566" s="332">
        <f>sumifs('Hoa Hồng'!L:L,'Hoa Hồng'!A:A,B566)</f>
        <v>0</v>
      </c>
      <c r="J566" s="332">
        <v>0.0</v>
      </c>
      <c r="K566" s="333" t="s">
        <v>1211</v>
      </c>
      <c r="L566" s="334"/>
      <c r="M566" s="334"/>
      <c r="N566" s="334"/>
      <c r="O566" s="334"/>
      <c r="P566" s="334"/>
      <c r="Q566" s="334"/>
      <c r="R566" s="334"/>
      <c r="S566" s="334"/>
      <c r="T566" s="334"/>
      <c r="U566" s="334"/>
      <c r="V566" s="334"/>
      <c r="W566" s="334"/>
      <c r="X566" s="334"/>
      <c r="Y566" s="334"/>
      <c r="Z566" s="334"/>
      <c r="AA566" s="334"/>
      <c r="AB566" s="334"/>
      <c r="AC566" s="334"/>
      <c r="AD566" s="334"/>
    </row>
    <row r="567" ht="16.5" customHeight="1">
      <c r="A567" s="334"/>
      <c r="B567" s="329"/>
      <c r="C567" s="329" t="s">
        <v>585</v>
      </c>
      <c r="D567" s="331" t="s">
        <v>585</v>
      </c>
      <c r="E567" s="331" t="s">
        <v>585</v>
      </c>
      <c r="F567" s="331" t="s">
        <v>585</v>
      </c>
      <c r="G567" s="331">
        <f>iferror(sumifs('Hợp tác'!G:G,'Hợp tác'!A:A,B567,'Hợp tác'!H:H,$G$2,'Hợp tác'!I:I,$I$2),"")</f>
        <v>0</v>
      </c>
      <c r="H567" s="332">
        <f>SUMIFS(View!J:J,View!B:B,B567)</f>
        <v>0</v>
      </c>
      <c r="I567" s="332">
        <f>sumifs('Hoa Hồng'!L:L,'Hoa Hồng'!A:A,B567)</f>
        <v>0</v>
      </c>
      <c r="J567" s="332">
        <v>0.0</v>
      </c>
      <c r="K567" s="333" t="s">
        <v>1211</v>
      </c>
      <c r="L567" s="334"/>
      <c r="M567" s="334"/>
      <c r="N567" s="334"/>
      <c r="O567" s="334"/>
      <c r="P567" s="334"/>
      <c r="Q567" s="334"/>
      <c r="R567" s="334"/>
      <c r="S567" s="334"/>
      <c r="T567" s="334"/>
      <c r="U567" s="334"/>
      <c r="V567" s="334"/>
      <c r="W567" s="334"/>
      <c r="X567" s="334"/>
      <c r="Y567" s="334"/>
      <c r="Z567" s="334"/>
      <c r="AA567" s="334"/>
      <c r="AB567" s="334"/>
      <c r="AC567" s="334"/>
      <c r="AD567" s="334"/>
    </row>
    <row r="568" ht="16.5" customHeight="1">
      <c r="A568" s="334"/>
      <c r="B568" s="329"/>
      <c r="C568" s="329" t="s">
        <v>585</v>
      </c>
      <c r="D568" s="331" t="s">
        <v>585</v>
      </c>
      <c r="E568" s="331" t="s">
        <v>585</v>
      </c>
      <c r="F568" s="331" t="s">
        <v>585</v>
      </c>
      <c r="G568" s="331">
        <f>iferror(sumifs('Hợp tác'!G:G,'Hợp tác'!A:A,B568,'Hợp tác'!H:H,$G$2,'Hợp tác'!I:I,$I$2),"")</f>
        <v>0</v>
      </c>
      <c r="H568" s="332">
        <f>SUMIFS(View!J:J,View!B:B,B568)</f>
        <v>0</v>
      </c>
      <c r="I568" s="332">
        <f>sumifs('Hoa Hồng'!L:L,'Hoa Hồng'!A:A,B568)</f>
        <v>0</v>
      </c>
      <c r="J568" s="332">
        <v>0.0</v>
      </c>
      <c r="K568" s="333" t="s">
        <v>1211</v>
      </c>
      <c r="L568" s="334"/>
      <c r="M568" s="334"/>
      <c r="N568" s="334"/>
      <c r="O568" s="334"/>
      <c r="P568" s="334"/>
      <c r="Q568" s="334"/>
      <c r="R568" s="334"/>
      <c r="S568" s="334"/>
      <c r="T568" s="334"/>
      <c r="U568" s="334"/>
      <c r="V568" s="334"/>
      <c r="W568" s="334"/>
      <c r="X568" s="334"/>
      <c r="Y568" s="334"/>
      <c r="Z568" s="334"/>
      <c r="AA568" s="334"/>
      <c r="AB568" s="334"/>
      <c r="AC568" s="334"/>
      <c r="AD568" s="334"/>
    </row>
    <row r="569" ht="16.5" customHeight="1">
      <c r="A569" s="334"/>
      <c r="B569" s="329"/>
      <c r="C569" s="329" t="s">
        <v>585</v>
      </c>
      <c r="D569" s="331" t="s">
        <v>585</v>
      </c>
      <c r="E569" s="331" t="s">
        <v>585</v>
      </c>
      <c r="F569" s="331" t="s">
        <v>585</v>
      </c>
      <c r="G569" s="331">
        <f>iferror(sumifs('Hợp tác'!G:G,'Hợp tác'!A:A,B569,'Hợp tác'!H:H,$G$2,'Hợp tác'!I:I,$I$2),"")</f>
        <v>0</v>
      </c>
      <c r="H569" s="332">
        <f>SUMIFS(View!J:J,View!B:B,B569)</f>
        <v>0</v>
      </c>
      <c r="I569" s="332">
        <f>sumifs('Hoa Hồng'!L:L,'Hoa Hồng'!A:A,B569)</f>
        <v>0</v>
      </c>
      <c r="J569" s="332">
        <v>0.0</v>
      </c>
      <c r="K569" s="333" t="s">
        <v>1211</v>
      </c>
      <c r="L569" s="334"/>
      <c r="M569" s="334"/>
      <c r="N569" s="334"/>
      <c r="O569" s="334"/>
      <c r="P569" s="334"/>
      <c r="Q569" s="334"/>
      <c r="R569" s="334"/>
      <c r="S569" s="334"/>
      <c r="T569" s="334"/>
      <c r="U569" s="334"/>
      <c r="V569" s="334"/>
      <c r="W569" s="334"/>
      <c r="X569" s="334"/>
      <c r="Y569" s="334"/>
      <c r="Z569" s="334"/>
      <c r="AA569" s="334"/>
      <c r="AB569" s="334"/>
      <c r="AC569" s="334"/>
      <c r="AD569" s="334"/>
    </row>
    <row r="570" ht="16.5" customHeight="1">
      <c r="A570" s="334"/>
      <c r="B570" s="329"/>
      <c r="C570" s="329" t="s">
        <v>585</v>
      </c>
      <c r="D570" s="331" t="s">
        <v>585</v>
      </c>
      <c r="E570" s="331" t="s">
        <v>585</v>
      </c>
      <c r="F570" s="331" t="s">
        <v>585</v>
      </c>
      <c r="G570" s="331">
        <f>iferror(sumifs('Hợp tác'!G:G,'Hợp tác'!A:A,B570,'Hợp tác'!H:H,$G$2,'Hợp tác'!I:I,$I$2),"")</f>
        <v>0</v>
      </c>
      <c r="H570" s="332">
        <f>SUMIFS(View!J:J,View!B:B,B570)</f>
        <v>0</v>
      </c>
      <c r="I570" s="332">
        <f>sumifs('Hoa Hồng'!L:L,'Hoa Hồng'!A:A,B570)</f>
        <v>0</v>
      </c>
      <c r="J570" s="332">
        <v>0.0</v>
      </c>
      <c r="K570" s="333" t="s">
        <v>1211</v>
      </c>
      <c r="L570" s="334"/>
      <c r="M570" s="334"/>
      <c r="N570" s="334"/>
      <c r="O570" s="334"/>
      <c r="P570" s="334"/>
      <c r="Q570" s="334"/>
      <c r="R570" s="334"/>
      <c r="S570" s="334"/>
      <c r="T570" s="334"/>
      <c r="U570" s="334"/>
      <c r="V570" s="334"/>
      <c r="W570" s="334"/>
      <c r="X570" s="334"/>
      <c r="Y570" s="334"/>
      <c r="Z570" s="334"/>
      <c r="AA570" s="334"/>
      <c r="AB570" s="334"/>
      <c r="AC570" s="334"/>
      <c r="AD570" s="334"/>
    </row>
    <row r="571" ht="16.5" customHeight="1">
      <c r="A571" s="334"/>
      <c r="B571" s="329"/>
      <c r="C571" s="329" t="s">
        <v>585</v>
      </c>
      <c r="D571" s="331" t="s">
        <v>585</v>
      </c>
      <c r="E571" s="331" t="s">
        <v>585</v>
      </c>
      <c r="F571" s="331" t="s">
        <v>585</v>
      </c>
      <c r="G571" s="331">
        <f>iferror(sumifs('Hợp tác'!G:G,'Hợp tác'!A:A,B571,'Hợp tác'!H:H,$G$2,'Hợp tác'!I:I,$I$2),"")</f>
        <v>0</v>
      </c>
      <c r="H571" s="332">
        <f>SUMIFS(View!J:J,View!B:B,B571)</f>
        <v>0</v>
      </c>
      <c r="I571" s="332">
        <f>sumifs('Hoa Hồng'!L:L,'Hoa Hồng'!A:A,B571)</f>
        <v>0</v>
      </c>
      <c r="J571" s="332">
        <v>0.0</v>
      </c>
      <c r="K571" s="333" t="s">
        <v>1211</v>
      </c>
      <c r="L571" s="334"/>
      <c r="M571" s="334"/>
      <c r="N571" s="334"/>
      <c r="O571" s="334"/>
      <c r="P571" s="334"/>
      <c r="Q571" s="334"/>
      <c r="R571" s="334"/>
      <c r="S571" s="334"/>
      <c r="T571" s="334"/>
      <c r="U571" s="334"/>
      <c r="V571" s="334"/>
      <c r="W571" s="334"/>
      <c r="X571" s="334"/>
      <c r="Y571" s="334"/>
      <c r="Z571" s="334"/>
      <c r="AA571" s="334"/>
      <c r="AB571" s="334"/>
      <c r="AC571" s="334"/>
      <c r="AD571" s="334"/>
    </row>
    <row r="572" ht="16.5" customHeight="1">
      <c r="A572" s="334"/>
      <c r="B572" s="329"/>
      <c r="C572" s="329" t="s">
        <v>585</v>
      </c>
      <c r="D572" s="331" t="s">
        <v>585</v>
      </c>
      <c r="E572" s="331" t="s">
        <v>585</v>
      </c>
      <c r="F572" s="331" t="s">
        <v>585</v>
      </c>
      <c r="G572" s="331">
        <f>iferror(sumifs('Hợp tác'!G:G,'Hợp tác'!A:A,B572,'Hợp tác'!H:H,$G$2,'Hợp tác'!I:I,$I$2),"")</f>
        <v>0</v>
      </c>
      <c r="H572" s="332">
        <f>SUMIFS(View!J:J,View!B:B,B572)</f>
        <v>0</v>
      </c>
      <c r="I572" s="332">
        <f>sumifs('Hoa Hồng'!L:L,'Hoa Hồng'!A:A,B572)</f>
        <v>0</v>
      </c>
      <c r="J572" s="332">
        <v>0.0</v>
      </c>
      <c r="K572" s="333" t="s">
        <v>1211</v>
      </c>
      <c r="L572" s="334"/>
      <c r="M572" s="334"/>
      <c r="N572" s="334"/>
      <c r="O572" s="334"/>
      <c r="P572" s="334"/>
      <c r="Q572" s="334"/>
      <c r="R572" s="334"/>
      <c r="S572" s="334"/>
      <c r="T572" s="334"/>
      <c r="U572" s="334"/>
      <c r="V572" s="334"/>
      <c r="W572" s="334"/>
      <c r="X572" s="334"/>
      <c r="Y572" s="334"/>
      <c r="Z572" s="334"/>
      <c r="AA572" s="334"/>
      <c r="AB572" s="334"/>
      <c r="AC572" s="334"/>
      <c r="AD572" s="334"/>
    </row>
    <row r="573" ht="16.5" customHeight="1">
      <c r="A573" s="334"/>
      <c r="B573" s="329"/>
      <c r="C573" s="329" t="s">
        <v>585</v>
      </c>
      <c r="D573" s="331" t="s">
        <v>585</v>
      </c>
      <c r="E573" s="331" t="s">
        <v>585</v>
      </c>
      <c r="F573" s="331" t="s">
        <v>585</v>
      </c>
      <c r="G573" s="331">
        <f>iferror(sumifs('Hợp tác'!G:G,'Hợp tác'!A:A,B573,'Hợp tác'!H:H,$G$2,'Hợp tác'!I:I,$I$2),"")</f>
        <v>0</v>
      </c>
      <c r="H573" s="332">
        <f>SUMIFS(View!J:J,View!B:B,B573)</f>
        <v>0</v>
      </c>
      <c r="I573" s="332">
        <f>sumifs('Hoa Hồng'!L:L,'Hoa Hồng'!A:A,B573)</f>
        <v>0</v>
      </c>
      <c r="J573" s="332">
        <v>0.0</v>
      </c>
      <c r="K573" s="333" t="s">
        <v>1211</v>
      </c>
      <c r="L573" s="334"/>
      <c r="M573" s="334"/>
      <c r="N573" s="334"/>
      <c r="O573" s="334"/>
      <c r="P573" s="334"/>
      <c r="Q573" s="334"/>
      <c r="R573" s="334"/>
      <c r="S573" s="334"/>
      <c r="T573" s="334"/>
      <c r="U573" s="334"/>
      <c r="V573" s="334"/>
      <c r="W573" s="334"/>
      <c r="X573" s="334"/>
      <c r="Y573" s="334"/>
      <c r="Z573" s="334"/>
      <c r="AA573" s="334"/>
      <c r="AB573" s="334"/>
      <c r="AC573" s="334"/>
      <c r="AD573" s="334"/>
    </row>
    <row r="574" ht="16.5" customHeight="1">
      <c r="A574" s="334"/>
      <c r="B574" s="329"/>
      <c r="C574" s="329" t="s">
        <v>585</v>
      </c>
      <c r="D574" s="331" t="s">
        <v>585</v>
      </c>
      <c r="E574" s="331" t="s">
        <v>585</v>
      </c>
      <c r="F574" s="331" t="s">
        <v>585</v>
      </c>
      <c r="G574" s="331">
        <f>iferror(sumifs('Hợp tác'!G:G,'Hợp tác'!A:A,B574,'Hợp tác'!H:H,$G$2,'Hợp tác'!I:I,$I$2),"")</f>
        <v>0</v>
      </c>
      <c r="H574" s="332">
        <f>SUMIFS(View!J:J,View!B:B,B574)</f>
        <v>0</v>
      </c>
      <c r="I574" s="332">
        <f>sumifs('Hoa Hồng'!L:L,'Hoa Hồng'!A:A,B574)</f>
        <v>0</v>
      </c>
      <c r="J574" s="332">
        <v>0.0</v>
      </c>
      <c r="K574" s="333" t="s">
        <v>1211</v>
      </c>
      <c r="L574" s="334"/>
      <c r="M574" s="334"/>
      <c r="N574" s="334"/>
      <c r="O574" s="334"/>
      <c r="P574" s="334"/>
      <c r="Q574" s="334"/>
      <c r="R574" s="334"/>
      <c r="S574" s="334"/>
      <c r="T574" s="334"/>
      <c r="U574" s="334"/>
      <c r="V574" s="334"/>
      <c r="W574" s="334"/>
      <c r="X574" s="334"/>
      <c r="Y574" s="334"/>
      <c r="Z574" s="334"/>
      <c r="AA574" s="334"/>
      <c r="AB574" s="334"/>
      <c r="AC574" s="334"/>
      <c r="AD574" s="334"/>
    </row>
    <row r="575" ht="16.5" customHeight="1">
      <c r="A575" s="334"/>
      <c r="B575" s="329"/>
      <c r="C575" s="329" t="s">
        <v>585</v>
      </c>
      <c r="D575" s="331" t="s">
        <v>585</v>
      </c>
      <c r="E575" s="331" t="s">
        <v>585</v>
      </c>
      <c r="F575" s="331" t="s">
        <v>585</v>
      </c>
      <c r="G575" s="331">
        <f>iferror(sumifs('Hợp tác'!G:G,'Hợp tác'!A:A,B575,'Hợp tác'!H:H,$G$2,'Hợp tác'!I:I,$I$2),"")</f>
        <v>0</v>
      </c>
      <c r="H575" s="332">
        <f>SUMIFS(View!J:J,View!B:B,B575)</f>
        <v>0</v>
      </c>
      <c r="I575" s="332">
        <f>sumifs('Hoa Hồng'!L:L,'Hoa Hồng'!A:A,B575)</f>
        <v>0</v>
      </c>
      <c r="J575" s="332">
        <v>0.0</v>
      </c>
      <c r="K575" s="333" t="s">
        <v>1211</v>
      </c>
      <c r="L575" s="334"/>
      <c r="M575" s="334"/>
      <c r="N575" s="334"/>
      <c r="O575" s="334"/>
      <c r="P575" s="334"/>
      <c r="Q575" s="334"/>
      <c r="R575" s="334"/>
      <c r="S575" s="334"/>
      <c r="T575" s="334"/>
      <c r="U575" s="334"/>
      <c r="V575" s="334"/>
      <c r="W575" s="334"/>
      <c r="X575" s="334"/>
      <c r="Y575" s="334"/>
      <c r="Z575" s="334"/>
      <c r="AA575" s="334"/>
      <c r="AB575" s="334"/>
      <c r="AC575" s="334"/>
      <c r="AD575" s="334"/>
    </row>
    <row r="576" ht="16.5" customHeight="1">
      <c r="A576" s="334"/>
      <c r="B576" s="329"/>
      <c r="C576" s="329" t="s">
        <v>585</v>
      </c>
      <c r="D576" s="331" t="s">
        <v>585</v>
      </c>
      <c r="E576" s="331" t="s">
        <v>585</v>
      </c>
      <c r="F576" s="331" t="s">
        <v>585</v>
      </c>
      <c r="G576" s="331">
        <f>iferror(sumifs('Hợp tác'!G:G,'Hợp tác'!A:A,B576,'Hợp tác'!H:H,$G$2,'Hợp tác'!I:I,$I$2),"")</f>
        <v>0</v>
      </c>
      <c r="H576" s="332">
        <f>SUMIFS(View!J:J,View!B:B,B576)</f>
        <v>0</v>
      </c>
      <c r="I576" s="332">
        <f>sumifs('Hoa Hồng'!L:L,'Hoa Hồng'!A:A,B576)</f>
        <v>0</v>
      </c>
      <c r="J576" s="332">
        <v>0.0</v>
      </c>
      <c r="K576" s="333" t="s">
        <v>1211</v>
      </c>
      <c r="L576" s="334"/>
      <c r="M576" s="334"/>
      <c r="N576" s="334"/>
      <c r="O576" s="334"/>
      <c r="P576" s="334"/>
      <c r="Q576" s="334"/>
      <c r="R576" s="334"/>
      <c r="S576" s="334"/>
      <c r="T576" s="334"/>
      <c r="U576" s="334"/>
      <c r="V576" s="334"/>
      <c r="W576" s="334"/>
      <c r="X576" s="334"/>
      <c r="Y576" s="334"/>
      <c r="Z576" s="334"/>
      <c r="AA576" s="334"/>
      <c r="AB576" s="334"/>
      <c r="AC576" s="334"/>
      <c r="AD576" s="334"/>
    </row>
    <row r="577" ht="16.5" customHeight="1">
      <c r="A577" s="334"/>
      <c r="B577" s="329"/>
      <c r="C577" s="329" t="s">
        <v>585</v>
      </c>
      <c r="D577" s="331" t="s">
        <v>585</v>
      </c>
      <c r="E577" s="331" t="s">
        <v>585</v>
      </c>
      <c r="F577" s="331" t="s">
        <v>585</v>
      </c>
      <c r="G577" s="331">
        <f>iferror(sumifs('Hợp tác'!G:G,'Hợp tác'!A:A,B577,'Hợp tác'!H:H,$G$2,'Hợp tác'!I:I,$I$2),"")</f>
        <v>0</v>
      </c>
      <c r="H577" s="332">
        <f>SUMIFS(View!J:J,View!B:B,B577)</f>
        <v>0</v>
      </c>
      <c r="I577" s="332">
        <f>sumifs('Hoa Hồng'!L:L,'Hoa Hồng'!A:A,B577)</f>
        <v>0</v>
      </c>
      <c r="J577" s="332">
        <v>0.0</v>
      </c>
      <c r="K577" s="333" t="s">
        <v>1211</v>
      </c>
      <c r="L577" s="334"/>
      <c r="M577" s="334"/>
      <c r="N577" s="334"/>
      <c r="O577" s="334"/>
      <c r="P577" s="334"/>
      <c r="Q577" s="334"/>
      <c r="R577" s="334"/>
      <c r="S577" s="334"/>
      <c r="T577" s="334"/>
      <c r="U577" s="334"/>
      <c r="V577" s="334"/>
      <c r="W577" s="334"/>
      <c r="X577" s="334"/>
      <c r="Y577" s="334"/>
      <c r="Z577" s="334"/>
      <c r="AA577" s="334"/>
      <c r="AB577" s="334"/>
      <c r="AC577" s="334"/>
      <c r="AD577" s="334"/>
    </row>
    <row r="578" ht="16.5" customHeight="1">
      <c r="A578" s="334"/>
      <c r="B578" s="329"/>
      <c r="C578" s="329" t="s">
        <v>585</v>
      </c>
      <c r="D578" s="331" t="s">
        <v>585</v>
      </c>
      <c r="E578" s="331" t="s">
        <v>585</v>
      </c>
      <c r="F578" s="331" t="s">
        <v>585</v>
      </c>
      <c r="G578" s="331">
        <f>iferror(sumifs('Hợp tác'!G:G,'Hợp tác'!A:A,B578,'Hợp tác'!H:H,$G$2,'Hợp tác'!I:I,$I$2),"")</f>
        <v>0</v>
      </c>
      <c r="H578" s="332">
        <f>SUMIFS(View!J:J,View!B:B,B578)</f>
        <v>0</v>
      </c>
      <c r="I578" s="332">
        <f>sumifs('Hoa Hồng'!L:L,'Hoa Hồng'!A:A,B578)</f>
        <v>0</v>
      </c>
      <c r="J578" s="332">
        <v>0.0</v>
      </c>
      <c r="K578" s="333" t="s">
        <v>1211</v>
      </c>
      <c r="L578" s="334"/>
      <c r="M578" s="334"/>
      <c r="N578" s="334"/>
      <c r="O578" s="334"/>
      <c r="P578" s="334"/>
      <c r="Q578" s="334"/>
      <c r="R578" s="334"/>
      <c r="S578" s="334"/>
      <c r="T578" s="334"/>
      <c r="U578" s="334"/>
      <c r="V578" s="334"/>
      <c r="W578" s="334"/>
      <c r="X578" s="334"/>
      <c r="Y578" s="334"/>
      <c r="Z578" s="334"/>
      <c r="AA578" s="334"/>
      <c r="AB578" s="334"/>
      <c r="AC578" s="334"/>
      <c r="AD578" s="334"/>
    </row>
    <row r="579" ht="16.5" customHeight="1">
      <c r="A579" s="334"/>
      <c r="B579" s="329"/>
      <c r="C579" s="329" t="s">
        <v>585</v>
      </c>
      <c r="D579" s="331" t="s">
        <v>585</v>
      </c>
      <c r="E579" s="331" t="s">
        <v>585</v>
      </c>
      <c r="F579" s="331" t="s">
        <v>585</v>
      </c>
      <c r="G579" s="331">
        <f>iferror(sumifs('Hợp tác'!G:G,'Hợp tác'!A:A,B579,'Hợp tác'!H:H,$G$2,'Hợp tác'!I:I,$I$2),"")</f>
        <v>0</v>
      </c>
      <c r="H579" s="332">
        <f>SUMIFS(View!J:J,View!B:B,B579)</f>
        <v>0</v>
      </c>
      <c r="I579" s="332">
        <f>sumifs('Hoa Hồng'!L:L,'Hoa Hồng'!A:A,B579)</f>
        <v>0</v>
      </c>
      <c r="J579" s="332">
        <v>0.0</v>
      </c>
      <c r="K579" s="333" t="s">
        <v>1211</v>
      </c>
      <c r="L579" s="334"/>
      <c r="M579" s="334"/>
      <c r="N579" s="334"/>
      <c r="O579" s="334"/>
      <c r="P579" s="334"/>
      <c r="Q579" s="334"/>
      <c r="R579" s="334"/>
      <c r="S579" s="334"/>
      <c r="T579" s="334"/>
      <c r="U579" s="334"/>
      <c r="V579" s="334"/>
      <c r="W579" s="334"/>
      <c r="X579" s="334"/>
      <c r="Y579" s="334"/>
      <c r="Z579" s="334"/>
      <c r="AA579" s="334"/>
      <c r="AB579" s="334"/>
      <c r="AC579" s="334"/>
      <c r="AD579" s="334"/>
    </row>
    <row r="580" ht="16.5" customHeight="1">
      <c r="A580" s="334"/>
      <c r="B580" s="329"/>
      <c r="C580" s="329" t="s">
        <v>585</v>
      </c>
      <c r="D580" s="331" t="s">
        <v>585</v>
      </c>
      <c r="E580" s="331" t="s">
        <v>585</v>
      </c>
      <c r="F580" s="331" t="s">
        <v>585</v>
      </c>
      <c r="G580" s="331">
        <f>iferror(sumifs('Hợp tác'!G:G,'Hợp tác'!A:A,B580,'Hợp tác'!H:H,$G$2,'Hợp tác'!I:I,$I$2),"")</f>
        <v>0</v>
      </c>
      <c r="H580" s="332">
        <f>SUMIFS(View!J:J,View!B:B,B580)</f>
        <v>0</v>
      </c>
      <c r="I580" s="332">
        <f>sumifs('Hoa Hồng'!L:L,'Hoa Hồng'!A:A,B580)</f>
        <v>0</v>
      </c>
      <c r="J580" s="332">
        <v>0.0</v>
      </c>
      <c r="K580" s="333" t="s">
        <v>1211</v>
      </c>
      <c r="L580" s="334"/>
      <c r="M580" s="334"/>
      <c r="N580" s="334"/>
      <c r="O580" s="334"/>
      <c r="P580" s="334"/>
      <c r="Q580" s="334"/>
      <c r="R580" s="334"/>
      <c r="S580" s="334"/>
      <c r="T580" s="334"/>
      <c r="U580" s="334"/>
      <c r="V580" s="334"/>
      <c r="W580" s="334"/>
      <c r="X580" s="334"/>
      <c r="Y580" s="334"/>
      <c r="Z580" s="334"/>
      <c r="AA580" s="334"/>
      <c r="AB580" s="334"/>
      <c r="AC580" s="334"/>
      <c r="AD580" s="334"/>
    </row>
    <row r="581" ht="16.5" customHeight="1">
      <c r="A581" s="334"/>
      <c r="B581" s="329"/>
      <c r="C581" s="329" t="s">
        <v>585</v>
      </c>
      <c r="D581" s="331" t="s">
        <v>585</v>
      </c>
      <c r="E581" s="331" t="s">
        <v>585</v>
      </c>
      <c r="F581" s="331" t="s">
        <v>585</v>
      </c>
      <c r="G581" s="331">
        <f>iferror(sumifs('Hợp tác'!G:G,'Hợp tác'!A:A,B581,'Hợp tác'!H:H,$G$2,'Hợp tác'!I:I,$I$2),"")</f>
        <v>0</v>
      </c>
      <c r="H581" s="332">
        <f>SUMIFS(View!J:J,View!B:B,B581)</f>
        <v>0</v>
      </c>
      <c r="I581" s="332">
        <f>sumifs('Hoa Hồng'!L:L,'Hoa Hồng'!A:A,B581)</f>
        <v>0</v>
      </c>
      <c r="J581" s="332">
        <v>0.0</v>
      </c>
      <c r="K581" s="333" t="s">
        <v>1211</v>
      </c>
      <c r="L581" s="334"/>
      <c r="M581" s="334"/>
      <c r="N581" s="334"/>
      <c r="O581" s="334"/>
      <c r="P581" s="334"/>
      <c r="Q581" s="334"/>
      <c r="R581" s="334"/>
      <c r="S581" s="334"/>
      <c r="T581" s="334"/>
      <c r="U581" s="334"/>
      <c r="V581" s="334"/>
      <c r="W581" s="334"/>
      <c r="X581" s="334"/>
      <c r="Y581" s="334"/>
      <c r="Z581" s="334"/>
      <c r="AA581" s="334"/>
      <c r="AB581" s="334"/>
      <c r="AC581" s="334"/>
      <c r="AD581" s="334"/>
    </row>
    <row r="582" ht="16.5" customHeight="1">
      <c r="A582" s="334"/>
      <c r="B582" s="329"/>
      <c r="C582" s="329" t="s">
        <v>585</v>
      </c>
      <c r="D582" s="331" t="s">
        <v>585</v>
      </c>
      <c r="E582" s="331" t="s">
        <v>585</v>
      </c>
      <c r="F582" s="331" t="s">
        <v>585</v>
      </c>
      <c r="G582" s="331">
        <f>iferror(sumifs('Hợp tác'!G:G,'Hợp tác'!A:A,B582,'Hợp tác'!H:H,$G$2,'Hợp tác'!I:I,$I$2),"")</f>
        <v>0</v>
      </c>
      <c r="H582" s="332">
        <f>SUMIFS(View!J:J,View!B:B,B582)</f>
        <v>0</v>
      </c>
      <c r="I582" s="332">
        <f>sumifs('Hoa Hồng'!L:L,'Hoa Hồng'!A:A,B582)</f>
        <v>0</v>
      </c>
      <c r="J582" s="332">
        <v>0.0</v>
      </c>
      <c r="K582" s="333" t="s">
        <v>1211</v>
      </c>
      <c r="L582" s="334"/>
      <c r="M582" s="334"/>
      <c r="N582" s="334"/>
      <c r="O582" s="334"/>
      <c r="P582" s="334"/>
      <c r="Q582" s="334"/>
      <c r="R582" s="334"/>
      <c r="S582" s="334"/>
      <c r="T582" s="334"/>
      <c r="U582" s="334"/>
      <c r="V582" s="334"/>
      <c r="W582" s="334"/>
      <c r="X582" s="334"/>
      <c r="Y582" s="334"/>
      <c r="Z582" s="334"/>
      <c r="AA582" s="334"/>
      <c r="AB582" s="334"/>
      <c r="AC582" s="334"/>
      <c r="AD582" s="334"/>
    </row>
    <row r="583" ht="16.5" customHeight="1">
      <c r="A583" s="334"/>
      <c r="B583" s="329"/>
      <c r="C583" s="329" t="s">
        <v>585</v>
      </c>
      <c r="D583" s="331" t="s">
        <v>585</v>
      </c>
      <c r="E583" s="331" t="s">
        <v>585</v>
      </c>
      <c r="F583" s="331" t="s">
        <v>585</v>
      </c>
      <c r="G583" s="331">
        <f>iferror(sumifs('Hợp tác'!G:G,'Hợp tác'!A:A,B583,'Hợp tác'!H:H,$G$2,'Hợp tác'!I:I,$I$2),"")</f>
        <v>0</v>
      </c>
      <c r="H583" s="332">
        <f>SUMIFS(View!J:J,View!B:B,B583)</f>
        <v>0</v>
      </c>
      <c r="I583" s="332">
        <f>sumifs('Hoa Hồng'!L:L,'Hoa Hồng'!A:A,B583)</f>
        <v>0</v>
      </c>
      <c r="J583" s="332">
        <v>0.0</v>
      </c>
      <c r="K583" s="333" t="s">
        <v>1211</v>
      </c>
      <c r="L583" s="334"/>
      <c r="M583" s="334"/>
      <c r="N583" s="334"/>
      <c r="O583" s="334"/>
      <c r="P583" s="334"/>
      <c r="Q583" s="334"/>
      <c r="R583" s="334"/>
      <c r="S583" s="334"/>
      <c r="T583" s="334"/>
      <c r="U583" s="334"/>
      <c r="V583" s="334"/>
      <c r="W583" s="334"/>
      <c r="X583" s="334"/>
      <c r="Y583" s="334"/>
      <c r="Z583" s="334"/>
      <c r="AA583" s="334"/>
      <c r="AB583" s="334"/>
      <c r="AC583" s="334"/>
      <c r="AD583" s="334"/>
    </row>
    <row r="584" ht="16.5" customHeight="1">
      <c r="A584" s="334"/>
      <c r="B584" s="329"/>
      <c r="C584" s="329" t="s">
        <v>585</v>
      </c>
      <c r="D584" s="331" t="s">
        <v>585</v>
      </c>
      <c r="E584" s="331" t="s">
        <v>585</v>
      </c>
      <c r="F584" s="331" t="s">
        <v>585</v>
      </c>
      <c r="G584" s="331">
        <f>iferror(sumifs('Hợp tác'!G:G,'Hợp tác'!A:A,B584,'Hợp tác'!H:H,$G$2,'Hợp tác'!I:I,$I$2),"")</f>
        <v>0</v>
      </c>
      <c r="H584" s="332">
        <f>SUMIFS(View!J:J,View!B:B,B584)</f>
        <v>0</v>
      </c>
      <c r="I584" s="332">
        <f>sumifs('Hoa Hồng'!L:L,'Hoa Hồng'!A:A,B584)</f>
        <v>0</v>
      </c>
      <c r="J584" s="332">
        <v>0.0</v>
      </c>
      <c r="K584" s="333" t="s">
        <v>1211</v>
      </c>
      <c r="L584" s="334"/>
      <c r="M584" s="334"/>
      <c r="N584" s="334"/>
      <c r="O584" s="334"/>
      <c r="P584" s="334"/>
      <c r="Q584" s="334"/>
      <c r="R584" s="334"/>
      <c r="S584" s="334"/>
      <c r="T584" s="334"/>
      <c r="U584" s="334"/>
      <c r="V584" s="334"/>
      <c r="W584" s="334"/>
      <c r="X584" s="334"/>
      <c r="Y584" s="334"/>
      <c r="Z584" s="334"/>
      <c r="AA584" s="334"/>
      <c r="AB584" s="334"/>
      <c r="AC584" s="334"/>
      <c r="AD584" s="334"/>
    </row>
    <row r="585" ht="16.5" customHeight="1">
      <c r="A585" s="334"/>
      <c r="B585" s="329"/>
      <c r="C585" s="329" t="s">
        <v>585</v>
      </c>
      <c r="D585" s="331" t="s">
        <v>585</v>
      </c>
      <c r="E585" s="331" t="s">
        <v>585</v>
      </c>
      <c r="F585" s="331" t="s">
        <v>585</v>
      </c>
      <c r="G585" s="331">
        <f>iferror(sumifs('Hợp tác'!G:G,'Hợp tác'!A:A,B585,'Hợp tác'!H:H,$G$2,'Hợp tác'!I:I,$I$2),"")</f>
        <v>0</v>
      </c>
      <c r="H585" s="332">
        <f>SUMIFS(View!J:J,View!B:B,B585)</f>
        <v>0</v>
      </c>
      <c r="I585" s="332">
        <f>sumifs('Hoa Hồng'!L:L,'Hoa Hồng'!A:A,B585)</f>
        <v>0</v>
      </c>
      <c r="J585" s="332">
        <v>0.0</v>
      </c>
      <c r="K585" s="333" t="s">
        <v>1211</v>
      </c>
      <c r="L585" s="334"/>
      <c r="M585" s="334"/>
      <c r="N585" s="334"/>
      <c r="O585" s="334"/>
      <c r="P585" s="334"/>
      <c r="Q585" s="334"/>
      <c r="R585" s="334"/>
      <c r="S585" s="334"/>
      <c r="T585" s="334"/>
      <c r="U585" s="334"/>
      <c r="V585" s="334"/>
      <c r="W585" s="334"/>
      <c r="X585" s="334"/>
      <c r="Y585" s="334"/>
      <c r="Z585" s="334"/>
      <c r="AA585" s="334"/>
      <c r="AB585" s="334"/>
      <c r="AC585" s="334"/>
      <c r="AD585" s="334"/>
    </row>
    <row r="586" ht="16.5" customHeight="1">
      <c r="A586" s="334"/>
      <c r="B586" s="329"/>
      <c r="C586" s="329" t="s">
        <v>585</v>
      </c>
      <c r="D586" s="331" t="s">
        <v>585</v>
      </c>
      <c r="E586" s="331" t="s">
        <v>585</v>
      </c>
      <c r="F586" s="331" t="s">
        <v>585</v>
      </c>
      <c r="G586" s="331">
        <f>iferror(sumifs('Hợp tác'!G:G,'Hợp tác'!A:A,B586,'Hợp tác'!H:H,$G$2,'Hợp tác'!I:I,$I$2),"")</f>
        <v>0</v>
      </c>
      <c r="H586" s="332">
        <f>SUMIFS(View!J:J,View!B:B,B586)</f>
        <v>0</v>
      </c>
      <c r="I586" s="332">
        <f>sumifs('Hoa Hồng'!L:L,'Hoa Hồng'!A:A,B586)</f>
        <v>0</v>
      </c>
      <c r="J586" s="332">
        <v>0.0</v>
      </c>
      <c r="K586" s="333" t="s">
        <v>1211</v>
      </c>
      <c r="L586" s="334"/>
      <c r="M586" s="334"/>
      <c r="N586" s="334"/>
      <c r="O586" s="334"/>
      <c r="P586" s="334"/>
      <c r="Q586" s="334"/>
      <c r="R586" s="334"/>
      <c r="S586" s="334"/>
      <c r="T586" s="334"/>
      <c r="U586" s="334"/>
      <c r="V586" s="334"/>
      <c r="W586" s="334"/>
      <c r="X586" s="334"/>
      <c r="Y586" s="334"/>
      <c r="Z586" s="334"/>
      <c r="AA586" s="334"/>
      <c r="AB586" s="334"/>
      <c r="AC586" s="334"/>
      <c r="AD586" s="334"/>
    </row>
    <row r="587" ht="16.5" customHeight="1">
      <c r="A587" s="334"/>
      <c r="B587" s="329"/>
      <c r="C587" s="329" t="s">
        <v>585</v>
      </c>
      <c r="D587" s="331" t="s">
        <v>585</v>
      </c>
      <c r="E587" s="331" t="s">
        <v>585</v>
      </c>
      <c r="F587" s="331" t="s">
        <v>585</v>
      </c>
      <c r="G587" s="331">
        <f>iferror(sumifs('Hợp tác'!G:G,'Hợp tác'!A:A,B587,'Hợp tác'!H:H,$G$2,'Hợp tác'!I:I,$I$2),"")</f>
        <v>0</v>
      </c>
      <c r="H587" s="332">
        <f>SUMIFS(View!J:J,View!B:B,B587)</f>
        <v>0</v>
      </c>
      <c r="I587" s="332">
        <f>sumifs('Hoa Hồng'!L:L,'Hoa Hồng'!A:A,B587)</f>
        <v>0</v>
      </c>
      <c r="J587" s="332">
        <v>0.0</v>
      </c>
      <c r="K587" s="333" t="s">
        <v>1211</v>
      </c>
      <c r="L587" s="334"/>
      <c r="M587" s="334"/>
      <c r="N587" s="334"/>
      <c r="O587" s="334"/>
      <c r="P587" s="334"/>
      <c r="Q587" s="334"/>
      <c r="R587" s="334"/>
      <c r="S587" s="334"/>
      <c r="T587" s="334"/>
      <c r="U587" s="334"/>
      <c r="V587" s="334"/>
      <c r="W587" s="334"/>
      <c r="X587" s="334"/>
      <c r="Y587" s="334"/>
      <c r="Z587" s="334"/>
      <c r="AA587" s="334"/>
      <c r="AB587" s="334"/>
      <c r="AC587" s="334"/>
      <c r="AD587" s="334"/>
    </row>
    <row r="588" ht="16.5" customHeight="1">
      <c r="A588" s="334"/>
      <c r="B588" s="329"/>
      <c r="C588" s="329" t="s">
        <v>585</v>
      </c>
      <c r="D588" s="331" t="s">
        <v>585</v>
      </c>
      <c r="E588" s="331" t="s">
        <v>585</v>
      </c>
      <c r="F588" s="331" t="s">
        <v>585</v>
      </c>
      <c r="G588" s="331">
        <f>iferror(sumifs('Hợp tác'!G:G,'Hợp tác'!A:A,B588,'Hợp tác'!H:H,$G$2,'Hợp tác'!I:I,$I$2),"")</f>
        <v>0</v>
      </c>
      <c r="H588" s="332">
        <f>SUMIFS(View!J:J,View!B:B,B588)</f>
        <v>0</v>
      </c>
      <c r="I588" s="332">
        <f>sumifs('Hoa Hồng'!L:L,'Hoa Hồng'!A:A,B588)</f>
        <v>0</v>
      </c>
      <c r="J588" s="332">
        <v>0.0</v>
      </c>
      <c r="K588" s="333" t="s">
        <v>1211</v>
      </c>
      <c r="L588" s="334"/>
      <c r="M588" s="334"/>
      <c r="N588" s="334"/>
      <c r="O588" s="334"/>
      <c r="P588" s="334"/>
      <c r="Q588" s="334"/>
      <c r="R588" s="334"/>
      <c r="S588" s="334"/>
      <c r="T588" s="334"/>
      <c r="U588" s="334"/>
      <c r="V588" s="334"/>
      <c r="W588" s="334"/>
      <c r="X588" s="334"/>
      <c r="Y588" s="334"/>
      <c r="Z588" s="334"/>
      <c r="AA588" s="334"/>
      <c r="AB588" s="334"/>
      <c r="AC588" s="334"/>
      <c r="AD588" s="334"/>
    </row>
    <row r="589" ht="16.5" customHeight="1">
      <c r="A589" s="334"/>
      <c r="B589" s="329"/>
      <c r="C589" s="329" t="s">
        <v>585</v>
      </c>
      <c r="D589" s="331" t="s">
        <v>585</v>
      </c>
      <c r="E589" s="331" t="s">
        <v>585</v>
      </c>
      <c r="F589" s="331" t="s">
        <v>585</v>
      </c>
      <c r="G589" s="331">
        <f>iferror(sumifs('Hợp tác'!G:G,'Hợp tác'!A:A,B589,'Hợp tác'!H:H,$G$2,'Hợp tác'!I:I,$I$2),"")</f>
        <v>0</v>
      </c>
      <c r="H589" s="332">
        <f>SUMIFS(View!J:J,View!B:B,B589)</f>
        <v>0</v>
      </c>
      <c r="I589" s="332">
        <f>sumifs('Hoa Hồng'!L:L,'Hoa Hồng'!A:A,B589)</f>
        <v>0</v>
      </c>
      <c r="J589" s="332">
        <v>0.0</v>
      </c>
      <c r="K589" s="333" t="s">
        <v>1211</v>
      </c>
      <c r="L589" s="334"/>
      <c r="M589" s="334"/>
      <c r="N589" s="334"/>
      <c r="O589" s="334"/>
      <c r="P589" s="334"/>
      <c r="Q589" s="334"/>
      <c r="R589" s="334"/>
      <c r="S589" s="334"/>
      <c r="T589" s="334"/>
      <c r="U589" s="334"/>
      <c r="V589" s="334"/>
      <c r="W589" s="334"/>
      <c r="X589" s="334"/>
      <c r="Y589" s="334"/>
      <c r="Z589" s="334"/>
      <c r="AA589" s="334"/>
      <c r="AB589" s="334"/>
      <c r="AC589" s="334"/>
      <c r="AD589" s="334"/>
    </row>
    <row r="590" ht="16.5" customHeight="1">
      <c r="A590" s="334"/>
      <c r="B590" s="329"/>
      <c r="C590" s="329" t="s">
        <v>585</v>
      </c>
      <c r="D590" s="331" t="s">
        <v>585</v>
      </c>
      <c r="E590" s="331" t="s">
        <v>585</v>
      </c>
      <c r="F590" s="331" t="s">
        <v>585</v>
      </c>
      <c r="G590" s="331">
        <f>iferror(sumifs('Hợp tác'!G:G,'Hợp tác'!A:A,B590,'Hợp tác'!H:H,$G$2,'Hợp tác'!I:I,$I$2),"")</f>
        <v>0</v>
      </c>
      <c r="H590" s="332">
        <f>SUMIFS(View!J:J,View!B:B,B590)</f>
        <v>0</v>
      </c>
      <c r="I590" s="332">
        <f>sumifs('Hoa Hồng'!L:L,'Hoa Hồng'!A:A,B590)</f>
        <v>0</v>
      </c>
      <c r="J590" s="332">
        <v>0.0</v>
      </c>
      <c r="K590" s="333" t="s">
        <v>1211</v>
      </c>
      <c r="L590" s="334"/>
      <c r="M590" s="334"/>
      <c r="N590" s="334"/>
      <c r="O590" s="334"/>
      <c r="P590" s="334"/>
      <c r="Q590" s="334"/>
      <c r="R590" s="334"/>
      <c r="S590" s="334"/>
      <c r="T590" s="334"/>
      <c r="U590" s="334"/>
      <c r="V590" s="334"/>
      <c r="W590" s="334"/>
      <c r="X590" s="334"/>
      <c r="Y590" s="334"/>
      <c r="Z590" s="334"/>
      <c r="AA590" s="334"/>
      <c r="AB590" s="334"/>
      <c r="AC590" s="334"/>
      <c r="AD590" s="334"/>
    </row>
    <row r="591" ht="16.5" customHeight="1">
      <c r="A591" s="334"/>
      <c r="B591" s="329"/>
      <c r="C591" s="329" t="s">
        <v>585</v>
      </c>
      <c r="D591" s="331" t="s">
        <v>585</v>
      </c>
      <c r="E591" s="331" t="s">
        <v>585</v>
      </c>
      <c r="F591" s="331" t="s">
        <v>585</v>
      </c>
      <c r="G591" s="331">
        <f>iferror(sumifs('Hợp tác'!G:G,'Hợp tác'!A:A,B591,'Hợp tác'!H:H,$G$2,'Hợp tác'!I:I,$I$2),"")</f>
        <v>0</v>
      </c>
      <c r="H591" s="332">
        <f>SUMIFS(View!J:J,View!B:B,B591)</f>
        <v>0</v>
      </c>
      <c r="I591" s="332">
        <f>sumifs('Hoa Hồng'!L:L,'Hoa Hồng'!A:A,B591)</f>
        <v>0</v>
      </c>
      <c r="J591" s="332">
        <v>0.0</v>
      </c>
      <c r="K591" s="333" t="s">
        <v>1211</v>
      </c>
      <c r="L591" s="334"/>
      <c r="M591" s="334"/>
      <c r="N591" s="334"/>
      <c r="O591" s="334"/>
      <c r="P591" s="334"/>
      <c r="Q591" s="334"/>
      <c r="R591" s="334"/>
      <c r="S591" s="334"/>
      <c r="T591" s="334"/>
      <c r="U591" s="334"/>
      <c r="V591" s="334"/>
      <c r="W591" s="334"/>
      <c r="X591" s="334"/>
      <c r="Y591" s="334"/>
      <c r="Z591" s="334"/>
      <c r="AA591" s="334"/>
      <c r="AB591" s="334"/>
      <c r="AC591" s="334"/>
      <c r="AD591" s="334"/>
    </row>
    <row r="592" ht="16.5" customHeight="1">
      <c r="A592" s="334"/>
      <c r="B592" s="329"/>
      <c r="C592" s="329" t="s">
        <v>585</v>
      </c>
      <c r="D592" s="331" t="s">
        <v>585</v>
      </c>
      <c r="E592" s="331" t="s">
        <v>585</v>
      </c>
      <c r="F592" s="331" t="s">
        <v>585</v>
      </c>
      <c r="G592" s="331">
        <f>iferror(sumifs('Hợp tác'!G:G,'Hợp tác'!A:A,B592,'Hợp tác'!H:H,$G$2,'Hợp tác'!I:I,$I$2),"")</f>
        <v>0</v>
      </c>
      <c r="H592" s="332">
        <f>SUMIFS(View!J:J,View!B:B,B592)</f>
        <v>0</v>
      </c>
      <c r="I592" s="332">
        <f>sumifs('Hoa Hồng'!L:L,'Hoa Hồng'!A:A,B592)</f>
        <v>0</v>
      </c>
      <c r="J592" s="332">
        <v>0.0</v>
      </c>
      <c r="K592" s="333" t="s">
        <v>1211</v>
      </c>
      <c r="L592" s="334"/>
      <c r="M592" s="334"/>
      <c r="N592" s="334"/>
      <c r="O592" s="334"/>
      <c r="P592" s="334"/>
      <c r="Q592" s="334"/>
      <c r="R592" s="334"/>
      <c r="S592" s="334"/>
      <c r="T592" s="334"/>
      <c r="U592" s="334"/>
      <c r="V592" s="334"/>
      <c r="W592" s="334"/>
      <c r="X592" s="334"/>
      <c r="Y592" s="334"/>
      <c r="Z592" s="334"/>
      <c r="AA592" s="334"/>
      <c r="AB592" s="334"/>
      <c r="AC592" s="334"/>
      <c r="AD592" s="334"/>
    </row>
    <row r="593" ht="16.5" customHeight="1">
      <c r="A593" s="334"/>
      <c r="B593" s="329"/>
      <c r="C593" s="329" t="s">
        <v>585</v>
      </c>
      <c r="D593" s="331" t="s">
        <v>585</v>
      </c>
      <c r="E593" s="331" t="s">
        <v>585</v>
      </c>
      <c r="F593" s="331" t="s">
        <v>585</v>
      </c>
      <c r="G593" s="331">
        <f>iferror(sumifs('Hợp tác'!G:G,'Hợp tác'!A:A,B593,'Hợp tác'!H:H,$G$2,'Hợp tác'!I:I,$I$2),"")</f>
        <v>0</v>
      </c>
      <c r="H593" s="332">
        <f>SUMIFS(View!J:J,View!B:B,B593)</f>
        <v>0</v>
      </c>
      <c r="I593" s="332">
        <f>sumifs('Hoa Hồng'!L:L,'Hoa Hồng'!A:A,B593)</f>
        <v>0</v>
      </c>
      <c r="J593" s="332">
        <v>0.0</v>
      </c>
      <c r="K593" s="333" t="s">
        <v>1211</v>
      </c>
      <c r="L593" s="334"/>
      <c r="M593" s="334"/>
      <c r="N593" s="334"/>
      <c r="O593" s="334"/>
      <c r="P593" s="334"/>
      <c r="Q593" s="334"/>
      <c r="R593" s="334"/>
      <c r="S593" s="334"/>
      <c r="T593" s="334"/>
      <c r="U593" s="334"/>
      <c r="V593" s="334"/>
      <c r="W593" s="334"/>
      <c r="X593" s="334"/>
      <c r="Y593" s="334"/>
      <c r="Z593" s="334"/>
      <c r="AA593" s="334"/>
      <c r="AB593" s="334"/>
      <c r="AC593" s="334"/>
      <c r="AD593" s="334"/>
    </row>
    <row r="594" ht="16.5" customHeight="1">
      <c r="A594" s="334"/>
      <c r="B594" s="329"/>
      <c r="C594" s="329" t="s">
        <v>585</v>
      </c>
      <c r="D594" s="331" t="s">
        <v>585</v>
      </c>
      <c r="E594" s="331" t="s">
        <v>585</v>
      </c>
      <c r="F594" s="331" t="s">
        <v>585</v>
      </c>
      <c r="G594" s="331">
        <f>iferror(sumifs('Hợp tác'!G:G,'Hợp tác'!A:A,B594,'Hợp tác'!H:H,$G$2,'Hợp tác'!I:I,$I$2),"")</f>
        <v>0</v>
      </c>
      <c r="H594" s="332">
        <f>SUMIFS(View!J:J,View!B:B,B594)</f>
        <v>0</v>
      </c>
      <c r="I594" s="332">
        <f>sumifs('Hoa Hồng'!L:L,'Hoa Hồng'!A:A,B594)</f>
        <v>0</v>
      </c>
      <c r="J594" s="332">
        <v>0.0</v>
      </c>
      <c r="K594" s="333" t="s">
        <v>1211</v>
      </c>
      <c r="L594" s="334"/>
      <c r="M594" s="334"/>
      <c r="N594" s="334"/>
      <c r="O594" s="334"/>
      <c r="P594" s="334"/>
      <c r="Q594" s="334"/>
      <c r="R594" s="334"/>
      <c r="S594" s="334"/>
      <c r="T594" s="334"/>
      <c r="U594" s="334"/>
      <c r="V594" s="334"/>
      <c r="W594" s="334"/>
      <c r="X594" s="334"/>
      <c r="Y594" s="334"/>
      <c r="Z594" s="334"/>
      <c r="AA594" s="334"/>
      <c r="AB594" s="334"/>
      <c r="AC594" s="334"/>
      <c r="AD594" s="334"/>
    </row>
    <row r="595" ht="16.5" customHeight="1">
      <c r="A595" s="334"/>
      <c r="B595" s="329"/>
      <c r="C595" s="329" t="s">
        <v>585</v>
      </c>
      <c r="D595" s="331" t="s">
        <v>585</v>
      </c>
      <c r="E595" s="331" t="s">
        <v>585</v>
      </c>
      <c r="F595" s="331" t="s">
        <v>585</v>
      </c>
      <c r="G595" s="331">
        <f>iferror(sumifs('Hợp tác'!G:G,'Hợp tác'!A:A,B595,'Hợp tác'!H:H,$G$2,'Hợp tác'!I:I,$I$2),"")</f>
        <v>0</v>
      </c>
      <c r="H595" s="332">
        <f>SUMIFS(View!J:J,View!B:B,B595)</f>
        <v>0</v>
      </c>
      <c r="I595" s="332">
        <f>sumifs('Hoa Hồng'!L:L,'Hoa Hồng'!A:A,B595)</f>
        <v>0</v>
      </c>
      <c r="J595" s="332">
        <v>0.0</v>
      </c>
      <c r="K595" s="333" t="s">
        <v>1211</v>
      </c>
      <c r="L595" s="334"/>
      <c r="M595" s="334"/>
      <c r="N595" s="334"/>
      <c r="O595" s="334"/>
      <c r="P595" s="334"/>
      <c r="Q595" s="334"/>
      <c r="R595" s="334"/>
      <c r="S595" s="334"/>
      <c r="T595" s="334"/>
      <c r="U595" s="334"/>
      <c r="V595" s="334"/>
      <c r="W595" s="334"/>
      <c r="X595" s="334"/>
      <c r="Y595" s="334"/>
      <c r="Z595" s="334"/>
      <c r="AA595" s="334"/>
      <c r="AB595" s="334"/>
      <c r="AC595" s="334"/>
      <c r="AD595" s="334"/>
    </row>
    <row r="596" ht="16.5" customHeight="1">
      <c r="A596" s="334"/>
      <c r="B596" s="329"/>
      <c r="C596" s="329" t="s">
        <v>585</v>
      </c>
      <c r="D596" s="331" t="s">
        <v>585</v>
      </c>
      <c r="E596" s="331" t="s">
        <v>585</v>
      </c>
      <c r="F596" s="331" t="s">
        <v>585</v>
      </c>
      <c r="G596" s="331">
        <f>iferror(sumifs('Hợp tác'!G:G,'Hợp tác'!A:A,B596,'Hợp tác'!H:H,$G$2,'Hợp tác'!I:I,$I$2),"")</f>
        <v>0</v>
      </c>
      <c r="H596" s="332">
        <f>SUMIFS(View!J:J,View!B:B,B596)</f>
        <v>0</v>
      </c>
      <c r="I596" s="332">
        <f>sumifs('Hoa Hồng'!L:L,'Hoa Hồng'!A:A,B596)</f>
        <v>0</v>
      </c>
      <c r="J596" s="332">
        <v>0.0</v>
      </c>
      <c r="K596" s="333" t="s">
        <v>1211</v>
      </c>
      <c r="L596" s="334"/>
      <c r="M596" s="334"/>
      <c r="N596" s="334"/>
      <c r="O596" s="334"/>
      <c r="P596" s="334"/>
      <c r="Q596" s="334"/>
      <c r="R596" s="334"/>
      <c r="S596" s="334"/>
      <c r="T596" s="334"/>
      <c r="U596" s="334"/>
      <c r="V596" s="334"/>
      <c r="W596" s="334"/>
      <c r="X596" s="334"/>
      <c r="Y596" s="334"/>
      <c r="Z596" s="334"/>
      <c r="AA596" s="334"/>
      <c r="AB596" s="334"/>
      <c r="AC596" s="334"/>
      <c r="AD596" s="334"/>
    </row>
    <row r="597" ht="16.5" customHeight="1">
      <c r="A597" s="334"/>
      <c r="B597" s="329"/>
      <c r="C597" s="329" t="s">
        <v>585</v>
      </c>
      <c r="D597" s="331" t="s">
        <v>585</v>
      </c>
      <c r="E597" s="331" t="s">
        <v>585</v>
      </c>
      <c r="F597" s="331" t="s">
        <v>585</v>
      </c>
      <c r="G597" s="331">
        <f>iferror(sumifs('Hợp tác'!G:G,'Hợp tác'!A:A,B597,'Hợp tác'!H:H,$G$2,'Hợp tác'!I:I,$I$2),"")</f>
        <v>0</v>
      </c>
      <c r="H597" s="332">
        <f>SUMIFS(View!J:J,View!B:B,B597)</f>
        <v>0</v>
      </c>
      <c r="I597" s="332">
        <f>sumifs('Hoa Hồng'!L:L,'Hoa Hồng'!A:A,B597)</f>
        <v>0</v>
      </c>
      <c r="J597" s="332">
        <v>0.0</v>
      </c>
      <c r="K597" s="333" t="s">
        <v>1211</v>
      </c>
      <c r="L597" s="334"/>
      <c r="M597" s="334"/>
      <c r="N597" s="334"/>
      <c r="O597" s="334"/>
      <c r="P597" s="334"/>
      <c r="Q597" s="334"/>
      <c r="R597" s="334"/>
      <c r="S597" s="334"/>
      <c r="T597" s="334"/>
      <c r="U597" s="334"/>
      <c r="V597" s="334"/>
      <c r="W597" s="334"/>
      <c r="X597" s="334"/>
      <c r="Y597" s="334"/>
      <c r="Z597" s="334"/>
      <c r="AA597" s="334"/>
      <c r="AB597" s="334"/>
      <c r="AC597" s="334"/>
      <c r="AD597" s="334"/>
    </row>
    <row r="598" ht="16.5" customHeight="1">
      <c r="A598" s="334"/>
      <c r="B598" s="329"/>
      <c r="C598" s="329" t="s">
        <v>585</v>
      </c>
      <c r="D598" s="331" t="s">
        <v>585</v>
      </c>
      <c r="E598" s="331" t="s">
        <v>585</v>
      </c>
      <c r="F598" s="331" t="s">
        <v>585</v>
      </c>
      <c r="G598" s="331">
        <f>iferror(sumifs('Hợp tác'!G:G,'Hợp tác'!A:A,B598,'Hợp tác'!H:H,$G$2,'Hợp tác'!I:I,$I$2),"")</f>
        <v>0</v>
      </c>
      <c r="H598" s="332">
        <f>SUMIFS(View!J:J,View!B:B,B598)</f>
        <v>0</v>
      </c>
      <c r="I598" s="332">
        <f>sumifs('Hoa Hồng'!L:L,'Hoa Hồng'!A:A,B598)</f>
        <v>0</v>
      </c>
      <c r="J598" s="332">
        <v>0.0</v>
      </c>
      <c r="K598" s="333" t="s">
        <v>1211</v>
      </c>
      <c r="L598" s="334"/>
      <c r="M598" s="334"/>
      <c r="N598" s="334"/>
      <c r="O598" s="334"/>
      <c r="P598" s="334"/>
      <c r="Q598" s="334"/>
      <c r="R598" s="334"/>
      <c r="S598" s="334"/>
      <c r="T598" s="334"/>
      <c r="U598" s="334"/>
      <c r="V598" s="334"/>
      <c r="W598" s="334"/>
      <c r="X598" s="334"/>
      <c r="Y598" s="334"/>
      <c r="Z598" s="334"/>
      <c r="AA598" s="334"/>
      <c r="AB598" s="334"/>
      <c r="AC598" s="334"/>
      <c r="AD598" s="334"/>
    </row>
    <row r="599" ht="16.5" customHeight="1">
      <c r="A599" s="334"/>
      <c r="B599" s="329"/>
      <c r="C599" s="329" t="s">
        <v>585</v>
      </c>
      <c r="D599" s="331" t="s">
        <v>585</v>
      </c>
      <c r="E599" s="331" t="s">
        <v>585</v>
      </c>
      <c r="F599" s="331" t="s">
        <v>585</v>
      </c>
      <c r="G599" s="331">
        <f>iferror(sumifs('Hợp tác'!G:G,'Hợp tác'!A:A,B599,'Hợp tác'!H:H,$G$2,'Hợp tác'!I:I,$I$2),"")</f>
        <v>0</v>
      </c>
      <c r="H599" s="332">
        <f>SUMIFS(View!J:J,View!B:B,B599)</f>
        <v>0</v>
      </c>
      <c r="I599" s="332">
        <f>sumifs('Hoa Hồng'!L:L,'Hoa Hồng'!A:A,B599)</f>
        <v>0</v>
      </c>
      <c r="J599" s="332">
        <v>0.0</v>
      </c>
      <c r="K599" s="333" t="s">
        <v>1211</v>
      </c>
      <c r="L599" s="334"/>
      <c r="M599" s="334"/>
      <c r="N599" s="334"/>
      <c r="O599" s="334"/>
      <c r="P599" s="334"/>
      <c r="Q599" s="334"/>
      <c r="R599" s="334"/>
      <c r="S599" s="334"/>
      <c r="T599" s="334"/>
      <c r="U599" s="334"/>
      <c r="V599" s="334"/>
      <c r="W599" s="334"/>
      <c r="X599" s="334"/>
      <c r="Y599" s="334"/>
      <c r="Z599" s="334"/>
      <c r="AA599" s="334"/>
      <c r="AB599" s="334"/>
      <c r="AC599" s="334"/>
      <c r="AD599" s="334"/>
    </row>
    <row r="600" ht="16.5" customHeight="1">
      <c r="A600" s="334"/>
      <c r="B600" s="329"/>
      <c r="C600" s="329" t="s">
        <v>585</v>
      </c>
      <c r="D600" s="331" t="s">
        <v>585</v>
      </c>
      <c r="E600" s="331" t="s">
        <v>585</v>
      </c>
      <c r="F600" s="331" t="s">
        <v>585</v>
      </c>
      <c r="G600" s="331">
        <f>iferror(sumifs('Hợp tác'!G:G,'Hợp tác'!A:A,B600,'Hợp tác'!H:H,$G$2,'Hợp tác'!I:I,$I$2),"")</f>
        <v>0</v>
      </c>
      <c r="H600" s="332">
        <f>SUMIFS(View!J:J,View!B:B,B600)</f>
        <v>0</v>
      </c>
      <c r="I600" s="332">
        <f>sumifs('Hoa Hồng'!L:L,'Hoa Hồng'!A:A,B600)</f>
        <v>0</v>
      </c>
      <c r="J600" s="332">
        <v>0.0</v>
      </c>
      <c r="K600" s="333" t="s">
        <v>1211</v>
      </c>
      <c r="L600" s="334"/>
      <c r="M600" s="334"/>
      <c r="N600" s="334"/>
      <c r="O600" s="334"/>
      <c r="P600" s="334"/>
      <c r="Q600" s="334"/>
      <c r="R600" s="334"/>
      <c r="S600" s="334"/>
      <c r="T600" s="334"/>
      <c r="U600" s="334"/>
      <c r="V600" s="334"/>
      <c r="W600" s="334"/>
      <c r="X600" s="334"/>
      <c r="Y600" s="334"/>
      <c r="Z600" s="334"/>
      <c r="AA600" s="334"/>
      <c r="AB600" s="334"/>
      <c r="AC600" s="334"/>
      <c r="AD600" s="334"/>
    </row>
    <row r="601" ht="16.5" customHeight="1">
      <c r="A601" s="334"/>
      <c r="B601" s="329"/>
      <c r="C601" s="329" t="s">
        <v>585</v>
      </c>
      <c r="D601" s="331" t="s">
        <v>585</v>
      </c>
      <c r="E601" s="331" t="s">
        <v>585</v>
      </c>
      <c r="F601" s="331" t="s">
        <v>585</v>
      </c>
      <c r="G601" s="331">
        <f>iferror(sumifs('Hợp tác'!G:G,'Hợp tác'!A:A,B601,'Hợp tác'!H:H,$G$2,'Hợp tác'!I:I,$I$2),"")</f>
        <v>0</v>
      </c>
      <c r="H601" s="332">
        <f>SUMIFS(View!J:J,View!B:B,B601)</f>
        <v>0</v>
      </c>
      <c r="I601" s="332">
        <f>sumifs('Hoa Hồng'!L:L,'Hoa Hồng'!A:A,B601)</f>
        <v>0</v>
      </c>
      <c r="J601" s="332">
        <v>0.0</v>
      </c>
      <c r="K601" s="333" t="s">
        <v>1211</v>
      </c>
      <c r="L601" s="334"/>
      <c r="M601" s="334"/>
      <c r="N601" s="334"/>
      <c r="O601" s="334"/>
      <c r="P601" s="334"/>
      <c r="Q601" s="334"/>
      <c r="R601" s="334"/>
      <c r="S601" s="334"/>
      <c r="T601" s="334"/>
      <c r="U601" s="334"/>
      <c r="V601" s="334"/>
      <c r="W601" s="334"/>
      <c r="X601" s="334"/>
      <c r="Y601" s="334"/>
      <c r="Z601" s="334"/>
      <c r="AA601" s="334"/>
      <c r="AB601" s="334"/>
      <c r="AC601" s="334"/>
      <c r="AD601" s="334"/>
    </row>
    <row r="602" ht="16.5" customHeight="1">
      <c r="A602" s="334"/>
      <c r="B602" s="329"/>
      <c r="C602" s="329" t="s">
        <v>585</v>
      </c>
      <c r="D602" s="331" t="s">
        <v>585</v>
      </c>
      <c r="E602" s="331" t="s">
        <v>585</v>
      </c>
      <c r="F602" s="331" t="s">
        <v>585</v>
      </c>
      <c r="G602" s="331">
        <f>iferror(sumifs('Hợp tác'!G:G,'Hợp tác'!A:A,B602,'Hợp tác'!H:H,$G$2,'Hợp tác'!I:I,$I$2),"")</f>
        <v>0</v>
      </c>
      <c r="H602" s="332">
        <f>SUMIFS(View!J:J,View!B:B,B602)</f>
        <v>0</v>
      </c>
      <c r="I602" s="332">
        <f>sumifs('Hoa Hồng'!L:L,'Hoa Hồng'!A:A,B602)</f>
        <v>0</v>
      </c>
      <c r="J602" s="332">
        <v>0.0</v>
      </c>
      <c r="K602" s="333" t="s">
        <v>1211</v>
      </c>
      <c r="L602" s="334"/>
      <c r="M602" s="334"/>
      <c r="N602" s="334"/>
      <c r="O602" s="334"/>
      <c r="P602" s="334"/>
      <c r="Q602" s="334"/>
      <c r="R602" s="334"/>
      <c r="S602" s="334"/>
      <c r="T602" s="334"/>
      <c r="U602" s="334"/>
      <c r="V602" s="334"/>
      <c r="W602" s="334"/>
      <c r="X602" s="334"/>
      <c r="Y602" s="334"/>
      <c r="Z602" s="334"/>
      <c r="AA602" s="334"/>
      <c r="AB602" s="334"/>
      <c r="AC602" s="334"/>
      <c r="AD602" s="334"/>
    </row>
    <row r="603" ht="16.5" customHeight="1">
      <c r="A603" s="334"/>
      <c r="B603" s="329"/>
      <c r="C603" s="329" t="s">
        <v>585</v>
      </c>
      <c r="D603" s="331" t="s">
        <v>585</v>
      </c>
      <c r="E603" s="331" t="s">
        <v>585</v>
      </c>
      <c r="F603" s="331" t="s">
        <v>585</v>
      </c>
      <c r="G603" s="331">
        <f>iferror(sumifs('Hợp tác'!G:G,'Hợp tác'!A:A,B603,'Hợp tác'!H:H,$G$2,'Hợp tác'!I:I,$I$2),"")</f>
        <v>0</v>
      </c>
      <c r="H603" s="332">
        <f>SUMIFS(View!J:J,View!B:B,B603)</f>
        <v>0</v>
      </c>
      <c r="I603" s="332">
        <f>sumifs('Hoa Hồng'!L:L,'Hoa Hồng'!A:A,B603)</f>
        <v>0</v>
      </c>
      <c r="J603" s="332">
        <v>0.0</v>
      </c>
      <c r="K603" s="333" t="s">
        <v>1211</v>
      </c>
      <c r="L603" s="334"/>
      <c r="M603" s="334"/>
      <c r="N603" s="334"/>
      <c r="O603" s="334"/>
      <c r="P603" s="334"/>
      <c r="Q603" s="334"/>
      <c r="R603" s="334"/>
      <c r="S603" s="334"/>
      <c r="T603" s="334"/>
      <c r="U603" s="334"/>
      <c r="V603" s="334"/>
      <c r="W603" s="334"/>
      <c r="X603" s="334"/>
      <c r="Y603" s="334"/>
      <c r="Z603" s="334"/>
      <c r="AA603" s="334"/>
      <c r="AB603" s="334"/>
      <c r="AC603" s="334"/>
      <c r="AD603" s="334"/>
    </row>
    <row r="604" ht="16.5" customHeight="1">
      <c r="A604" s="334"/>
      <c r="B604" s="329"/>
      <c r="C604" s="329" t="s">
        <v>585</v>
      </c>
      <c r="D604" s="331" t="s">
        <v>585</v>
      </c>
      <c r="E604" s="331" t="s">
        <v>585</v>
      </c>
      <c r="F604" s="331" t="s">
        <v>585</v>
      </c>
      <c r="G604" s="331">
        <f>iferror(sumifs('Hợp tác'!G:G,'Hợp tác'!A:A,B604,'Hợp tác'!H:H,$G$2,'Hợp tác'!I:I,$I$2),"")</f>
        <v>0</v>
      </c>
      <c r="H604" s="332">
        <f>SUMIFS(View!J:J,View!B:B,B604)</f>
        <v>0</v>
      </c>
      <c r="I604" s="332">
        <f>sumifs('Hoa Hồng'!L:L,'Hoa Hồng'!A:A,B604)</f>
        <v>0</v>
      </c>
      <c r="J604" s="332">
        <v>0.0</v>
      </c>
      <c r="K604" s="333" t="s">
        <v>1211</v>
      </c>
      <c r="L604" s="334"/>
      <c r="M604" s="334"/>
      <c r="N604" s="334"/>
      <c r="O604" s="334"/>
      <c r="P604" s="334"/>
      <c r="Q604" s="334"/>
      <c r="R604" s="334"/>
      <c r="S604" s="334"/>
      <c r="T604" s="334"/>
      <c r="U604" s="334"/>
      <c r="V604" s="334"/>
      <c r="W604" s="334"/>
      <c r="X604" s="334"/>
      <c r="Y604" s="334"/>
      <c r="Z604" s="334"/>
      <c r="AA604" s="334"/>
      <c r="AB604" s="334"/>
      <c r="AC604" s="334"/>
      <c r="AD604" s="334"/>
    </row>
    <row r="605" ht="16.5" customHeight="1">
      <c r="A605" s="334"/>
      <c r="B605" s="329"/>
      <c r="C605" s="329" t="s">
        <v>585</v>
      </c>
      <c r="D605" s="331" t="s">
        <v>585</v>
      </c>
      <c r="E605" s="331" t="s">
        <v>585</v>
      </c>
      <c r="F605" s="331" t="s">
        <v>585</v>
      </c>
      <c r="G605" s="331">
        <f>iferror(sumifs('Hợp tác'!G:G,'Hợp tác'!A:A,B605,'Hợp tác'!H:H,$G$2,'Hợp tác'!I:I,$I$2),"")</f>
        <v>0</v>
      </c>
      <c r="H605" s="332">
        <f>SUMIFS(View!J:J,View!B:B,B605)</f>
        <v>0</v>
      </c>
      <c r="I605" s="332">
        <f>sumifs('Hoa Hồng'!L:L,'Hoa Hồng'!A:A,B605)</f>
        <v>0</v>
      </c>
      <c r="J605" s="332">
        <v>0.0</v>
      </c>
      <c r="K605" s="333" t="s">
        <v>1211</v>
      </c>
      <c r="L605" s="334"/>
      <c r="M605" s="334"/>
      <c r="N605" s="334"/>
      <c r="O605" s="334"/>
      <c r="P605" s="334"/>
      <c r="Q605" s="334"/>
      <c r="R605" s="334"/>
      <c r="S605" s="334"/>
      <c r="T605" s="334"/>
      <c r="U605" s="334"/>
      <c r="V605" s="334"/>
      <c r="W605" s="334"/>
      <c r="X605" s="334"/>
      <c r="Y605" s="334"/>
      <c r="Z605" s="334"/>
      <c r="AA605" s="334"/>
      <c r="AB605" s="334"/>
      <c r="AC605" s="334"/>
      <c r="AD605" s="334"/>
    </row>
    <row r="606" ht="16.5" customHeight="1">
      <c r="A606" s="334"/>
      <c r="B606" s="329"/>
      <c r="C606" s="329" t="s">
        <v>585</v>
      </c>
      <c r="D606" s="331" t="s">
        <v>585</v>
      </c>
      <c r="E606" s="331" t="s">
        <v>585</v>
      </c>
      <c r="F606" s="331" t="s">
        <v>585</v>
      </c>
      <c r="G606" s="331">
        <f>iferror(sumifs('Hợp tác'!G:G,'Hợp tác'!A:A,B606,'Hợp tác'!H:H,$G$2,'Hợp tác'!I:I,$I$2),"")</f>
        <v>0</v>
      </c>
      <c r="H606" s="332">
        <f>SUMIFS(View!J:J,View!B:B,B606)</f>
        <v>0</v>
      </c>
      <c r="I606" s="332">
        <f>sumifs('Hoa Hồng'!L:L,'Hoa Hồng'!A:A,B606)</f>
        <v>0</v>
      </c>
      <c r="J606" s="332">
        <v>0.0</v>
      </c>
      <c r="K606" s="333" t="s">
        <v>1211</v>
      </c>
      <c r="L606" s="334"/>
      <c r="M606" s="334"/>
      <c r="N606" s="334"/>
      <c r="O606" s="334"/>
      <c r="P606" s="334"/>
      <c r="Q606" s="334"/>
      <c r="R606" s="334"/>
      <c r="S606" s="334"/>
      <c r="T606" s="334"/>
      <c r="U606" s="334"/>
      <c r="V606" s="334"/>
      <c r="W606" s="334"/>
      <c r="X606" s="334"/>
      <c r="Y606" s="334"/>
      <c r="Z606" s="334"/>
      <c r="AA606" s="334"/>
      <c r="AB606" s="334"/>
      <c r="AC606" s="334"/>
      <c r="AD606" s="334"/>
    </row>
    <row r="607" ht="16.5" customHeight="1">
      <c r="A607" s="334"/>
      <c r="B607" s="329"/>
      <c r="C607" s="329" t="s">
        <v>585</v>
      </c>
      <c r="D607" s="331" t="s">
        <v>585</v>
      </c>
      <c r="E607" s="331" t="s">
        <v>585</v>
      </c>
      <c r="F607" s="331" t="s">
        <v>585</v>
      </c>
      <c r="G607" s="331">
        <f>iferror(sumifs('Hợp tác'!G:G,'Hợp tác'!A:A,B607,'Hợp tác'!H:H,$G$2,'Hợp tác'!I:I,$I$2),"")</f>
        <v>0</v>
      </c>
      <c r="H607" s="332">
        <f>SUMIFS(View!J:J,View!B:B,B607)</f>
        <v>0</v>
      </c>
      <c r="I607" s="332">
        <f>sumifs('Hoa Hồng'!L:L,'Hoa Hồng'!A:A,B607)</f>
        <v>0</v>
      </c>
      <c r="J607" s="332">
        <v>0.0</v>
      </c>
      <c r="K607" s="333" t="s">
        <v>1211</v>
      </c>
      <c r="L607" s="334"/>
      <c r="M607" s="334"/>
      <c r="N607" s="334"/>
      <c r="O607" s="334"/>
      <c r="P607" s="334"/>
      <c r="Q607" s="334"/>
      <c r="R607" s="334"/>
      <c r="S607" s="334"/>
      <c r="T607" s="334"/>
      <c r="U607" s="334"/>
      <c r="V607" s="334"/>
      <c r="W607" s="334"/>
      <c r="X607" s="334"/>
      <c r="Y607" s="334"/>
      <c r="Z607" s="334"/>
      <c r="AA607" s="334"/>
      <c r="AB607" s="334"/>
      <c r="AC607" s="334"/>
      <c r="AD607" s="334"/>
    </row>
    <row r="608" ht="16.5" customHeight="1">
      <c r="A608" s="334"/>
      <c r="B608" s="329"/>
      <c r="C608" s="329" t="s">
        <v>585</v>
      </c>
      <c r="D608" s="331" t="s">
        <v>585</v>
      </c>
      <c r="E608" s="331" t="s">
        <v>585</v>
      </c>
      <c r="F608" s="331" t="s">
        <v>585</v>
      </c>
      <c r="G608" s="331">
        <f>iferror(sumifs('Hợp tác'!G:G,'Hợp tác'!A:A,B608,'Hợp tác'!H:H,$G$2,'Hợp tác'!I:I,$I$2),"")</f>
        <v>0</v>
      </c>
      <c r="H608" s="332">
        <f>SUMIFS(View!J:J,View!B:B,B608)</f>
        <v>0</v>
      </c>
      <c r="I608" s="332">
        <f>sumifs('Hoa Hồng'!L:L,'Hoa Hồng'!A:A,B608)</f>
        <v>0</v>
      </c>
      <c r="J608" s="332">
        <v>0.0</v>
      </c>
      <c r="K608" s="333" t="s">
        <v>1211</v>
      </c>
      <c r="L608" s="334"/>
      <c r="M608" s="334"/>
      <c r="N608" s="334"/>
      <c r="O608" s="334"/>
      <c r="P608" s="334"/>
      <c r="Q608" s="334"/>
      <c r="R608" s="334"/>
      <c r="S608" s="334"/>
      <c r="T608" s="334"/>
      <c r="U608" s="334"/>
      <c r="V608" s="334"/>
      <c r="W608" s="334"/>
      <c r="X608" s="334"/>
      <c r="Y608" s="334"/>
      <c r="Z608" s="334"/>
      <c r="AA608" s="334"/>
      <c r="AB608" s="334"/>
      <c r="AC608" s="334"/>
      <c r="AD608" s="334"/>
    </row>
    <row r="609" ht="16.5" customHeight="1">
      <c r="A609" s="334"/>
      <c r="B609" s="329"/>
      <c r="C609" s="329" t="s">
        <v>585</v>
      </c>
      <c r="D609" s="331" t="s">
        <v>585</v>
      </c>
      <c r="E609" s="331" t="s">
        <v>585</v>
      </c>
      <c r="F609" s="331" t="s">
        <v>585</v>
      </c>
      <c r="G609" s="331">
        <f>iferror(sumifs('Hợp tác'!G:G,'Hợp tác'!A:A,B609,'Hợp tác'!H:H,$G$2,'Hợp tác'!I:I,$I$2),"")</f>
        <v>0</v>
      </c>
      <c r="H609" s="332">
        <f>SUMIFS(View!J:J,View!B:B,B609)</f>
        <v>0</v>
      </c>
      <c r="I609" s="332">
        <f>sumifs('Hoa Hồng'!L:L,'Hoa Hồng'!A:A,B609)</f>
        <v>0</v>
      </c>
      <c r="J609" s="332">
        <v>0.0</v>
      </c>
      <c r="K609" s="333" t="s">
        <v>1211</v>
      </c>
      <c r="L609" s="334"/>
      <c r="M609" s="334"/>
      <c r="N609" s="334"/>
      <c r="O609" s="334"/>
      <c r="P609" s="334"/>
      <c r="Q609" s="334"/>
      <c r="R609" s="334"/>
      <c r="S609" s="334"/>
      <c r="T609" s="334"/>
      <c r="U609" s="334"/>
      <c r="V609" s="334"/>
      <c r="W609" s="334"/>
      <c r="X609" s="334"/>
      <c r="Y609" s="334"/>
      <c r="Z609" s="334"/>
      <c r="AA609" s="334"/>
      <c r="AB609" s="334"/>
      <c r="AC609" s="334"/>
      <c r="AD609" s="334"/>
    </row>
    <row r="610" ht="16.5" customHeight="1">
      <c r="A610" s="334"/>
      <c r="B610" s="329"/>
      <c r="C610" s="329" t="s">
        <v>585</v>
      </c>
      <c r="D610" s="331" t="s">
        <v>585</v>
      </c>
      <c r="E610" s="331" t="s">
        <v>585</v>
      </c>
      <c r="F610" s="331" t="s">
        <v>585</v>
      </c>
      <c r="G610" s="331">
        <f>iferror(sumifs('Hợp tác'!G:G,'Hợp tác'!A:A,B610,'Hợp tác'!H:H,$G$2,'Hợp tác'!I:I,$I$2),"")</f>
        <v>0</v>
      </c>
      <c r="H610" s="332">
        <f>SUMIFS(View!J:J,View!B:B,B610)</f>
        <v>0</v>
      </c>
      <c r="I610" s="332">
        <f>sumifs('Hoa Hồng'!L:L,'Hoa Hồng'!A:A,B610)</f>
        <v>0</v>
      </c>
      <c r="J610" s="332">
        <v>0.0</v>
      </c>
      <c r="K610" s="333" t="s">
        <v>1211</v>
      </c>
      <c r="L610" s="334"/>
      <c r="M610" s="334"/>
      <c r="N610" s="334"/>
      <c r="O610" s="334"/>
      <c r="P610" s="334"/>
      <c r="Q610" s="334"/>
      <c r="R610" s="334"/>
      <c r="S610" s="334"/>
      <c r="T610" s="334"/>
      <c r="U610" s="334"/>
      <c r="V610" s="334"/>
      <c r="W610" s="334"/>
      <c r="X610" s="334"/>
      <c r="Y610" s="334"/>
      <c r="Z610" s="334"/>
      <c r="AA610" s="334"/>
      <c r="AB610" s="334"/>
      <c r="AC610" s="334"/>
      <c r="AD610" s="334"/>
    </row>
    <row r="611" ht="16.5" customHeight="1">
      <c r="A611" s="334"/>
      <c r="B611" s="329"/>
      <c r="C611" s="329" t="s">
        <v>585</v>
      </c>
      <c r="D611" s="331" t="s">
        <v>585</v>
      </c>
      <c r="E611" s="331" t="s">
        <v>585</v>
      </c>
      <c r="F611" s="331" t="s">
        <v>585</v>
      </c>
      <c r="G611" s="331">
        <f>iferror(sumifs('Hợp tác'!G:G,'Hợp tác'!A:A,B611,'Hợp tác'!H:H,$G$2,'Hợp tác'!I:I,$I$2),"")</f>
        <v>0</v>
      </c>
      <c r="H611" s="332">
        <f>SUMIFS(View!J:J,View!B:B,B611)</f>
        <v>0</v>
      </c>
      <c r="I611" s="332">
        <f>sumifs('Hoa Hồng'!L:L,'Hoa Hồng'!A:A,B611)</f>
        <v>0</v>
      </c>
      <c r="J611" s="332">
        <v>0.0</v>
      </c>
      <c r="K611" s="333" t="s">
        <v>1211</v>
      </c>
      <c r="L611" s="334"/>
      <c r="M611" s="334"/>
      <c r="N611" s="334"/>
      <c r="O611" s="334"/>
      <c r="P611" s="334"/>
      <c r="Q611" s="334"/>
      <c r="R611" s="334"/>
      <c r="S611" s="334"/>
      <c r="T611" s="334"/>
      <c r="U611" s="334"/>
      <c r="V611" s="334"/>
      <c r="W611" s="334"/>
      <c r="X611" s="334"/>
      <c r="Y611" s="334"/>
      <c r="Z611" s="334"/>
      <c r="AA611" s="334"/>
      <c r="AB611" s="334"/>
      <c r="AC611" s="334"/>
      <c r="AD611" s="334"/>
    </row>
    <row r="612" ht="16.5" customHeight="1">
      <c r="A612" s="334"/>
      <c r="B612" s="329"/>
      <c r="C612" s="329" t="s">
        <v>585</v>
      </c>
      <c r="D612" s="331" t="s">
        <v>585</v>
      </c>
      <c r="E612" s="331" t="s">
        <v>585</v>
      </c>
      <c r="F612" s="331" t="s">
        <v>585</v>
      </c>
      <c r="G612" s="331">
        <f>iferror(sumifs('Hợp tác'!G:G,'Hợp tác'!A:A,B612,'Hợp tác'!H:H,$G$2,'Hợp tác'!I:I,$I$2),"")</f>
        <v>0</v>
      </c>
      <c r="H612" s="332">
        <f>SUMIFS(View!J:J,View!B:B,B612)</f>
        <v>0</v>
      </c>
      <c r="I612" s="332">
        <f>sumifs('Hoa Hồng'!L:L,'Hoa Hồng'!A:A,B612)</f>
        <v>0</v>
      </c>
      <c r="J612" s="332">
        <v>0.0</v>
      </c>
      <c r="K612" s="333" t="s">
        <v>1211</v>
      </c>
      <c r="L612" s="334"/>
      <c r="M612" s="334"/>
      <c r="N612" s="334"/>
      <c r="O612" s="334"/>
      <c r="P612" s="334"/>
      <c r="Q612" s="334"/>
      <c r="R612" s="334"/>
      <c r="S612" s="334"/>
      <c r="T612" s="334"/>
      <c r="U612" s="334"/>
      <c r="V612" s="334"/>
      <c r="W612" s="334"/>
      <c r="X612" s="334"/>
      <c r="Y612" s="334"/>
      <c r="Z612" s="334"/>
      <c r="AA612" s="334"/>
      <c r="AB612" s="334"/>
      <c r="AC612" s="334"/>
      <c r="AD612" s="334"/>
    </row>
    <row r="613" ht="16.5" customHeight="1">
      <c r="A613" s="334"/>
      <c r="B613" s="329"/>
      <c r="C613" s="329" t="s">
        <v>585</v>
      </c>
      <c r="D613" s="331" t="s">
        <v>585</v>
      </c>
      <c r="E613" s="331" t="s">
        <v>585</v>
      </c>
      <c r="F613" s="331" t="s">
        <v>585</v>
      </c>
      <c r="G613" s="331">
        <f>iferror(sumifs('Hợp tác'!G:G,'Hợp tác'!A:A,B613,'Hợp tác'!H:H,$G$2,'Hợp tác'!I:I,$I$2),"")</f>
        <v>0</v>
      </c>
      <c r="H613" s="332">
        <f>SUMIFS(View!J:J,View!B:B,B613)</f>
        <v>0</v>
      </c>
      <c r="I613" s="332">
        <f>sumifs('Hoa Hồng'!L:L,'Hoa Hồng'!A:A,B613)</f>
        <v>0</v>
      </c>
      <c r="J613" s="332">
        <v>0.0</v>
      </c>
      <c r="K613" s="333" t="s">
        <v>1211</v>
      </c>
      <c r="L613" s="334"/>
      <c r="M613" s="334"/>
      <c r="N613" s="334"/>
      <c r="O613" s="334"/>
      <c r="P613" s="334"/>
      <c r="Q613" s="334"/>
      <c r="R613" s="334"/>
      <c r="S613" s="334"/>
      <c r="T613" s="334"/>
      <c r="U613" s="334"/>
      <c r="V613" s="334"/>
      <c r="W613" s="334"/>
      <c r="X613" s="334"/>
      <c r="Y613" s="334"/>
      <c r="Z613" s="334"/>
      <c r="AA613" s="334"/>
      <c r="AB613" s="334"/>
      <c r="AC613" s="334"/>
      <c r="AD613" s="334"/>
    </row>
    <row r="614" ht="16.5" customHeight="1">
      <c r="A614" s="334"/>
      <c r="B614" s="329"/>
      <c r="C614" s="329" t="s">
        <v>585</v>
      </c>
      <c r="D614" s="331" t="s">
        <v>585</v>
      </c>
      <c r="E614" s="331" t="s">
        <v>585</v>
      </c>
      <c r="F614" s="331" t="s">
        <v>585</v>
      </c>
      <c r="G614" s="331">
        <f>iferror(sumifs('Hợp tác'!G:G,'Hợp tác'!A:A,B614,'Hợp tác'!H:H,$G$2,'Hợp tác'!I:I,$I$2),"")</f>
        <v>0</v>
      </c>
      <c r="H614" s="332">
        <f>SUMIFS(View!J:J,View!B:B,B614)</f>
        <v>0</v>
      </c>
      <c r="I614" s="332">
        <f>sumifs('Hoa Hồng'!L:L,'Hoa Hồng'!A:A,B614)</f>
        <v>0</v>
      </c>
      <c r="J614" s="332">
        <v>0.0</v>
      </c>
      <c r="K614" s="333" t="s">
        <v>1211</v>
      </c>
      <c r="L614" s="334"/>
      <c r="M614" s="334"/>
      <c r="N614" s="334"/>
      <c r="O614" s="334"/>
      <c r="P614" s="334"/>
      <c r="Q614" s="334"/>
      <c r="R614" s="334"/>
      <c r="S614" s="334"/>
      <c r="T614" s="334"/>
      <c r="U614" s="334"/>
      <c r="V614" s="334"/>
      <c r="W614" s="334"/>
      <c r="X614" s="334"/>
      <c r="Y614" s="334"/>
      <c r="Z614" s="334"/>
      <c r="AA614" s="334"/>
      <c r="AB614" s="334"/>
      <c r="AC614" s="334"/>
      <c r="AD614" s="334"/>
    </row>
    <row r="615" ht="16.5" customHeight="1">
      <c r="A615" s="334"/>
      <c r="B615" s="329"/>
      <c r="C615" s="329" t="s">
        <v>585</v>
      </c>
      <c r="D615" s="331" t="s">
        <v>585</v>
      </c>
      <c r="E615" s="331" t="s">
        <v>585</v>
      </c>
      <c r="F615" s="331" t="s">
        <v>585</v>
      </c>
      <c r="G615" s="331">
        <f>iferror(sumifs('Hợp tác'!G:G,'Hợp tác'!A:A,B615,'Hợp tác'!H:H,$G$2,'Hợp tác'!I:I,$I$2),"")</f>
        <v>0</v>
      </c>
      <c r="H615" s="332">
        <f>SUMIFS(View!J:J,View!B:B,B615)</f>
        <v>0</v>
      </c>
      <c r="I615" s="332">
        <f>sumifs('Hoa Hồng'!L:L,'Hoa Hồng'!A:A,B615)</f>
        <v>0</v>
      </c>
      <c r="J615" s="332">
        <v>0.0</v>
      </c>
      <c r="K615" s="333" t="s">
        <v>1211</v>
      </c>
      <c r="L615" s="334"/>
      <c r="M615" s="334"/>
      <c r="N615" s="334"/>
      <c r="O615" s="334"/>
      <c r="P615" s="334"/>
      <c r="Q615" s="334"/>
      <c r="R615" s="334"/>
      <c r="S615" s="334"/>
      <c r="T615" s="334"/>
      <c r="U615" s="334"/>
      <c r="V615" s="334"/>
      <c r="W615" s="334"/>
      <c r="X615" s="334"/>
      <c r="Y615" s="334"/>
      <c r="Z615" s="334"/>
      <c r="AA615" s="334"/>
      <c r="AB615" s="334"/>
      <c r="AC615" s="334"/>
      <c r="AD615" s="334"/>
    </row>
    <row r="616" ht="16.5" customHeight="1">
      <c r="A616" s="334"/>
      <c r="B616" s="329"/>
      <c r="C616" s="329" t="s">
        <v>585</v>
      </c>
      <c r="D616" s="331" t="s">
        <v>585</v>
      </c>
      <c r="E616" s="331" t="s">
        <v>585</v>
      </c>
      <c r="F616" s="331" t="s">
        <v>585</v>
      </c>
      <c r="G616" s="331">
        <f>iferror(sumifs('Hợp tác'!G:G,'Hợp tác'!A:A,B616,'Hợp tác'!H:H,$G$2,'Hợp tác'!I:I,$I$2),"")</f>
        <v>0</v>
      </c>
      <c r="H616" s="332">
        <f>SUMIFS(View!J:J,View!B:B,B616)</f>
        <v>0</v>
      </c>
      <c r="I616" s="332">
        <f>sumifs('Hoa Hồng'!L:L,'Hoa Hồng'!A:A,B616)</f>
        <v>0</v>
      </c>
      <c r="J616" s="332">
        <v>0.0</v>
      </c>
      <c r="K616" s="333" t="s">
        <v>1211</v>
      </c>
      <c r="L616" s="334"/>
      <c r="M616" s="334"/>
      <c r="N616" s="334"/>
      <c r="O616" s="334"/>
      <c r="P616" s="334"/>
      <c r="Q616" s="334"/>
      <c r="R616" s="334"/>
      <c r="S616" s="334"/>
      <c r="T616" s="334"/>
      <c r="U616" s="334"/>
      <c r="V616" s="334"/>
      <c r="W616" s="334"/>
      <c r="X616" s="334"/>
      <c r="Y616" s="334"/>
      <c r="Z616" s="334"/>
      <c r="AA616" s="334"/>
      <c r="AB616" s="334"/>
      <c r="AC616" s="334"/>
      <c r="AD616" s="334"/>
    </row>
    <row r="617" ht="16.5" customHeight="1">
      <c r="A617" s="334"/>
      <c r="B617" s="329"/>
      <c r="C617" s="329" t="s">
        <v>585</v>
      </c>
      <c r="D617" s="331" t="s">
        <v>585</v>
      </c>
      <c r="E617" s="331" t="s">
        <v>585</v>
      </c>
      <c r="F617" s="331" t="s">
        <v>585</v>
      </c>
      <c r="G617" s="331">
        <f>iferror(sumifs('Hợp tác'!G:G,'Hợp tác'!A:A,B617,'Hợp tác'!H:H,$G$2,'Hợp tác'!I:I,$I$2),"")</f>
        <v>0</v>
      </c>
      <c r="H617" s="332">
        <f>SUMIFS(View!J:J,View!B:B,B617)</f>
        <v>0</v>
      </c>
      <c r="I617" s="332">
        <f>sumifs('Hoa Hồng'!L:L,'Hoa Hồng'!A:A,B617)</f>
        <v>0</v>
      </c>
      <c r="J617" s="332">
        <v>0.0</v>
      </c>
      <c r="K617" s="333" t="s">
        <v>1211</v>
      </c>
      <c r="L617" s="334"/>
      <c r="M617" s="334"/>
      <c r="N617" s="334"/>
      <c r="O617" s="334"/>
      <c r="P617" s="334"/>
      <c r="Q617" s="334"/>
      <c r="R617" s="334"/>
      <c r="S617" s="334"/>
      <c r="T617" s="334"/>
      <c r="U617" s="334"/>
      <c r="V617" s="334"/>
      <c r="W617" s="334"/>
      <c r="X617" s="334"/>
      <c r="Y617" s="334"/>
      <c r="Z617" s="334"/>
      <c r="AA617" s="334"/>
      <c r="AB617" s="334"/>
      <c r="AC617" s="334"/>
      <c r="AD617" s="334"/>
    </row>
    <row r="618" ht="16.5" customHeight="1">
      <c r="A618" s="334"/>
      <c r="B618" s="329"/>
      <c r="C618" s="329" t="s">
        <v>585</v>
      </c>
      <c r="D618" s="331" t="s">
        <v>585</v>
      </c>
      <c r="E618" s="331" t="s">
        <v>585</v>
      </c>
      <c r="F618" s="331" t="s">
        <v>585</v>
      </c>
      <c r="G618" s="331">
        <f>iferror(sumifs('Hợp tác'!G:G,'Hợp tác'!A:A,B618,'Hợp tác'!H:H,$G$2,'Hợp tác'!I:I,$I$2),"")</f>
        <v>0</v>
      </c>
      <c r="H618" s="332">
        <f>SUMIFS(View!J:J,View!B:B,B618)</f>
        <v>0</v>
      </c>
      <c r="I618" s="332">
        <f>sumifs('Hoa Hồng'!L:L,'Hoa Hồng'!A:A,B618)</f>
        <v>0</v>
      </c>
      <c r="J618" s="332">
        <v>0.0</v>
      </c>
      <c r="K618" s="333" t="s">
        <v>1211</v>
      </c>
      <c r="L618" s="334"/>
      <c r="M618" s="334"/>
      <c r="N618" s="334"/>
      <c r="O618" s="334"/>
      <c r="P618" s="334"/>
      <c r="Q618" s="334"/>
      <c r="R618" s="334"/>
      <c r="S618" s="334"/>
      <c r="T618" s="334"/>
      <c r="U618" s="334"/>
      <c r="V618" s="334"/>
      <c r="W618" s="334"/>
      <c r="X618" s="334"/>
      <c r="Y618" s="334"/>
      <c r="Z618" s="334"/>
      <c r="AA618" s="334"/>
      <c r="AB618" s="334"/>
      <c r="AC618" s="334"/>
      <c r="AD618" s="334"/>
    </row>
    <row r="619" ht="16.5" customHeight="1">
      <c r="A619" s="334"/>
      <c r="B619" s="329"/>
      <c r="C619" s="329" t="s">
        <v>585</v>
      </c>
      <c r="D619" s="331" t="s">
        <v>585</v>
      </c>
      <c r="E619" s="331" t="s">
        <v>585</v>
      </c>
      <c r="F619" s="331" t="s">
        <v>585</v>
      </c>
      <c r="G619" s="331">
        <f>iferror(sumifs('Hợp tác'!G:G,'Hợp tác'!A:A,B619,'Hợp tác'!H:H,$G$2,'Hợp tác'!I:I,$I$2),"")</f>
        <v>0</v>
      </c>
      <c r="H619" s="332">
        <f>SUMIFS(View!J:J,View!B:B,B619)</f>
        <v>0</v>
      </c>
      <c r="I619" s="332">
        <f>sumifs('Hoa Hồng'!L:L,'Hoa Hồng'!A:A,B619)</f>
        <v>0</v>
      </c>
      <c r="J619" s="332">
        <v>0.0</v>
      </c>
      <c r="K619" s="333" t="s">
        <v>1211</v>
      </c>
      <c r="L619" s="334"/>
      <c r="M619" s="334"/>
      <c r="N619" s="334"/>
      <c r="O619" s="334"/>
      <c r="P619" s="334"/>
      <c r="Q619" s="334"/>
      <c r="R619" s="334"/>
      <c r="S619" s="334"/>
      <c r="T619" s="334"/>
      <c r="U619" s="334"/>
      <c r="V619" s="334"/>
      <c r="W619" s="334"/>
      <c r="X619" s="334"/>
      <c r="Y619" s="334"/>
      <c r="Z619" s="334"/>
      <c r="AA619" s="334"/>
      <c r="AB619" s="334"/>
      <c r="AC619" s="334"/>
      <c r="AD619" s="334"/>
    </row>
    <row r="620" ht="16.5" customHeight="1">
      <c r="A620" s="334"/>
      <c r="B620" s="329"/>
      <c r="C620" s="329" t="s">
        <v>585</v>
      </c>
      <c r="D620" s="331" t="s">
        <v>585</v>
      </c>
      <c r="E620" s="331" t="s">
        <v>585</v>
      </c>
      <c r="F620" s="331" t="s">
        <v>585</v>
      </c>
      <c r="G620" s="331">
        <f>iferror(sumifs('Hợp tác'!G:G,'Hợp tác'!A:A,B620,'Hợp tác'!H:H,$G$2,'Hợp tác'!I:I,$I$2),"")</f>
        <v>0</v>
      </c>
      <c r="H620" s="332">
        <f>SUMIFS(View!J:J,View!B:B,B620)</f>
        <v>0</v>
      </c>
      <c r="I620" s="332">
        <f>sumifs('Hoa Hồng'!L:L,'Hoa Hồng'!A:A,B620)</f>
        <v>0</v>
      </c>
      <c r="J620" s="332">
        <v>0.0</v>
      </c>
      <c r="K620" s="333" t="s">
        <v>1211</v>
      </c>
      <c r="L620" s="334"/>
      <c r="M620" s="334"/>
      <c r="N620" s="334"/>
      <c r="O620" s="334"/>
      <c r="P620" s="334"/>
      <c r="Q620" s="334"/>
      <c r="R620" s="334"/>
      <c r="S620" s="334"/>
      <c r="T620" s="334"/>
      <c r="U620" s="334"/>
      <c r="V620" s="334"/>
      <c r="W620" s="334"/>
      <c r="X620" s="334"/>
      <c r="Y620" s="334"/>
      <c r="Z620" s="334"/>
      <c r="AA620" s="334"/>
      <c r="AB620" s="334"/>
      <c r="AC620" s="334"/>
      <c r="AD620" s="334"/>
    </row>
    <row r="621" ht="16.5" customHeight="1">
      <c r="A621" s="334"/>
      <c r="B621" s="329"/>
      <c r="C621" s="329" t="s">
        <v>585</v>
      </c>
      <c r="D621" s="331" t="s">
        <v>585</v>
      </c>
      <c r="E621" s="331" t="s">
        <v>585</v>
      </c>
      <c r="F621" s="331" t="s">
        <v>585</v>
      </c>
      <c r="G621" s="331">
        <f>iferror(sumifs('Hợp tác'!G:G,'Hợp tác'!A:A,B621,'Hợp tác'!H:H,$G$2,'Hợp tác'!I:I,$I$2),"")</f>
        <v>0</v>
      </c>
      <c r="H621" s="332">
        <f>SUMIFS(View!J:J,View!B:B,B621)</f>
        <v>0</v>
      </c>
      <c r="I621" s="332">
        <f>sumifs('Hoa Hồng'!L:L,'Hoa Hồng'!A:A,B621)</f>
        <v>0</v>
      </c>
      <c r="J621" s="332">
        <v>0.0</v>
      </c>
      <c r="K621" s="333" t="s">
        <v>1211</v>
      </c>
      <c r="L621" s="334"/>
      <c r="M621" s="334"/>
      <c r="N621" s="334"/>
      <c r="O621" s="334"/>
      <c r="P621" s="334"/>
      <c r="Q621" s="334"/>
      <c r="R621" s="334"/>
      <c r="S621" s="334"/>
      <c r="T621" s="334"/>
      <c r="U621" s="334"/>
      <c r="V621" s="334"/>
      <c r="W621" s="334"/>
      <c r="X621" s="334"/>
      <c r="Y621" s="334"/>
      <c r="Z621" s="334"/>
      <c r="AA621" s="334"/>
      <c r="AB621" s="334"/>
      <c r="AC621" s="334"/>
      <c r="AD621" s="334"/>
    </row>
    <row r="622" ht="16.5" customHeight="1">
      <c r="A622" s="334"/>
      <c r="B622" s="329"/>
      <c r="C622" s="329" t="s">
        <v>585</v>
      </c>
      <c r="D622" s="331" t="s">
        <v>585</v>
      </c>
      <c r="E622" s="331" t="s">
        <v>585</v>
      </c>
      <c r="F622" s="331" t="s">
        <v>585</v>
      </c>
      <c r="G622" s="331">
        <f>iferror(sumifs('Hợp tác'!G:G,'Hợp tác'!A:A,B622,'Hợp tác'!H:H,$G$2,'Hợp tác'!I:I,$I$2),"")</f>
        <v>0</v>
      </c>
      <c r="H622" s="332">
        <f>SUMIFS(View!J:J,View!B:B,B622)</f>
        <v>0</v>
      </c>
      <c r="I622" s="332">
        <f>sumifs('Hoa Hồng'!L:L,'Hoa Hồng'!A:A,B622)</f>
        <v>0</v>
      </c>
      <c r="J622" s="332">
        <v>0.0</v>
      </c>
      <c r="K622" s="333" t="s">
        <v>1211</v>
      </c>
      <c r="L622" s="334"/>
      <c r="M622" s="334"/>
      <c r="N622" s="334"/>
      <c r="O622" s="334"/>
      <c r="P622" s="334"/>
      <c r="Q622" s="334"/>
      <c r="R622" s="334"/>
      <c r="S622" s="334"/>
      <c r="T622" s="334"/>
      <c r="U622" s="334"/>
      <c r="V622" s="334"/>
      <c r="W622" s="334"/>
      <c r="X622" s="334"/>
      <c r="Y622" s="334"/>
      <c r="Z622" s="334"/>
      <c r="AA622" s="334"/>
      <c r="AB622" s="334"/>
      <c r="AC622" s="334"/>
      <c r="AD622" s="334"/>
    </row>
    <row r="623" ht="16.5" customHeight="1">
      <c r="A623" s="334"/>
      <c r="B623" s="329"/>
      <c r="C623" s="329" t="s">
        <v>585</v>
      </c>
      <c r="D623" s="331" t="s">
        <v>585</v>
      </c>
      <c r="E623" s="331" t="s">
        <v>585</v>
      </c>
      <c r="F623" s="331" t="s">
        <v>585</v>
      </c>
      <c r="G623" s="331">
        <f>iferror(sumifs('Hợp tác'!G:G,'Hợp tác'!A:A,B623,'Hợp tác'!H:H,$G$2,'Hợp tác'!I:I,$I$2),"")</f>
        <v>0</v>
      </c>
      <c r="H623" s="332">
        <f>SUMIFS(View!J:J,View!B:B,B623)</f>
        <v>0</v>
      </c>
      <c r="I623" s="332">
        <f>sumifs('Hoa Hồng'!L:L,'Hoa Hồng'!A:A,B623)</f>
        <v>0</v>
      </c>
      <c r="J623" s="332">
        <v>0.0</v>
      </c>
      <c r="K623" s="333" t="s">
        <v>1211</v>
      </c>
      <c r="L623" s="334"/>
      <c r="M623" s="334"/>
      <c r="N623" s="334"/>
      <c r="O623" s="334"/>
      <c r="P623" s="334"/>
      <c r="Q623" s="334"/>
      <c r="R623" s="334"/>
      <c r="S623" s="334"/>
      <c r="T623" s="334"/>
      <c r="U623" s="334"/>
      <c r="V623" s="334"/>
      <c r="W623" s="334"/>
      <c r="X623" s="334"/>
      <c r="Y623" s="334"/>
      <c r="Z623" s="334"/>
      <c r="AA623" s="334"/>
      <c r="AB623" s="334"/>
      <c r="AC623" s="334"/>
      <c r="AD623" s="334"/>
    </row>
    <row r="624" ht="16.5" customHeight="1">
      <c r="A624" s="334"/>
      <c r="B624" s="329"/>
      <c r="C624" s="329" t="s">
        <v>585</v>
      </c>
      <c r="D624" s="331" t="s">
        <v>585</v>
      </c>
      <c r="E624" s="331" t="s">
        <v>585</v>
      </c>
      <c r="F624" s="331" t="s">
        <v>585</v>
      </c>
      <c r="G624" s="331">
        <f>iferror(sumifs('Hợp tác'!G:G,'Hợp tác'!A:A,B624,'Hợp tác'!H:H,$G$2,'Hợp tác'!I:I,$I$2),"")</f>
        <v>0</v>
      </c>
      <c r="H624" s="332">
        <f>SUMIFS(View!J:J,View!B:B,B624)</f>
        <v>0</v>
      </c>
      <c r="I624" s="332">
        <f>sumifs('Hoa Hồng'!L:L,'Hoa Hồng'!A:A,B624)</f>
        <v>0</v>
      </c>
      <c r="J624" s="332">
        <v>0.0</v>
      </c>
      <c r="K624" s="333" t="s">
        <v>1211</v>
      </c>
      <c r="L624" s="334"/>
      <c r="M624" s="334"/>
      <c r="N624" s="334"/>
      <c r="O624" s="334"/>
      <c r="P624" s="334"/>
      <c r="Q624" s="334"/>
      <c r="R624" s="334"/>
      <c r="S624" s="334"/>
      <c r="T624" s="334"/>
      <c r="U624" s="334"/>
      <c r="V624" s="334"/>
      <c r="W624" s="334"/>
      <c r="X624" s="334"/>
      <c r="Y624" s="334"/>
      <c r="Z624" s="334"/>
      <c r="AA624" s="334"/>
      <c r="AB624" s="334"/>
      <c r="AC624" s="334"/>
      <c r="AD624" s="334"/>
    </row>
    <row r="625" ht="16.5" customHeight="1">
      <c r="A625" s="334"/>
      <c r="B625" s="329"/>
      <c r="C625" s="329" t="s">
        <v>585</v>
      </c>
      <c r="D625" s="331" t="s">
        <v>585</v>
      </c>
      <c r="E625" s="331" t="s">
        <v>585</v>
      </c>
      <c r="F625" s="331" t="s">
        <v>585</v>
      </c>
      <c r="G625" s="331">
        <f>iferror(sumifs('Hợp tác'!G:G,'Hợp tác'!A:A,B625,'Hợp tác'!H:H,$G$2,'Hợp tác'!I:I,$I$2),"")</f>
        <v>0</v>
      </c>
      <c r="H625" s="332">
        <f>SUMIFS(View!J:J,View!B:B,B625)</f>
        <v>0</v>
      </c>
      <c r="I625" s="332">
        <f>sumifs('Hoa Hồng'!L:L,'Hoa Hồng'!A:A,B625)</f>
        <v>0</v>
      </c>
      <c r="J625" s="332">
        <v>0.0</v>
      </c>
      <c r="K625" s="333" t="s">
        <v>1211</v>
      </c>
      <c r="L625" s="334"/>
      <c r="M625" s="334"/>
      <c r="N625" s="334"/>
      <c r="O625" s="334"/>
      <c r="P625" s="334"/>
      <c r="Q625" s="334"/>
      <c r="R625" s="334"/>
      <c r="S625" s="334"/>
      <c r="T625" s="334"/>
      <c r="U625" s="334"/>
      <c r="V625" s="334"/>
      <c r="W625" s="334"/>
      <c r="X625" s="334"/>
      <c r="Y625" s="334"/>
      <c r="Z625" s="334"/>
      <c r="AA625" s="334"/>
      <c r="AB625" s="334"/>
      <c r="AC625" s="334"/>
      <c r="AD625" s="334"/>
    </row>
    <row r="626" ht="16.5" customHeight="1">
      <c r="A626" s="334"/>
      <c r="B626" s="329"/>
      <c r="C626" s="329" t="s">
        <v>585</v>
      </c>
      <c r="D626" s="331" t="s">
        <v>585</v>
      </c>
      <c r="E626" s="331" t="s">
        <v>585</v>
      </c>
      <c r="F626" s="331" t="s">
        <v>585</v>
      </c>
      <c r="G626" s="331">
        <f>iferror(sumifs('Hợp tác'!G:G,'Hợp tác'!A:A,B626,'Hợp tác'!H:H,$G$2,'Hợp tác'!I:I,$I$2),"")</f>
        <v>0</v>
      </c>
      <c r="H626" s="332">
        <f>SUMIFS(View!J:J,View!B:B,B626)</f>
        <v>0</v>
      </c>
      <c r="I626" s="332">
        <f>sumifs('Hoa Hồng'!L:L,'Hoa Hồng'!A:A,B626)</f>
        <v>0</v>
      </c>
      <c r="J626" s="332">
        <v>0.0</v>
      </c>
      <c r="K626" s="333" t="s">
        <v>1211</v>
      </c>
      <c r="L626" s="334"/>
      <c r="M626" s="334"/>
      <c r="N626" s="334"/>
      <c r="O626" s="334"/>
      <c r="P626" s="334"/>
      <c r="Q626" s="334"/>
      <c r="R626" s="334"/>
      <c r="S626" s="334"/>
      <c r="T626" s="334"/>
      <c r="U626" s="334"/>
      <c r="V626" s="334"/>
      <c r="W626" s="334"/>
      <c r="X626" s="334"/>
      <c r="Y626" s="334"/>
      <c r="Z626" s="334"/>
      <c r="AA626" s="334"/>
      <c r="AB626" s="334"/>
      <c r="AC626" s="334"/>
      <c r="AD626" s="334"/>
    </row>
    <row r="627" ht="16.5" customHeight="1">
      <c r="A627" s="334"/>
      <c r="B627" s="329"/>
      <c r="C627" s="329" t="s">
        <v>585</v>
      </c>
      <c r="D627" s="331" t="s">
        <v>585</v>
      </c>
      <c r="E627" s="331" t="s">
        <v>585</v>
      </c>
      <c r="F627" s="331" t="s">
        <v>585</v>
      </c>
      <c r="G627" s="331">
        <f>iferror(sumifs('Hợp tác'!G:G,'Hợp tác'!A:A,B627,'Hợp tác'!H:H,$G$2,'Hợp tác'!I:I,$I$2),"")</f>
        <v>0</v>
      </c>
      <c r="H627" s="332">
        <f>SUMIFS(View!J:J,View!B:B,B627)</f>
        <v>0</v>
      </c>
      <c r="I627" s="332">
        <f>sumifs('Hoa Hồng'!L:L,'Hoa Hồng'!A:A,B627)</f>
        <v>0</v>
      </c>
      <c r="J627" s="332">
        <v>0.0</v>
      </c>
      <c r="K627" s="333" t="s">
        <v>1211</v>
      </c>
      <c r="L627" s="334"/>
      <c r="M627" s="334"/>
      <c r="N627" s="334"/>
      <c r="O627" s="334"/>
      <c r="P627" s="334"/>
      <c r="Q627" s="334"/>
      <c r="R627" s="334"/>
      <c r="S627" s="334"/>
      <c r="T627" s="334"/>
      <c r="U627" s="334"/>
      <c r="V627" s="334"/>
      <c r="W627" s="334"/>
      <c r="X627" s="334"/>
      <c r="Y627" s="334"/>
      <c r="Z627" s="334"/>
      <c r="AA627" s="334"/>
      <c r="AB627" s="334"/>
      <c r="AC627" s="334"/>
      <c r="AD627" s="334"/>
    </row>
    <row r="628" ht="16.5" customHeight="1">
      <c r="A628" s="334"/>
      <c r="B628" s="329"/>
      <c r="C628" s="329" t="s">
        <v>585</v>
      </c>
      <c r="D628" s="331" t="s">
        <v>585</v>
      </c>
      <c r="E628" s="331" t="s">
        <v>585</v>
      </c>
      <c r="F628" s="331" t="s">
        <v>585</v>
      </c>
      <c r="G628" s="331">
        <f>iferror(sumifs('Hợp tác'!G:G,'Hợp tác'!A:A,B628,'Hợp tác'!H:H,$G$2,'Hợp tác'!I:I,$I$2),"")</f>
        <v>0</v>
      </c>
      <c r="H628" s="332">
        <f>SUMIFS(View!J:J,View!B:B,B628)</f>
        <v>0</v>
      </c>
      <c r="I628" s="332">
        <f>sumifs('Hoa Hồng'!L:L,'Hoa Hồng'!A:A,B628)</f>
        <v>0</v>
      </c>
      <c r="J628" s="332">
        <v>0.0</v>
      </c>
      <c r="K628" s="333" t="s">
        <v>1211</v>
      </c>
      <c r="L628" s="334"/>
      <c r="M628" s="334"/>
      <c r="N628" s="334"/>
      <c r="O628" s="334"/>
      <c r="P628" s="334"/>
      <c r="Q628" s="334"/>
      <c r="R628" s="334"/>
      <c r="S628" s="334"/>
      <c r="T628" s="334"/>
      <c r="U628" s="334"/>
      <c r="V628" s="334"/>
      <c r="W628" s="334"/>
      <c r="X628" s="334"/>
      <c r="Y628" s="334"/>
      <c r="Z628" s="334"/>
      <c r="AA628" s="334"/>
      <c r="AB628" s="334"/>
      <c r="AC628" s="334"/>
      <c r="AD628" s="334"/>
    </row>
    <row r="629" ht="16.5" customHeight="1">
      <c r="A629" s="334"/>
      <c r="B629" s="329"/>
      <c r="C629" s="329" t="s">
        <v>585</v>
      </c>
      <c r="D629" s="331" t="s">
        <v>585</v>
      </c>
      <c r="E629" s="331" t="s">
        <v>585</v>
      </c>
      <c r="F629" s="331" t="s">
        <v>585</v>
      </c>
      <c r="G629" s="331">
        <f>iferror(sumifs('Hợp tác'!G:G,'Hợp tác'!A:A,B629,'Hợp tác'!H:H,$G$2,'Hợp tác'!I:I,$I$2),"")</f>
        <v>0</v>
      </c>
      <c r="H629" s="332">
        <f>SUMIFS(View!J:J,View!B:B,B629)</f>
        <v>0</v>
      </c>
      <c r="I629" s="332">
        <f>sumifs('Hoa Hồng'!L:L,'Hoa Hồng'!A:A,B629)</f>
        <v>0</v>
      </c>
      <c r="J629" s="332">
        <v>0.0</v>
      </c>
      <c r="K629" s="333" t="s">
        <v>1211</v>
      </c>
      <c r="L629" s="334"/>
      <c r="M629" s="334"/>
      <c r="N629" s="334"/>
      <c r="O629" s="334"/>
      <c r="P629" s="334"/>
      <c r="Q629" s="334"/>
      <c r="R629" s="334"/>
      <c r="S629" s="334"/>
      <c r="T629" s="334"/>
      <c r="U629" s="334"/>
      <c r="V629" s="334"/>
      <c r="W629" s="334"/>
      <c r="X629" s="334"/>
      <c r="Y629" s="334"/>
      <c r="Z629" s="334"/>
      <c r="AA629" s="334"/>
      <c r="AB629" s="334"/>
      <c r="AC629" s="334"/>
      <c r="AD629" s="334"/>
    </row>
    <row r="630" ht="16.5" customHeight="1">
      <c r="A630" s="334"/>
      <c r="B630" s="329"/>
      <c r="C630" s="329" t="s">
        <v>585</v>
      </c>
      <c r="D630" s="331" t="s">
        <v>585</v>
      </c>
      <c r="E630" s="331" t="s">
        <v>585</v>
      </c>
      <c r="F630" s="331" t="s">
        <v>585</v>
      </c>
      <c r="G630" s="331">
        <f>iferror(sumifs('Hợp tác'!G:G,'Hợp tác'!A:A,B630,'Hợp tác'!H:H,$G$2,'Hợp tác'!I:I,$I$2),"")</f>
        <v>0</v>
      </c>
      <c r="H630" s="332">
        <f>SUMIFS(View!J:J,View!B:B,B630)</f>
        <v>0</v>
      </c>
      <c r="I630" s="332">
        <f>sumifs('Hoa Hồng'!L:L,'Hoa Hồng'!A:A,B630)</f>
        <v>0</v>
      </c>
      <c r="J630" s="332">
        <v>0.0</v>
      </c>
      <c r="K630" s="333" t="s">
        <v>1211</v>
      </c>
      <c r="L630" s="334"/>
      <c r="M630" s="334"/>
      <c r="N630" s="334"/>
      <c r="O630" s="334"/>
      <c r="P630" s="334"/>
      <c r="Q630" s="334"/>
      <c r="R630" s="334"/>
      <c r="S630" s="334"/>
      <c r="T630" s="334"/>
      <c r="U630" s="334"/>
      <c r="V630" s="334"/>
      <c r="W630" s="334"/>
      <c r="X630" s="334"/>
      <c r="Y630" s="334"/>
      <c r="Z630" s="334"/>
      <c r="AA630" s="334"/>
      <c r="AB630" s="334"/>
      <c r="AC630" s="334"/>
      <c r="AD630" s="334"/>
    </row>
    <row r="631" ht="16.5" customHeight="1">
      <c r="A631" s="334"/>
      <c r="B631" s="329"/>
      <c r="C631" s="329" t="s">
        <v>585</v>
      </c>
      <c r="D631" s="331" t="s">
        <v>585</v>
      </c>
      <c r="E631" s="331" t="s">
        <v>585</v>
      </c>
      <c r="F631" s="331" t="s">
        <v>585</v>
      </c>
      <c r="G631" s="331">
        <f>iferror(sumifs('Hợp tác'!G:G,'Hợp tác'!A:A,B631,'Hợp tác'!H:H,$G$2,'Hợp tác'!I:I,$I$2),"")</f>
        <v>0</v>
      </c>
      <c r="H631" s="332">
        <f>SUMIFS(View!J:J,View!B:B,B631)</f>
        <v>0</v>
      </c>
      <c r="I631" s="332">
        <f>sumifs('Hoa Hồng'!L:L,'Hoa Hồng'!A:A,B631)</f>
        <v>0</v>
      </c>
      <c r="J631" s="332">
        <v>0.0</v>
      </c>
      <c r="K631" s="333" t="s">
        <v>1211</v>
      </c>
      <c r="L631" s="334"/>
      <c r="M631" s="334"/>
      <c r="N631" s="334"/>
      <c r="O631" s="334"/>
      <c r="P631" s="334"/>
      <c r="Q631" s="334"/>
      <c r="R631" s="334"/>
      <c r="S631" s="334"/>
      <c r="T631" s="334"/>
      <c r="U631" s="334"/>
      <c r="V631" s="334"/>
      <c r="W631" s="334"/>
      <c r="X631" s="334"/>
      <c r="Y631" s="334"/>
      <c r="Z631" s="334"/>
      <c r="AA631" s="334"/>
      <c r="AB631" s="334"/>
      <c r="AC631" s="334"/>
      <c r="AD631" s="334"/>
    </row>
    <row r="632" ht="16.5" customHeight="1">
      <c r="A632" s="334"/>
      <c r="B632" s="329"/>
      <c r="C632" s="329" t="s">
        <v>585</v>
      </c>
      <c r="D632" s="331" t="s">
        <v>585</v>
      </c>
      <c r="E632" s="331" t="s">
        <v>585</v>
      </c>
      <c r="F632" s="331" t="s">
        <v>585</v>
      </c>
      <c r="G632" s="331">
        <f>iferror(sumifs('Hợp tác'!G:G,'Hợp tác'!A:A,B632,'Hợp tác'!H:H,$G$2,'Hợp tác'!I:I,$I$2),"")</f>
        <v>0</v>
      </c>
      <c r="H632" s="332">
        <f>SUMIFS(View!J:J,View!B:B,B632)</f>
        <v>0</v>
      </c>
      <c r="I632" s="332">
        <f>sumifs('Hoa Hồng'!L:L,'Hoa Hồng'!A:A,B632)</f>
        <v>0</v>
      </c>
      <c r="J632" s="332">
        <v>0.0</v>
      </c>
      <c r="K632" s="333" t="s">
        <v>1211</v>
      </c>
      <c r="L632" s="334"/>
      <c r="M632" s="334"/>
      <c r="N632" s="334"/>
      <c r="O632" s="334"/>
      <c r="P632" s="334"/>
      <c r="Q632" s="334"/>
      <c r="R632" s="334"/>
      <c r="S632" s="334"/>
      <c r="T632" s="334"/>
      <c r="U632" s="334"/>
      <c r="V632" s="334"/>
      <c r="W632" s="334"/>
      <c r="X632" s="334"/>
      <c r="Y632" s="334"/>
      <c r="Z632" s="334"/>
      <c r="AA632" s="334"/>
      <c r="AB632" s="334"/>
      <c r="AC632" s="334"/>
      <c r="AD632" s="334"/>
    </row>
    <row r="633" ht="16.5" customHeight="1">
      <c r="A633" s="334"/>
      <c r="B633" s="329"/>
      <c r="C633" s="329" t="s">
        <v>585</v>
      </c>
      <c r="D633" s="331" t="s">
        <v>585</v>
      </c>
      <c r="E633" s="331" t="s">
        <v>585</v>
      </c>
      <c r="F633" s="331" t="s">
        <v>585</v>
      </c>
      <c r="G633" s="331">
        <f>iferror(sumifs('Hợp tác'!G:G,'Hợp tác'!A:A,B633,'Hợp tác'!H:H,$G$2,'Hợp tác'!I:I,$I$2),"")</f>
        <v>0</v>
      </c>
      <c r="H633" s="332">
        <f>SUMIFS(View!J:J,View!B:B,B633)</f>
        <v>0</v>
      </c>
      <c r="I633" s="332">
        <f>sumifs('Hoa Hồng'!L:L,'Hoa Hồng'!A:A,B633)</f>
        <v>0</v>
      </c>
      <c r="J633" s="332">
        <v>0.0</v>
      </c>
      <c r="K633" s="333" t="s">
        <v>1211</v>
      </c>
      <c r="L633" s="334"/>
      <c r="M633" s="334"/>
      <c r="N633" s="334"/>
      <c r="O633" s="334"/>
      <c r="P633" s="334"/>
      <c r="Q633" s="334"/>
      <c r="R633" s="334"/>
      <c r="S633" s="334"/>
      <c r="T633" s="334"/>
      <c r="U633" s="334"/>
      <c r="V633" s="334"/>
      <c r="W633" s="334"/>
      <c r="X633" s="334"/>
      <c r="Y633" s="334"/>
      <c r="Z633" s="334"/>
      <c r="AA633" s="334"/>
      <c r="AB633" s="334"/>
      <c r="AC633" s="334"/>
      <c r="AD633" s="334"/>
    </row>
    <row r="634" ht="16.5" customHeight="1">
      <c r="A634" s="334"/>
      <c r="B634" s="329"/>
      <c r="C634" s="329" t="s">
        <v>585</v>
      </c>
      <c r="D634" s="331" t="s">
        <v>585</v>
      </c>
      <c r="E634" s="331" t="s">
        <v>585</v>
      </c>
      <c r="F634" s="331" t="s">
        <v>585</v>
      </c>
      <c r="G634" s="331">
        <f>iferror(sumifs('Hợp tác'!G:G,'Hợp tác'!A:A,B634,'Hợp tác'!H:H,$G$2,'Hợp tác'!I:I,$I$2),"")</f>
        <v>0</v>
      </c>
      <c r="H634" s="332">
        <f>SUMIFS(View!J:J,View!B:B,B634)</f>
        <v>0</v>
      </c>
      <c r="I634" s="332">
        <f>sumifs('Hoa Hồng'!L:L,'Hoa Hồng'!A:A,B634)</f>
        <v>0</v>
      </c>
      <c r="J634" s="332">
        <v>0.0</v>
      </c>
      <c r="K634" s="333" t="s">
        <v>1211</v>
      </c>
      <c r="L634" s="334"/>
      <c r="M634" s="334"/>
      <c r="N634" s="334"/>
      <c r="O634" s="334"/>
      <c r="P634" s="334"/>
      <c r="Q634" s="334"/>
      <c r="R634" s="334"/>
      <c r="S634" s="334"/>
      <c r="T634" s="334"/>
      <c r="U634" s="334"/>
      <c r="V634" s="334"/>
      <c r="W634" s="334"/>
      <c r="X634" s="334"/>
      <c r="Y634" s="334"/>
      <c r="Z634" s="334"/>
      <c r="AA634" s="334"/>
      <c r="AB634" s="334"/>
      <c r="AC634" s="334"/>
      <c r="AD634" s="334"/>
    </row>
    <row r="635" ht="16.5" customHeight="1">
      <c r="A635" s="334"/>
      <c r="B635" s="329"/>
      <c r="C635" s="329" t="s">
        <v>585</v>
      </c>
      <c r="D635" s="331" t="s">
        <v>585</v>
      </c>
      <c r="E635" s="331" t="s">
        <v>585</v>
      </c>
      <c r="F635" s="331" t="s">
        <v>585</v>
      </c>
      <c r="G635" s="331">
        <f>iferror(sumifs('Hợp tác'!G:G,'Hợp tác'!A:A,B635,'Hợp tác'!H:H,$G$2,'Hợp tác'!I:I,$I$2),"")</f>
        <v>0</v>
      </c>
      <c r="H635" s="332">
        <f>SUMIFS(View!J:J,View!B:B,B635)</f>
        <v>0</v>
      </c>
      <c r="I635" s="332">
        <f>sumifs('Hoa Hồng'!L:L,'Hoa Hồng'!A:A,B635)</f>
        <v>0</v>
      </c>
      <c r="J635" s="332">
        <v>0.0</v>
      </c>
      <c r="K635" s="333" t="s">
        <v>1211</v>
      </c>
      <c r="L635" s="334"/>
      <c r="M635" s="334"/>
      <c r="N635" s="334"/>
      <c r="O635" s="334"/>
      <c r="P635" s="334"/>
      <c r="Q635" s="334"/>
      <c r="R635" s="334"/>
      <c r="S635" s="334"/>
      <c r="T635" s="334"/>
      <c r="U635" s="334"/>
      <c r="V635" s="334"/>
      <c r="W635" s="334"/>
      <c r="X635" s="334"/>
      <c r="Y635" s="334"/>
      <c r="Z635" s="334"/>
      <c r="AA635" s="334"/>
      <c r="AB635" s="334"/>
      <c r="AC635" s="334"/>
      <c r="AD635" s="334"/>
    </row>
    <row r="636" ht="16.5" customHeight="1">
      <c r="A636" s="334"/>
      <c r="B636" s="329"/>
      <c r="C636" s="329" t="s">
        <v>585</v>
      </c>
      <c r="D636" s="331" t="s">
        <v>585</v>
      </c>
      <c r="E636" s="331" t="s">
        <v>585</v>
      </c>
      <c r="F636" s="331" t="s">
        <v>585</v>
      </c>
      <c r="G636" s="331">
        <f>iferror(sumifs('Hợp tác'!G:G,'Hợp tác'!A:A,B636,'Hợp tác'!H:H,$G$2,'Hợp tác'!I:I,$I$2),"")</f>
        <v>0</v>
      </c>
      <c r="H636" s="332">
        <f>SUMIFS(View!J:J,View!B:B,B636)</f>
        <v>0</v>
      </c>
      <c r="I636" s="332">
        <f>sumifs('Hoa Hồng'!L:L,'Hoa Hồng'!A:A,B636)</f>
        <v>0</v>
      </c>
      <c r="J636" s="332">
        <v>0.0</v>
      </c>
      <c r="K636" s="333" t="s">
        <v>1211</v>
      </c>
      <c r="L636" s="334"/>
      <c r="M636" s="334"/>
      <c r="N636" s="334"/>
      <c r="O636" s="334"/>
      <c r="P636" s="334"/>
      <c r="Q636" s="334"/>
      <c r="R636" s="334"/>
      <c r="S636" s="334"/>
      <c r="T636" s="334"/>
      <c r="U636" s="334"/>
      <c r="V636" s="334"/>
      <c r="W636" s="334"/>
      <c r="X636" s="334"/>
      <c r="Y636" s="334"/>
      <c r="Z636" s="334"/>
      <c r="AA636" s="334"/>
      <c r="AB636" s="334"/>
      <c r="AC636" s="334"/>
      <c r="AD636" s="334"/>
    </row>
    <row r="637" ht="16.5" customHeight="1">
      <c r="A637" s="334"/>
      <c r="B637" s="329"/>
      <c r="C637" s="329" t="s">
        <v>585</v>
      </c>
      <c r="D637" s="331" t="s">
        <v>585</v>
      </c>
      <c r="E637" s="331" t="s">
        <v>585</v>
      </c>
      <c r="F637" s="331" t="s">
        <v>585</v>
      </c>
      <c r="G637" s="331">
        <f>iferror(sumifs('Hợp tác'!G:G,'Hợp tác'!A:A,B637,'Hợp tác'!H:H,$G$2,'Hợp tác'!I:I,$I$2),"")</f>
        <v>0</v>
      </c>
      <c r="H637" s="332">
        <f>SUMIFS(View!J:J,View!B:B,B637)</f>
        <v>0</v>
      </c>
      <c r="I637" s="332">
        <f>sumifs('Hoa Hồng'!L:L,'Hoa Hồng'!A:A,B637)</f>
        <v>0</v>
      </c>
      <c r="J637" s="332">
        <v>0.0</v>
      </c>
      <c r="K637" s="333" t="s">
        <v>1211</v>
      </c>
      <c r="L637" s="334"/>
      <c r="M637" s="334"/>
      <c r="N637" s="334"/>
      <c r="O637" s="334"/>
      <c r="P637" s="334"/>
      <c r="Q637" s="334"/>
      <c r="R637" s="334"/>
      <c r="S637" s="334"/>
      <c r="T637" s="334"/>
      <c r="U637" s="334"/>
      <c r="V637" s="334"/>
      <c r="W637" s="334"/>
      <c r="X637" s="334"/>
      <c r="Y637" s="334"/>
      <c r="Z637" s="334"/>
      <c r="AA637" s="334"/>
      <c r="AB637" s="334"/>
      <c r="AC637" s="334"/>
      <c r="AD637" s="334"/>
    </row>
    <row r="638" ht="16.5" customHeight="1">
      <c r="A638" s="334"/>
      <c r="B638" s="329"/>
      <c r="C638" s="329" t="s">
        <v>585</v>
      </c>
      <c r="D638" s="331" t="s">
        <v>585</v>
      </c>
      <c r="E638" s="331" t="s">
        <v>585</v>
      </c>
      <c r="F638" s="331" t="s">
        <v>585</v>
      </c>
      <c r="G638" s="331">
        <f>iferror(sumifs('Hợp tác'!G:G,'Hợp tác'!A:A,B638,'Hợp tác'!H:H,$G$2,'Hợp tác'!I:I,$I$2),"")</f>
        <v>0</v>
      </c>
      <c r="H638" s="332">
        <f>SUMIFS(View!J:J,View!B:B,B638)</f>
        <v>0</v>
      </c>
      <c r="I638" s="332">
        <f>sumifs('Hoa Hồng'!L:L,'Hoa Hồng'!A:A,B638)</f>
        <v>0</v>
      </c>
      <c r="J638" s="332">
        <v>0.0</v>
      </c>
      <c r="K638" s="333" t="s">
        <v>1211</v>
      </c>
      <c r="L638" s="334"/>
      <c r="M638" s="334"/>
      <c r="N638" s="334"/>
      <c r="O638" s="334"/>
      <c r="P638" s="334"/>
      <c r="Q638" s="334"/>
      <c r="R638" s="334"/>
      <c r="S638" s="334"/>
      <c r="T638" s="334"/>
      <c r="U638" s="334"/>
      <c r="V638" s="334"/>
      <c r="W638" s="334"/>
      <c r="X638" s="334"/>
      <c r="Y638" s="334"/>
      <c r="Z638" s="334"/>
      <c r="AA638" s="334"/>
      <c r="AB638" s="334"/>
      <c r="AC638" s="334"/>
      <c r="AD638" s="334"/>
    </row>
    <row r="639" ht="16.5" customHeight="1">
      <c r="A639" s="334"/>
      <c r="B639" s="329"/>
      <c r="C639" s="329" t="s">
        <v>585</v>
      </c>
      <c r="D639" s="331" t="s">
        <v>585</v>
      </c>
      <c r="E639" s="331" t="s">
        <v>585</v>
      </c>
      <c r="F639" s="331" t="s">
        <v>585</v>
      </c>
      <c r="G639" s="331">
        <f>iferror(sumifs('Hợp tác'!G:G,'Hợp tác'!A:A,B639,'Hợp tác'!H:H,$G$2,'Hợp tác'!I:I,$I$2),"")</f>
        <v>0</v>
      </c>
      <c r="H639" s="332">
        <f>SUMIFS(View!J:J,View!B:B,B639)</f>
        <v>0</v>
      </c>
      <c r="I639" s="332">
        <f>sumifs('Hoa Hồng'!L:L,'Hoa Hồng'!A:A,B639)</f>
        <v>0</v>
      </c>
      <c r="J639" s="332">
        <v>0.0</v>
      </c>
      <c r="K639" s="333" t="s">
        <v>1211</v>
      </c>
      <c r="L639" s="334"/>
      <c r="M639" s="334"/>
      <c r="N639" s="334"/>
      <c r="O639" s="334"/>
      <c r="P639" s="334"/>
      <c r="Q639" s="334"/>
      <c r="R639" s="334"/>
      <c r="S639" s="334"/>
      <c r="T639" s="334"/>
      <c r="U639" s="334"/>
      <c r="V639" s="334"/>
      <c r="W639" s="334"/>
      <c r="X639" s="334"/>
      <c r="Y639" s="334"/>
      <c r="Z639" s="334"/>
      <c r="AA639" s="334"/>
      <c r="AB639" s="334"/>
      <c r="AC639" s="334"/>
      <c r="AD639" s="334"/>
    </row>
    <row r="640" ht="16.5" customHeight="1">
      <c r="A640" s="334"/>
      <c r="B640" s="329"/>
      <c r="C640" s="329" t="s">
        <v>585</v>
      </c>
      <c r="D640" s="331" t="s">
        <v>585</v>
      </c>
      <c r="E640" s="331" t="s">
        <v>585</v>
      </c>
      <c r="F640" s="331" t="s">
        <v>585</v>
      </c>
      <c r="G640" s="331">
        <f>iferror(sumifs('Hợp tác'!G:G,'Hợp tác'!A:A,B640,'Hợp tác'!H:H,$G$2,'Hợp tác'!I:I,$I$2),"")</f>
        <v>0</v>
      </c>
      <c r="H640" s="332">
        <f>SUMIFS(View!J:J,View!B:B,B640)</f>
        <v>0</v>
      </c>
      <c r="I640" s="332">
        <f>sumifs('Hoa Hồng'!L:L,'Hoa Hồng'!A:A,B640)</f>
        <v>0</v>
      </c>
      <c r="J640" s="332">
        <v>0.0</v>
      </c>
      <c r="K640" s="333" t="s">
        <v>1211</v>
      </c>
      <c r="L640" s="334"/>
      <c r="M640" s="334"/>
      <c r="N640" s="334"/>
      <c r="O640" s="334"/>
      <c r="P640" s="334"/>
      <c r="Q640" s="334"/>
      <c r="R640" s="334"/>
      <c r="S640" s="334"/>
      <c r="T640" s="334"/>
      <c r="U640" s="334"/>
      <c r="V640" s="334"/>
      <c r="W640" s="334"/>
      <c r="X640" s="334"/>
      <c r="Y640" s="334"/>
      <c r="Z640" s="334"/>
      <c r="AA640" s="334"/>
      <c r="AB640" s="334"/>
      <c r="AC640" s="334"/>
      <c r="AD640" s="334"/>
    </row>
    <row r="641" ht="16.5" customHeight="1">
      <c r="A641" s="334"/>
      <c r="B641" s="329"/>
      <c r="C641" s="329" t="s">
        <v>585</v>
      </c>
      <c r="D641" s="331" t="s">
        <v>585</v>
      </c>
      <c r="E641" s="331" t="s">
        <v>585</v>
      </c>
      <c r="F641" s="331" t="s">
        <v>585</v>
      </c>
      <c r="G641" s="331">
        <f>iferror(sumifs('Hợp tác'!G:G,'Hợp tác'!A:A,B641,'Hợp tác'!H:H,$G$2,'Hợp tác'!I:I,$I$2),"")</f>
        <v>0</v>
      </c>
      <c r="H641" s="332">
        <f>SUMIFS(View!J:J,View!B:B,B641)</f>
        <v>0</v>
      </c>
      <c r="I641" s="332">
        <f>sumifs('Hoa Hồng'!L:L,'Hoa Hồng'!A:A,B641)</f>
        <v>0</v>
      </c>
      <c r="J641" s="332">
        <v>0.0</v>
      </c>
      <c r="K641" s="333" t="s">
        <v>1211</v>
      </c>
      <c r="L641" s="334"/>
      <c r="M641" s="334"/>
      <c r="N641" s="334"/>
      <c r="O641" s="334"/>
      <c r="P641" s="334"/>
      <c r="Q641" s="334"/>
      <c r="R641" s="334"/>
      <c r="S641" s="334"/>
      <c r="T641" s="334"/>
      <c r="U641" s="334"/>
      <c r="V641" s="334"/>
      <c r="W641" s="334"/>
      <c r="X641" s="334"/>
      <c r="Y641" s="334"/>
      <c r="Z641" s="334"/>
      <c r="AA641" s="334"/>
      <c r="AB641" s="334"/>
      <c r="AC641" s="334"/>
      <c r="AD641" s="334"/>
    </row>
    <row r="642" ht="16.5" customHeight="1">
      <c r="A642" s="334"/>
      <c r="B642" s="329"/>
      <c r="C642" s="329" t="s">
        <v>585</v>
      </c>
      <c r="D642" s="331" t="s">
        <v>585</v>
      </c>
      <c r="E642" s="331" t="s">
        <v>585</v>
      </c>
      <c r="F642" s="331" t="s">
        <v>585</v>
      </c>
      <c r="G642" s="331">
        <f>iferror(sumifs('Hợp tác'!G:G,'Hợp tác'!A:A,B642,'Hợp tác'!H:H,$G$2,'Hợp tác'!I:I,$I$2),"")</f>
        <v>0</v>
      </c>
      <c r="H642" s="332">
        <f>SUMIFS(View!J:J,View!B:B,B642)</f>
        <v>0</v>
      </c>
      <c r="I642" s="332">
        <f>sumifs('Hoa Hồng'!L:L,'Hoa Hồng'!A:A,B642)</f>
        <v>0</v>
      </c>
      <c r="J642" s="332">
        <v>0.0</v>
      </c>
      <c r="K642" s="333" t="s">
        <v>1211</v>
      </c>
      <c r="L642" s="334"/>
      <c r="M642" s="334"/>
      <c r="N642" s="334"/>
      <c r="O642" s="334"/>
      <c r="P642" s="334"/>
      <c r="Q642" s="334"/>
      <c r="R642" s="334"/>
      <c r="S642" s="334"/>
      <c r="T642" s="334"/>
      <c r="U642" s="334"/>
      <c r="V642" s="334"/>
      <c r="W642" s="334"/>
      <c r="X642" s="334"/>
      <c r="Y642" s="334"/>
      <c r="Z642" s="334"/>
      <c r="AA642" s="334"/>
      <c r="AB642" s="334"/>
      <c r="AC642" s="334"/>
      <c r="AD642" s="334"/>
    </row>
    <row r="643" ht="16.5" customHeight="1">
      <c r="A643" s="334"/>
      <c r="B643" s="329"/>
      <c r="C643" s="329" t="s">
        <v>585</v>
      </c>
      <c r="D643" s="331" t="s">
        <v>585</v>
      </c>
      <c r="E643" s="331" t="s">
        <v>585</v>
      </c>
      <c r="F643" s="331" t="s">
        <v>585</v>
      </c>
      <c r="G643" s="331">
        <f>iferror(sumifs('Hợp tác'!G:G,'Hợp tác'!A:A,B643,'Hợp tác'!H:H,$G$2,'Hợp tác'!I:I,$I$2),"")</f>
        <v>0</v>
      </c>
      <c r="H643" s="332">
        <f>SUMIFS(View!J:J,View!B:B,B643)</f>
        <v>0</v>
      </c>
      <c r="I643" s="332">
        <f>sumifs('Hoa Hồng'!L:L,'Hoa Hồng'!A:A,B643)</f>
        <v>0</v>
      </c>
      <c r="J643" s="332">
        <v>0.0</v>
      </c>
      <c r="K643" s="333" t="s">
        <v>1211</v>
      </c>
      <c r="L643" s="334"/>
      <c r="M643" s="334"/>
      <c r="N643" s="334"/>
      <c r="O643" s="334"/>
      <c r="P643" s="334"/>
      <c r="Q643" s="334"/>
      <c r="R643" s="334"/>
      <c r="S643" s="334"/>
      <c r="T643" s="334"/>
      <c r="U643" s="334"/>
      <c r="V643" s="334"/>
      <c r="W643" s="334"/>
      <c r="X643" s="334"/>
      <c r="Y643" s="334"/>
      <c r="Z643" s="334"/>
      <c r="AA643" s="334"/>
      <c r="AB643" s="334"/>
      <c r="AC643" s="334"/>
      <c r="AD643" s="334"/>
    </row>
    <row r="644" ht="16.5" customHeight="1">
      <c r="A644" s="334"/>
      <c r="B644" s="329"/>
      <c r="C644" s="329" t="s">
        <v>585</v>
      </c>
      <c r="D644" s="331" t="s">
        <v>585</v>
      </c>
      <c r="E644" s="331" t="s">
        <v>585</v>
      </c>
      <c r="F644" s="331" t="s">
        <v>585</v>
      </c>
      <c r="G644" s="331">
        <f>iferror(sumifs('Hợp tác'!G:G,'Hợp tác'!A:A,B644,'Hợp tác'!H:H,$G$2,'Hợp tác'!I:I,$I$2),"")</f>
        <v>0</v>
      </c>
      <c r="H644" s="332">
        <f>SUMIFS(View!J:J,View!B:B,B644)</f>
        <v>0</v>
      </c>
      <c r="I644" s="332">
        <f>sumifs('Hoa Hồng'!L:L,'Hoa Hồng'!A:A,B644)</f>
        <v>0</v>
      </c>
      <c r="J644" s="332">
        <v>0.0</v>
      </c>
      <c r="K644" s="333" t="s">
        <v>1211</v>
      </c>
      <c r="L644" s="334"/>
      <c r="M644" s="334"/>
      <c r="N644" s="334"/>
      <c r="O644" s="334"/>
      <c r="P644" s="334"/>
      <c r="Q644" s="334"/>
      <c r="R644" s="334"/>
      <c r="S644" s="334"/>
      <c r="T644" s="334"/>
      <c r="U644" s="334"/>
      <c r="V644" s="334"/>
      <c r="W644" s="334"/>
      <c r="X644" s="334"/>
      <c r="Y644" s="334"/>
      <c r="Z644" s="334"/>
      <c r="AA644" s="334"/>
      <c r="AB644" s="334"/>
      <c r="AC644" s="334"/>
      <c r="AD644" s="334"/>
    </row>
    <row r="645" ht="16.5" customHeight="1">
      <c r="A645" s="334"/>
      <c r="B645" s="329"/>
      <c r="C645" s="329" t="s">
        <v>585</v>
      </c>
      <c r="D645" s="331" t="s">
        <v>585</v>
      </c>
      <c r="E645" s="331" t="s">
        <v>585</v>
      </c>
      <c r="F645" s="331" t="s">
        <v>585</v>
      </c>
      <c r="G645" s="331">
        <f>iferror(sumifs('Hợp tác'!G:G,'Hợp tác'!A:A,B645,'Hợp tác'!H:H,$G$2,'Hợp tác'!I:I,$I$2),"")</f>
        <v>0</v>
      </c>
      <c r="H645" s="332">
        <f>SUMIFS(View!J:J,View!B:B,B645)</f>
        <v>0</v>
      </c>
      <c r="I645" s="332">
        <f>sumifs('Hoa Hồng'!L:L,'Hoa Hồng'!A:A,B645)</f>
        <v>0</v>
      </c>
      <c r="J645" s="332">
        <v>0.0</v>
      </c>
      <c r="K645" s="333" t="s">
        <v>1211</v>
      </c>
      <c r="L645" s="334"/>
      <c r="M645" s="334"/>
      <c r="N645" s="334"/>
      <c r="O645" s="334"/>
      <c r="P645" s="334"/>
      <c r="Q645" s="334"/>
      <c r="R645" s="334"/>
      <c r="S645" s="334"/>
      <c r="T645" s="334"/>
      <c r="U645" s="334"/>
      <c r="V645" s="334"/>
      <c r="W645" s="334"/>
      <c r="X645" s="334"/>
      <c r="Y645" s="334"/>
      <c r="Z645" s="334"/>
      <c r="AA645" s="334"/>
      <c r="AB645" s="334"/>
      <c r="AC645" s="334"/>
      <c r="AD645" s="334"/>
    </row>
    <row r="646" ht="16.5" customHeight="1">
      <c r="A646" s="334"/>
      <c r="B646" s="329"/>
      <c r="C646" s="329" t="s">
        <v>585</v>
      </c>
      <c r="D646" s="331" t="s">
        <v>585</v>
      </c>
      <c r="E646" s="331" t="s">
        <v>585</v>
      </c>
      <c r="F646" s="331" t="s">
        <v>585</v>
      </c>
      <c r="G646" s="331">
        <f>iferror(sumifs('Hợp tác'!G:G,'Hợp tác'!A:A,B646,'Hợp tác'!H:H,$G$2,'Hợp tác'!I:I,$I$2),"")</f>
        <v>0</v>
      </c>
      <c r="H646" s="332">
        <f>SUMIFS(View!J:J,View!B:B,B646)</f>
        <v>0</v>
      </c>
      <c r="I646" s="332">
        <f>sumifs('Hoa Hồng'!L:L,'Hoa Hồng'!A:A,B646)</f>
        <v>0</v>
      </c>
      <c r="J646" s="332">
        <v>0.0</v>
      </c>
      <c r="K646" s="333" t="s">
        <v>1211</v>
      </c>
      <c r="L646" s="334"/>
      <c r="M646" s="334"/>
      <c r="N646" s="334"/>
      <c r="O646" s="334"/>
      <c r="P646" s="334"/>
      <c r="Q646" s="334"/>
      <c r="R646" s="334"/>
      <c r="S646" s="334"/>
      <c r="T646" s="334"/>
      <c r="U646" s="334"/>
      <c r="V646" s="334"/>
      <c r="W646" s="334"/>
      <c r="X646" s="334"/>
      <c r="Y646" s="334"/>
      <c r="Z646" s="334"/>
      <c r="AA646" s="334"/>
      <c r="AB646" s="334"/>
      <c r="AC646" s="334"/>
      <c r="AD646" s="334"/>
    </row>
    <row r="647" ht="16.5" customHeight="1">
      <c r="A647" s="334"/>
      <c r="B647" s="329"/>
      <c r="C647" s="329" t="s">
        <v>585</v>
      </c>
      <c r="D647" s="331" t="s">
        <v>585</v>
      </c>
      <c r="E647" s="331" t="s">
        <v>585</v>
      </c>
      <c r="F647" s="331" t="s">
        <v>585</v>
      </c>
      <c r="G647" s="331">
        <f>iferror(sumifs('Hợp tác'!G:G,'Hợp tác'!A:A,B647,'Hợp tác'!H:H,$G$2,'Hợp tác'!I:I,$I$2),"")</f>
        <v>0</v>
      </c>
      <c r="H647" s="332">
        <f>SUMIFS(View!J:J,View!B:B,B647)</f>
        <v>0</v>
      </c>
      <c r="I647" s="332">
        <f>sumifs('Hoa Hồng'!L:L,'Hoa Hồng'!A:A,B647)</f>
        <v>0</v>
      </c>
      <c r="J647" s="332">
        <v>0.0</v>
      </c>
      <c r="K647" s="333" t="s">
        <v>1211</v>
      </c>
      <c r="L647" s="334"/>
      <c r="M647" s="334"/>
      <c r="N647" s="334"/>
      <c r="O647" s="334"/>
      <c r="P647" s="334"/>
      <c r="Q647" s="334"/>
      <c r="R647" s="334"/>
      <c r="S647" s="334"/>
      <c r="T647" s="334"/>
      <c r="U647" s="334"/>
      <c r="V647" s="334"/>
      <c r="W647" s="334"/>
      <c r="X647" s="334"/>
      <c r="Y647" s="334"/>
      <c r="Z647" s="334"/>
      <c r="AA647" s="334"/>
      <c r="AB647" s="334"/>
      <c r="AC647" s="334"/>
      <c r="AD647" s="334"/>
    </row>
    <row r="648" ht="16.5" customHeight="1">
      <c r="A648" s="334"/>
      <c r="B648" s="329"/>
      <c r="C648" s="329" t="s">
        <v>585</v>
      </c>
      <c r="D648" s="331" t="s">
        <v>585</v>
      </c>
      <c r="E648" s="331" t="s">
        <v>585</v>
      </c>
      <c r="F648" s="331" t="s">
        <v>585</v>
      </c>
      <c r="G648" s="331">
        <f>iferror(sumifs('Hợp tác'!G:G,'Hợp tác'!A:A,B648,'Hợp tác'!H:H,$G$2,'Hợp tác'!I:I,$I$2),"")</f>
        <v>0</v>
      </c>
      <c r="H648" s="332">
        <f>SUMIFS(View!J:J,View!B:B,B648)</f>
        <v>0</v>
      </c>
      <c r="I648" s="332">
        <f>sumifs('Hoa Hồng'!L:L,'Hoa Hồng'!A:A,B648)</f>
        <v>0</v>
      </c>
      <c r="J648" s="332">
        <v>0.0</v>
      </c>
      <c r="K648" s="333" t="s">
        <v>1211</v>
      </c>
      <c r="L648" s="334"/>
      <c r="M648" s="334"/>
      <c r="N648" s="334"/>
      <c r="O648" s="334"/>
      <c r="P648" s="334"/>
      <c r="Q648" s="334"/>
      <c r="R648" s="334"/>
      <c r="S648" s="334"/>
      <c r="T648" s="334"/>
      <c r="U648" s="334"/>
      <c r="V648" s="334"/>
      <c r="W648" s="334"/>
      <c r="X648" s="334"/>
      <c r="Y648" s="334"/>
      <c r="Z648" s="334"/>
      <c r="AA648" s="334"/>
      <c r="AB648" s="334"/>
      <c r="AC648" s="334"/>
      <c r="AD648" s="334"/>
    </row>
    <row r="649" ht="16.5" customHeight="1">
      <c r="A649" s="334"/>
      <c r="B649" s="329"/>
      <c r="C649" s="329" t="s">
        <v>585</v>
      </c>
      <c r="D649" s="331" t="s">
        <v>585</v>
      </c>
      <c r="E649" s="331" t="s">
        <v>585</v>
      </c>
      <c r="F649" s="331" t="s">
        <v>585</v>
      </c>
      <c r="G649" s="331">
        <f>iferror(sumifs('Hợp tác'!G:G,'Hợp tác'!A:A,B649,'Hợp tác'!H:H,$G$2,'Hợp tác'!I:I,$I$2),"")</f>
        <v>0</v>
      </c>
      <c r="H649" s="332">
        <f>SUMIFS(View!J:J,View!B:B,B649)</f>
        <v>0</v>
      </c>
      <c r="I649" s="332">
        <f>sumifs('Hoa Hồng'!L:L,'Hoa Hồng'!A:A,B649)</f>
        <v>0</v>
      </c>
      <c r="J649" s="332">
        <v>0.0</v>
      </c>
      <c r="K649" s="333" t="s">
        <v>1211</v>
      </c>
      <c r="L649" s="334"/>
      <c r="M649" s="334"/>
      <c r="N649" s="334"/>
      <c r="O649" s="334"/>
      <c r="P649" s="334"/>
      <c r="Q649" s="334"/>
      <c r="R649" s="334"/>
      <c r="S649" s="334"/>
      <c r="T649" s="334"/>
      <c r="U649" s="334"/>
      <c r="V649" s="334"/>
      <c r="W649" s="334"/>
      <c r="X649" s="334"/>
      <c r="Y649" s="334"/>
      <c r="Z649" s="334"/>
      <c r="AA649" s="334"/>
      <c r="AB649" s="334"/>
      <c r="AC649" s="334"/>
      <c r="AD649" s="334"/>
    </row>
    <row r="650" ht="16.5" customHeight="1">
      <c r="A650" s="334"/>
      <c r="B650" s="329"/>
      <c r="C650" s="329" t="s">
        <v>585</v>
      </c>
      <c r="D650" s="331" t="s">
        <v>585</v>
      </c>
      <c r="E650" s="331" t="s">
        <v>585</v>
      </c>
      <c r="F650" s="331" t="s">
        <v>585</v>
      </c>
      <c r="G650" s="331">
        <f>iferror(sumifs('Hợp tác'!G:G,'Hợp tác'!A:A,B650,'Hợp tác'!H:H,$G$2,'Hợp tác'!I:I,$I$2),"")</f>
        <v>0</v>
      </c>
      <c r="H650" s="332">
        <f>SUMIFS(View!J:J,View!B:B,B650)</f>
        <v>0</v>
      </c>
      <c r="I650" s="332">
        <f>sumifs('Hoa Hồng'!L:L,'Hoa Hồng'!A:A,B650)</f>
        <v>0</v>
      </c>
      <c r="J650" s="332">
        <v>0.0</v>
      </c>
      <c r="K650" s="333" t="s">
        <v>1211</v>
      </c>
      <c r="L650" s="334"/>
      <c r="M650" s="334"/>
      <c r="N650" s="334"/>
      <c r="O650" s="334"/>
      <c r="P650" s="334"/>
      <c r="Q650" s="334"/>
      <c r="R650" s="334"/>
      <c r="S650" s="334"/>
      <c r="T650" s="334"/>
      <c r="U650" s="334"/>
      <c r="V650" s="334"/>
      <c r="W650" s="334"/>
      <c r="X650" s="334"/>
      <c r="Y650" s="334"/>
      <c r="Z650" s="334"/>
      <c r="AA650" s="334"/>
      <c r="AB650" s="334"/>
      <c r="AC650" s="334"/>
      <c r="AD650" s="334"/>
    </row>
    <row r="651" ht="16.5" customHeight="1">
      <c r="A651" s="334"/>
      <c r="B651" s="329"/>
      <c r="C651" s="329" t="s">
        <v>585</v>
      </c>
      <c r="D651" s="331" t="s">
        <v>585</v>
      </c>
      <c r="E651" s="331" t="s">
        <v>585</v>
      </c>
      <c r="F651" s="331" t="s">
        <v>585</v>
      </c>
      <c r="G651" s="331">
        <f>iferror(sumifs('Hợp tác'!G:G,'Hợp tác'!A:A,B651,'Hợp tác'!H:H,$G$2,'Hợp tác'!I:I,$I$2),"")</f>
        <v>0</v>
      </c>
      <c r="H651" s="332">
        <f>SUMIFS(View!J:J,View!B:B,B651)</f>
        <v>0</v>
      </c>
      <c r="I651" s="332">
        <f>sumifs('Hoa Hồng'!L:L,'Hoa Hồng'!A:A,B651)</f>
        <v>0</v>
      </c>
      <c r="J651" s="332">
        <v>0.0</v>
      </c>
      <c r="K651" s="333" t="s">
        <v>1211</v>
      </c>
      <c r="L651" s="334"/>
      <c r="M651" s="334"/>
      <c r="N651" s="334"/>
      <c r="O651" s="334"/>
      <c r="P651" s="334"/>
      <c r="Q651" s="334"/>
      <c r="R651" s="334"/>
      <c r="S651" s="334"/>
      <c r="T651" s="334"/>
      <c r="U651" s="334"/>
      <c r="V651" s="334"/>
      <c r="W651" s="334"/>
      <c r="X651" s="334"/>
      <c r="Y651" s="334"/>
      <c r="Z651" s="334"/>
      <c r="AA651" s="334"/>
      <c r="AB651" s="334"/>
      <c r="AC651" s="334"/>
      <c r="AD651" s="334"/>
    </row>
    <row r="652" ht="16.5" customHeight="1">
      <c r="A652" s="334"/>
      <c r="B652" s="329"/>
      <c r="C652" s="329" t="s">
        <v>585</v>
      </c>
      <c r="D652" s="331" t="s">
        <v>585</v>
      </c>
      <c r="E652" s="331" t="s">
        <v>585</v>
      </c>
      <c r="F652" s="331" t="s">
        <v>585</v>
      </c>
      <c r="G652" s="331">
        <f>iferror(sumifs('Hợp tác'!G:G,'Hợp tác'!A:A,B652,'Hợp tác'!H:H,$G$2,'Hợp tác'!I:I,$I$2),"")</f>
        <v>0</v>
      </c>
      <c r="H652" s="332">
        <f>SUMIFS(View!J:J,View!B:B,B652)</f>
        <v>0</v>
      </c>
      <c r="I652" s="332">
        <f>sumifs('Hoa Hồng'!L:L,'Hoa Hồng'!A:A,B652)</f>
        <v>0</v>
      </c>
      <c r="J652" s="332">
        <v>0.0</v>
      </c>
      <c r="K652" s="333" t="s">
        <v>1211</v>
      </c>
      <c r="L652" s="334"/>
      <c r="M652" s="334"/>
      <c r="N652" s="334"/>
      <c r="O652" s="334"/>
      <c r="P652" s="334"/>
      <c r="Q652" s="334"/>
      <c r="R652" s="334"/>
      <c r="S652" s="334"/>
      <c r="T652" s="334"/>
      <c r="U652" s="334"/>
      <c r="V652" s="334"/>
      <c r="W652" s="334"/>
      <c r="X652" s="334"/>
      <c r="Y652" s="334"/>
      <c r="Z652" s="334"/>
      <c r="AA652" s="334"/>
      <c r="AB652" s="334"/>
      <c r="AC652" s="334"/>
      <c r="AD652" s="334"/>
    </row>
    <row r="653" ht="16.5" customHeight="1">
      <c r="A653" s="334"/>
      <c r="B653" s="329"/>
      <c r="C653" s="329" t="s">
        <v>585</v>
      </c>
      <c r="D653" s="331" t="s">
        <v>585</v>
      </c>
      <c r="E653" s="331" t="s">
        <v>585</v>
      </c>
      <c r="F653" s="331" t="s">
        <v>585</v>
      </c>
      <c r="G653" s="331">
        <f>iferror(sumifs('Hợp tác'!G:G,'Hợp tác'!A:A,B653,'Hợp tác'!H:H,$G$2,'Hợp tác'!I:I,$I$2),"")</f>
        <v>0</v>
      </c>
      <c r="H653" s="332">
        <f>SUMIFS(View!J:J,View!B:B,B653)</f>
        <v>0</v>
      </c>
      <c r="I653" s="332">
        <f>sumifs('Hoa Hồng'!L:L,'Hoa Hồng'!A:A,B653)</f>
        <v>0</v>
      </c>
      <c r="J653" s="332">
        <v>0.0</v>
      </c>
      <c r="K653" s="333" t="s">
        <v>1211</v>
      </c>
      <c r="L653" s="334"/>
      <c r="M653" s="334"/>
      <c r="N653" s="334"/>
      <c r="O653" s="334"/>
      <c r="P653" s="334"/>
      <c r="Q653" s="334"/>
      <c r="R653" s="334"/>
      <c r="S653" s="334"/>
      <c r="T653" s="334"/>
      <c r="U653" s="334"/>
      <c r="V653" s="334"/>
      <c r="W653" s="334"/>
      <c r="X653" s="334"/>
      <c r="Y653" s="334"/>
      <c r="Z653" s="334"/>
      <c r="AA653" s="334"/>
      <c r="AB653" s="334"/>
      <c r="AC653" s="334"/>
      <c r="AD653" s="334"/>
    </row>
    <row r="654" ht="16.5" customHeight="1">
      <c r="A654" s="334"/>
      <c r="B654" s="329"/>
      <c r="C654" s="329" t="s">
        <v>585</v>
      </c>
      <c r="D654" s="331" t="s">
        <v>585</v>
      </c>
      <c r="E654" s="331" t="s">
        <v>585</v>
      </c>
      <c r="F654" s="331" t="s">
        <v>585</v>
      </c>
      <c r="G654" s="331">
        <f>iferror(sumifs('Hợp tác'!G:G,'Hợp tác'!A:A,B654,'Hợp tác'!H:H,$G$2,'Hợp tác'!I:I,$I$2),"")</f>
        <v>0</v>
      </c>
      <c r="H654" s="332">
        <f>SUMIFS(View!J:J,View!B:B,B654)</f>
        <v>0</v>
      </c>
      <c r="I654" s="332">
        <f>sumifs('Hoa Hồng'!L:L,'Hoa Hồng'!A:A,B654)</f>
        <v>0</v>
      </c>
      <c r="J654" s="332">
        <v>0.0</v>
      </c>
      <c r="K654" s="333" t="s">
        <v>1211</v>
      </c>
      <c r="L654" s="334"/>
      <c r="M654" s="334"/>
      <c r="N654" s="334"/>
      <c r="O654" s="334"/>
      <c r="P654" s="334"/>
      <c r="Q654" s="334"/>
      <c r="R654" s="334"/>
      <c r="S654" s="334"/>
      <c r="T654" s="334"/>
      <c r="U654" s="334"/>
      <c r="V654" s="334"/>
      <c r="W654" s="334"/>
      <c r="X654" s="334"/>
      <c r="Y654" s="334"/>
      <c r="Z654" s="334"/>
      <c r="AA654" s="334"/>
      <c r="AB654" s="334"/>
      <c r="AC654" s="334"/>
      <c r="AD654" s="334"/>
    </row>
    <row r="655" ht="16.5" customHeight="1">
      <c r="A655" s="334"/>
      <c r="B655" s="329"/>
      <c r="C655" s="329" t="s">
        <v>585</v>
      </c>
      <c r="D655" s="331" t="s">
        <v>585</v>
      </c>
      <c r="E655" s="331" t="s">
        <v>585</v>
      </c>
      <c r="F655" s="331" t="s">
        <v>585</v>
      </c>
      <c r="G655" s="331">
        <f>iferror(sumifs('Hợp tác'!G:G,'Hợp tác'!A:A,B655,'Hợp tác'!H:H,$G$2,'Hợp tác'!I:I,$I$2),"")</f>
        <v>0</v>
      </c>
      <c r="H655" s="332">
        <f>SUMIFS(View!J:J,View!B:B,B655)</f>
        <v>0</v>
      </c>
      <c r="I655" s="332">
        <f>sumifs('Hoa Hồng'!L:L,'Hoa Hồng'!A:A,B655)</f>
        <v>0</v>
      </c>
      <c r="J655" s="332">
        <v>0.0</v>
      </c>
      <c r="K655" s="333" t="s">
        <v>1211</v>
      </c>
      <c r="L655" s="334"/>
      <c r="M655" s="334"/>
      <c r="N655" s="334"/>
      <c r="O655" s="334"/>
      <c r="P655" s="334"/>
      <c r="Q655" s="334"/>
      <c r="R655" s="334"/>
      <c r="S655" s="334"/>
      <c r="T655" s="334"/>
      <c r="U655" s="334"/>
      <c r="V655" s="334"/>
      <c r="W655" s="334"/>
      <c r="X655" s="334"/>
      <c r="Y655" s="334"/>
      <c r="Z655" s="334"/>
      <c r="AA655" s="334"/>
      <c r="AB655" s="334"/>
      <c r="AC655" s="334"/>
      <c r="AD655" s="334"/>
    </row>
    <row r="656" ht="16.5" customHeight="1">
      <c r="A656" s="334"/>
      <c r="B656" s="329"/>
      <c r="C656" s="329" t="s">
        <v>585</v>
      </c>
      <c r="D656" s="331" t="s">
        <v>585</v>
      </c>
      <c r="E656" s="331" t="s">
        <v>585</v>
      </c>
      <c r="F656" s="331" t="s">
        <v>585</v>
      </c>
      <c r="G656" s="331">
        <f>iferror(sumifs('Hợp tác'!G:G,'Hợp tác'!A:A,B656,'Hợp tác'!H:H,$G$2,'Hợp tác'!I:I,$I$2),"")</f>
        <v>0</v>
      </c>
      <c r="H656" s="332">
        <f>SUMIFS(View!J:J,View!B:B,B656)</f>
        <v>0</v>
      </c>
      <c r="I656" s="332">
        <f>sumifs('Hoa Hồng'!L:L,'Hoa Hồng'!A:A,B656)</f>
        <v>0</v>
      </c>
      <c r="J656" s="332">
        <v>0.0</v>
      </c>
      <c r="K656" s="333" t="s">
        <v>1211</v>
      </c>
      <c r="L656" s="334"/>
      <c r="M656" s="334"/>
      <c r="N656" s="334"/>
      <c r="O656" s="334"/>
      <c r="P656" s="334"/>
      <c r="Q656" s="334"/>
      <c r="R656" s="334"/>
      <c r="S656" s="334"/>
      <c r="T656" s="334"/>
      <c r="U656" s="334"/>
      <c r="V656" s="334"/>
      <c r="W656" s="334"/>
      <c r="X656" s="334"/>
      <c r="Y656" s="334"/>
      <c r="Z656" s="334"/>
      <c r="AA656" s="334"/>
      <c r="AB656" s="334"/>
      <c r="AC656" s="334"/>
      <c r="AD656" s="334"/>
    </row>
    <row r="657" ht="16.5" customHeight="1">
      <c r="A657" s="334"/>
      <c r="B657" s="329"/>
      <c r="C657" s="329" t="s">
        <v>585</v>
      </c>
      <c r="D657" s="331" t="s">
        <v>585</v>
      </c>
      <c r="E657" s="331" t="s">
        <v>585</v>
      </c>
      <c r="F657" s="331" t="s">
        <v>585</v>
      </c>
      <c r="G657" s="331">
        <f>iferror(sumifs('Hợp tác'!G:G,'Hợp tác'!A:A,B657,'Hợp tác'!H:H,$G$2,'Hợp tác'!I:I,$I$2),"")</f>
        <v>0</v>
      </c>
      <c r="H657" s="332">
        <f>SUMIFS(View!J:J,View!B:B,B657)</f>
        <v>0</v>
      </c>
      <c r="I657" s="332">
        <f>sumifs('Hoa Hồng'!L:L,'Hoa Hồng'!A:A,B657)</f>
        <v>0</v>
      </c>
      <c r="J657" s="332">
        <v>0.0</v>
      </c>
      <c r="K657" s="333" t="s">
        <v>1211</v>
      </c>
      <c r="L657" s="334"/>
      <c r="M657" s="334"/>
      <c r="N657" s="334"/>
      <c r="O657" s="334"/>
      <c r="P657" s="334"/>
      <c r="Q657" s="334"/>
      <c r="R657" s="334"/>
      <c r="S657" s="334"/>
      <c r="T657" s="334"/>
      <c r="U657" s="334"/>
      <c r="V657" s="334"/>
      <c r="W657" s="334"/>
      <c r="X657" s="334"/>
      <c r="Y657" s="334"/>
      <c r="Z657" s="334"/>
      <c r="AA657" s="334"/>
      <c r="AB657" s="334"/>
      <c r="AC657" s="334"/>
      <c r="AD657" s="334"/>
    </row>
    <row r="658" ht="16.5" customHeight="1">
      <c r="A658" s="334"/>
      <c r="B658" s="329"/>
      <c r="C658" s="329" t="s">
        <v>585</v>
      </c>
      <c r="D658" s="331" t="s">
        <v>585</v>
      </c>
      <c r="E658" s="331" t="s">
        <v>585</v>
      </c>
      <c r="F658" s="331" t="s">
        <v>585</v>
      </c>
      <c r="G658" s="331">
        <f>iferror(sumifs('Hợp tác'!G:G,'Hợp tác'!A:A,B658,'Hợp tác'!H:H,$G$2,'Hợp tác'!I:I,$I$2),"")</f>
        <v>0</v>
      </c>
      <c r="H658" s="332">
        <f>SUMIFS(View!J:J,View!B:B,B658)</f>
        <v>0</v>
      </c>
      <c r="I658" s="332">
        <f>sumifs('Hoa Hồng'!L:L,'Hoa Hồng'!A:A,B658)</f>
        <v>0</v>
      </c>
      <c r="J658" s="332">
        <v>0.0</v>
      </c>
      <c r="K658" s="333" t="s">
        <v>1211</v>
      </c>
      <c r="L658" s="334"/>
      <c r="M658" s="334"/>
      <c r="N658" s="334"/>
      <c r="O658" s="334"/>
      <c r="P658" s="334"/>
      <c r="Q658" s="334"/>
      <c r="R658" s="334"/>
      <c r="S658" s="334"/>
      <c r="T658" s="334"/>
      <c r="U658" s="334"/>
      <c r="V658" s="334"/>
      <c r="W658" s="334"/>
      <c r="X658" s="334"/>
      <c r="Y658" s="334"/>
      <c r="Z658" s="334"/>
      <c r="AA658" s="334"/>
      <c r="AB658" s="334"/>
      <c r="AC658" s="334"/>
      <c r="AD658" s="334"/>
    </row>
    <row r="659" ht="16.5" customHeight="1">
      <c r="A659" s="334"/>
      <c r="B659" s="329"/>
      <c r="C659" s="329" t="s">
        <v>585</v>
      </c>
      <c r="D659" s="331" t="s">
        <v>585</v>
      </c>
      <c r="E659" s="331" t="s">
        <v>585</v>
      </c>
      <c r="F659" s="331" t="s">
        <v>585</v>
      </c>
      <c r="G659" s="331">
        <f>iferror(sumifs('Hợp tác'!G:G,'Hợp tác'!A:A,B659,'Hợp tác'!H:H,$G$2,'Hợp tác'!I:I,$I$2),"")</f>
        <v>0</v>
      </c>
      <c r="H659" s="332">
        <f>SUMIFS(View!J:J,View!B:B,B659)</f>
        <v>0</v>
      </c>
      <c r="I659" s="332">
        <f>sumifs('Hoa Hồng'!L:L,'Hoa Hồng'!A:A,B659)</f>
        <v>0</v>
      </c>
      <c r="J659" s="332">
        <v>0.0</v>
      </c>
      <c r="K659" s="333" t="s">
        <v>1211</v>
      </c>
      <c r="L659" s="334"/>
      <c r="M659" s="334"/>
      <c r="N659" s="334"/>
      <c r="O659" s="334"/>
      <c r="P659" s="334"/>
      <c r="Q659" s="334"/>
      <c r="R659" s="334"/>
      <c r="S659" s="334"/>
      <c r="T659" s="334"/>
      <c r="U659" s="334"/>
      <c r="V659" s="334"/>
      <c r="W659" s="334"/>
      <c r="X659" s="334"/>
      <c r="Y659" s="334"/>
      <c r="Z659" s="334"/>
      <c r="AA659" s="334"/>
      <c r="AB659" s="334"/>
      <c r="AC659" s="334"/>
      <c r="AD659" s="334"/>
    </row>
    <row r="660" ht="16.5" customHeight="1">
      <c r="A660" s="334"/>
      <c r="B660" s="329"/>
      <c r="C660" s="329" t="s">
        <v>585</v>
      </c>
      <c r="D660" s="331" t="s">
        <v>585</v>
      </c>
      <c r="E660" s="331" t="s">
        <v>585</v>
      </c>
      <c r="F660" s="331" t="s">
        <v>585</v>
      </c>
      <c r="G660" s="331">
        <f>iferror(sumifs('Hợp tác'!G:G,'Hợp tác'!A:A,B660,'Hợp tác'!H:H,$G$2,'Hợp tác'!I:I,$I$2),"")</f>
        <v>0</v>
      </c>
      <c r="H660" s="332">
        <f>SUMIFS(View!J:J,View!B:B,B660)</f>
        <v>0</v>
      </c>
      <c r="I660" s="332">
        <f>sumifs('Hoa Hồng'!L:L,'Hoa Hồng'!A:A,B660)</f>
        <v>0</v>
      </c>
      <c r="J660" s="332">
        <v>0.0</v>
      </c>
      <c r="K660" s="333" t="s">
        <v>1211</v>
      </c>
      <c r="L660" s="334"/>
      <c r="M660" s="334"/>
      <c r="N660" s="334"/>
      <c r="O660" s="334"/>
      <c r="P660" s="334"/>
      <c r="Q660" s="334"/>
      <c r="R660" s="334"/>
      <c r="S660" s="334"/>
      <c r="T660" s="334"/>
      <c r="U660" s="334"/>
      <c r="V660" s="334"/>
      <c r="W660" s="334"/>
      <c r="X660" s="334"/>
      <c r="Y660" s="334"/>
      <c r="Z660" s="334"/>
      <c r="AA660" s="334"/>
      <c r="AB660" s="334"/>
      <c r="AC660" s="334"/>
      <c r="AD660" s="334"/>
    </row>
    <row r="661" ht="16.5" customHeight="1">
      <c r="A661" s="334"/>
      <c r="B661" s="329"/>
      <c r="C661" s="329" t="s">
        <v>585</v>
      </c>
      <c r="D661" s="331" t="s">
        <v>585</v>
      </c>
      <c r="E661" s="331" t="s">
        <v>585</v>
      </c>
      <c r="F661" s="331" t="s">
        <v>585</v>
      </c>
      <c r="G661" s="331">
        <f>iferror(sumifs('Hợp tác'!G:G,'Hợp tác'!A:A,B661,'Hợp tác'!H:H,$G$2,'Hợp tác'!I:I,$I$2),"")</f>
        <v>0</v>
      </c>
      <c r="H661" s="332">
        <f>SUMIFS(View!J:J,View!B:B,B661)</f>
        <v>0</v>
      </c>
      <c r="I661" s="332">
        <f>sumifs('Hoa Hồng'!L:L,'Hoa Hồng'!A:A,B661)</f>
        <v>0</v>
      </c>
      <c r="J661" s="332">
        <v>0.0</v>
      </c>
      <c r="K661" s="333" t="s">
        <v>1211</v>
      </c>
      <c r="L661" s="334"/>
      <c r="M661" s="334"/>
      <c r="N661" s="334"/>
      <c r="O661" s="334"/>
      <c r="P661" s="334"/>
      <c r="Q661" s="334"/>
      <c r="R661" s="334"/>
      <c r="S661" s="334"/>
      <c r="T661" s="334"/>
      <c r="U661" s="334"/>
      <c r="V661" s="334"/>
      <c r="W661" s="334"/>
      <c r="X661" s="334"/>
      <c r="Y661" s="334"/>
      <c r="Z661" s="334"/>
      <c r="AA661" s="334"/>
      <c r="AB661" s="334"/>
      <c r="AC661" s="334"/>
      <c r="AD661" s="334"/>
    </row>
    <row r="662" ht="16.5" customHeight="1">
      <c r="A662" s="334"/>
      <c r="B662" s="329"/>
      <c r="C662" s="329" t="s">
        <v>585</v>
      </c>
      <c r="D662" s="331" t="s">
        <v>585</v>
      </c>
      <c r="E662" s="331" t="s">
        <v>585</v>
      </c>
      <c r="F662" s="331" t="s">
        <v>585</v>
      </c>
      <c r="G662" s="331">
        <f>iferror(sumifs('Hợp tác'!G:G,'Hợp tác'!A:A,B662,'Hợp tác'!H:H,$G$2,'Hợp tác'!I:I,$I$2),"")</f>
        <v>0</v>
      </c>
      <c r="H662" s="332">
        <f>SUMIFS(View!J:J,View!B:B,B662)</f>
        <v>0</v>
      </c>
      <c r="I662" s="332">
        <f>sumifs('Hoa Hồng'!L:L,'Hoa Hồng'!A:A,B662)</f>
        <v>0</v>
      </c>
      <c r="J662" s="332">
        <v>0.0</v>
      </c>
      <c r="K662" s="333" t="s">
        <v>1211</v>
      </c>
      <c r="L662" s="334"/>
      <c r="M662" s="334"/>
      <c r="N662" s="334"/>
      <c r="O662" s="334"/>
      <c r="P662" s="334"/>
      <c r="Q662" s="334"/>
      <c r="R662" s="334"/>
      <c r="S662" s="334"/>
      <c r="T662" s="334"/>
      <c r="U662" s="334"/>
      <c r="V662" s="334"/>
      <c r="W662" s="334"/>
      <c r="X662" s="334"/>
      <c r="Y662" s="334"/>
      <c r="Z662" s="334"/>
      <c r="AA662" s="334"/>
      <c r="AB662" s="334"/>
      <c r="AC662" s="334"/>
      <c r="AD662" s="334"/>
    </row>
    <row r="663" ht="16.5" customHeight="1">
      <c r="A663" s="334"/>
      <c r="B663" s="329"/>
      <c r="C663" s="329" t="s">
        <v>585</v>
      </c>
      <c r="D663" s="331" t="s">
        <v>585</v>
      </c>
      <c r="E663" s="331" t="s">
        <v>585</v>
      </c>
      <c r="F663" s="331" t="s">
        <v>585</v>
      </c>
      <c r="G663" s="331">
        <f>iferror(sumifs('Hợp tác'!G:G,'Hợp tác'!A:A,B663,'Hợp tác'!H:H,$G$2,'Hợp tác'!I:I,$I$2),"")</f>
        <v>0</v>
      </c>
      <c r="H663" s="332">
        <f>SUMIFS(View!J:J,View!B:B,B663)</f>
        <v>0</v>
      </c>
      <c r="I663" s="332">
        <f>sumifs('Hoa Hồng'!L:L,'Hoa Hồng'!A:A,B663)</f>
        <v>0</v>
      </c>
      <c r="J663" s="332">
        <v>0.0</v>
      </c>
      <c r="K663" s="333" t="s">
        <v>1211</v>
      </c>
      <c r="L663" s="334"/>
      <c r="M663" s="334"/>
      <c r="N663" s="334"/>
      <c r="O663" s="334"/>
      <c r="P663" s="334"/>
      <c r="Q663" s="334"/>
      <c r="R663" s="334"/>
      <c r="S663" s="334"/>
      <c r="T663" s="334"/>
      <c r="U663" s="334"/>
      <c r="V663" s="334"/>
      <c r="W663" s="334"/>
      <c r="X663" s="334"/>
      <c r="Y663" s="334"/>
      <c r="Z663" s="334"/>
      <c r="AA663" s="334"/>
      <c r="AB663" s="334"/>
      <c r="AC663" s="334"/>
      <c r="AD663" s="334"/>
    </row>
    <row r="664" ht="16.5" customHeight="1">
      <c r="A664" s="334"/>
      <c r="B664" s="329"/>
      <c r="C664" s="329" t="s">
        <v>585</v>
      </c>
      <c r="D664" s="331" t="s">
        <v>585</v>
      </c>
      <c r="E664" s="331" t="s">
        <v>585</v>
      </c>
      <c r="F664" s="331" t="s">
        <v>585</v>
      </c>
      <c r="G664" s="331">
        <f>iferror(sumifs('Hợp tác'!G:G,'Hợp tác'!A:A,B664,'Hợp tác'!H:H,$G$2,'Hợp tác'!I:I,$I$2),"")</f>
        <v>0</v>
      </c>
      <c r="H664" s="332">
        <f>SUMIFS(View!J:J,View!B:B,B664)</f>
        <v>0</v>
      </c>
      <c r="I664" s="332">
        <f>sumifs('Hoa Hồng'!L:L,'Hoa Hồng'!A:A,B664)</f>
        <v>0</v>
      </c>
      <c r="J664" s="332">
        <v>0.0</v>
      </c>
      <c r="K664" s="333" t="s">
        <v>1211</v>
      </c>
      <c r="L664" s="334"/>
      <c r="M664" s="334"/>
      <c r="N664" s="334"/>
      <c r="O664" s="334"/>
      <c r="P664" s="334"/>
      <c r="Q664" s="334"/>
      <c r="R664" s="334"/>
      <c r="S664" s="334"/>
      <c r="T664" s="334"/>
      <c r="U664" s="334"/>
      <c r="V664" s="334"/>
      <c r="W664" s="334"/>
      <c r="X664" s="334"/>
      <c r="Y664" s="334"/>
      <c r="Z664" s="334"/>
      <c r="AA664" s="334"/>
      <c r="AB664" s="334"/>
      <c r="AC664" s="334"/>
      <c r="AD664" s="334"/>
    </row>
    <row r="665" ht="16.5" customHeight="1">
      <c r="A665" s="334"/>
      <c r="B665" s="329"/>
      <c r="C665" s="329" t="s">
        <v>585</v>
      </c>
      <c r="D665" s="331" t="s">
        <v>585</v>
      </c>
      <c r="E665" s="331" t="s">
        <v>585</v>
      </c>
      <c r="F665" s="331" t="s">
        <v>585</v>
      </c>
      <c r="G665" s="331">
        <f>iferror(sumifs('Hợp tác'!G:G,'Hợp tác'!A:A,B665,'Hợp tác'!H:H,$G$2,'Hợp tác'!I:I,$I$2),"")</f>
        <v>0</v>
      </c>
      <c r="H665" s="332">
        <f>SUMIFS(View!J:J,View!B:B,B665)</f>
        <v>0</v>
      </c>
      <c r="I665" s="332">
        <f>sumifs('Hoa Hồng'!L:L,'Hoa Hồng'!A:A,B665)</f>
        <v>0</v>
      </c>
      <c r="J665" s="332">
        <v>0.0</v>
      </c>
      <c r="K665" s="333" t="s">
        <v>1211</v>
      </c>
      <c r="L665" s="334"/>
      <c r="M665" s="334"/>
      <c r="N665" s="334"/>
      <c r="O665" s="334"/>
      <c r="P665" s="334"/>
      <c r="Q665" s="334"/>
      <c r="R665" s="334"/>
      <c r="S665" s="334"/>
      <c r="T665" s="334"/>
      <c r="U665" s="334"/>
      <c r="V665" s="334"/>
      <c r="W665" s="334"/>
      <c r="X665" s="334"/>
      <c r="Y665" s="334"/>
      <c r="Z665" s="334"/>
      <c r="AA665" s="334"/>
      <c r="AB665" s="334"/>
      <c r="AC665" s="334"/>
      <c r="AD665" s="334"/>
    </row>
    <row r="666" ht="16.5" customHeight="1">
      <c r="A666" s="334"/>
      <c r="B666" s="329"/>
      <c r="C666" s="329" t="s">
        <v>585</v>
      </c>
      <c r="D666" s="331" t="s">
        <v>585</v>
      </c>
      <c r="E666" s="331" t="s">
        <v>585</v>
      </c>
      <c r="F666" s="331" t="s">
        <v>585</v>
      </c>
      <c r="G666" s="331">
        <f>iferror(sumifs('Hợp tác'!G:G,'Hợp tác'!A:A,B666,'Hợp tác'!H:H,$G$2,'Hợp tác'!I:I,$I$2),"")</f>
        <v>0</v>
      </c>
      <c r="H666" s="332">
        <f>SUMIFS(View!J:J,View!B:B,B666)</f>
        <v>0</v>
      </c>
      <c r="I666" s="332">
        <f>sumifs('Hoa Hồng'!L:L,'Hoa Hồng'!A:A,B666)</f>
        <v>0</v>
      </c>
      <c r="J666" s="332">
        <v>0.0</v>
      </c>
      <c r="K666" s="333" t="s">
        <v>1211</v>
      </c>
      <c r="L666" s="334"/>
      <c r="M666" s="334"/>
      <c r="N666" s="334"/>
      <c r="O666" s="334"/>
      <c r="P666" s="334"/>
      <c r="Q666" s="334"/>
      <c r="R666" s="334"/>
      <c r="S666" s="334"/>
      <c r="T666" s="334"/>
      <c r="U666" s="334"/>
      <c r="V666" s="334"/>
      <c r="W666" s="334"/>
      <c r="X666" s="334"/>
      <c r="Y666" s="334"/>
      <c r="Z666" s="334"/>
      <c r="AA666" s="334"/>
      <c r="AB666" s="334"/>
      <c r="AC666" s="334"/>
      <c r="AD666" s="334"/>
    </row>
    <row r="667" ht="16.5" customHeight="1">
      <c r="A667" s="334"/>
      <c r="B667" s="329"/>
      <c r="C667" s="329" t="s">
        <v>585</v>
      </c>
      <c r="D667" s="331" t="s">
        <v>585</v>
      </c>
      <c r="E667" s="331" t="s">
        <v>585</v>
      </c>
      <c r="F667" s="331" t="s">
        <v>585</v>
      </c>
      <c r="G667" s="331">
        <f>iferror(sumifs('Hợp tác'!G:G,'Hợp tác'!A:A,B667,'Hợp tác'!H:H,$G$2,'Hợp tác'!I:I,$I$2),"")</f>
        <v>0</v>
      </c>
      <c r="H667" s="332">
        <f>SUMIFS(View!J:J,View!B:B,B667)</f>
        <v>0</v>
      </c>
      <c r="I667" s="332">
        <f>sumifs('Hoa Hồng'!L:L,'Hoa Hồng'!A:A,B667)</f>
        <v>0</v>
      </c>
      <c r="J667" s="332">
        <v>0.0</v>
      </c>
      <c r="K667" s="333" t="s">
        <v>1211</v>
      </c>
      <c r="L667" s="334"/>
      <c r="M667" s="334"/>
      <c r="N667" s="334"/>
      <c r="O667" s="334"/>
      <c r="P667" s="334"/>
      <c r="Q667" s="334"/>
      <c r="R667" s="334"/>
      <c r="S667" s="334"/>
      <c r="T667" s="334"/>
      <c r="U667" s="334"/>
      <c r="V667" s="334"/>
      <c r="W667" s="334"/>
      <c r="X667" s="334"/>
      <c r="Y667" s="334"/>
      <c r="Z667" s="334"/>
      <c r="AA667" s="334"/>
      <c r="AB667" s="334"/>
      <c r="AC667" s="334"/>
      <c r="AD667" s="334"/>
    </row>
    <row r="668" ht="16.5" customHeight="1">
      <c r="A668" s="334"/>
      <c r="B668" s="329"/>
      <c r="C668" s="329" t="s">
        <v>585</v>
      </c>
      <c r="D668" s="331" t="s">
        <v>585</v>
      </c>
      <c r="E668" s="331" t="s">
        <v>585</v>
      </c>
      <c r="F668" s="331" t="s">
        <v>585</v>
      </c>
      <c r="G668" s="331">
        <f>iferror(sumifs('Hợp tác'!G:G,'Hợp tác'!A:A,B668,'Hợp tác'!H:H,$G$2,'Hợp tác'!I:I,$I$2),"")</f>
        <v>0</v>
      </c>
      <c r="H668" s="332">
        <f>SUMIFS(View!J:J,View!B:B,B668)</f>
        <v>0</v>
      </c>
      <c r="I668" s="332">
        <f>sumifs('Hoa Hồng'!L:L,'Hoa Hồng'!A:A,B668)</f>
        <v>0</v>
      </c>
      <c r="J668" s="332">
        <v>0.0</v>
      </c>
      <c r="K668" s="333" t="s">
        <v>1211</v>
      </c>
      <c r="L668" s="334"/>
      <c r="M668" s="334"/>
      <c r="N668" s="334"/>
      <c r="O668" s="334"/>
      <c r="P668" s="334"/>
      <c r="Q668" s="334"/>
      <c r="R668" s="334"/>
      <c r="S668" s="334"/>
      <c r="T668" s="334"/>
      <c r="U668" s="334"/>
      <c r="V668" s="334"/>
      <c r="W668" s="334"/>
      <c r="X668" s="334"/>
      <c r="Y668" s="334"/>
      <c r="Z668" s="334"/>
      <c r="AA668" s="334"/>
      <c r="AB668" s="334"/>
      <c r="AC668" s="334"/>
      <c r="AD668" s="334"/>
    </row>
    <row r="669" ht="16.5" customHeight="1">
      <c r="A669" s="334"/>
      <c r="B669" s="329"/>
      <c r="C669" s="329" t="s">
        <v>585</v>
      </c>
      <c r="D669" s="331" t="s">
        <v>585</v>
      </c>
      <c r="E669" s="331" t="s">
        <v>585</v>
      </c>
      <c r="F669" s="331" t="s">
        <v>585</v>
      </c>
      <c r="G669" s="331">
        <f>iferror(sumifs('Hợp tác'!G:G,'Hợp tác'!A:A,B669,'Hợp tác'!H:H,$G$2,'Hợp tác'!I:I,$I$2),"")</f>
        <v>0</v>
      </c>
      <c r="H669" s="332">
        <f>SUMIFS(View!J:J,View!B:B,B669)</f>
        <v>0</v>
      </c>
      <c r="I669" s="332">
        <f>sumifs('Hoa Hồng'!L:L,'Hoa Hồng'!A:A,B669)</f>
        <v>0</v>
      </c>
      <c r="J669" s="332">
        <v>0.0</v>
      </c>
      <c r="K669" s="333" t="s">
        <v>1211</v>
      </c>
      <c r="L669" s="334"/>
      <c r="M669" s="334"/>
      <c r="N669" s="334"/>
      <c r="O669" s="334"/>
      <c r="P669" s="334"/>
      <c r="Q669" s="334"/>
      <c r="R669" s="334"/>
      <c r="S669" s="334"/>
      <c r="T669" s="334"/>
      <c r="U669" s="334"/>
      <c r="V669" s="334"/>
      <c r="W669" s="334"/>
      <c r="X669" s="334"/>
      <c r="Y669" s="334"/>
      <c r="Z669" s="334"/>
      <c r="AA669" s="334"/>
      <c r="AB669" s="334"/>
      <c r="AC669" s="334"/>
      <c r="AD669" s="334"/>
    </row>
    <row r="670" ht="16.5" customHeight="1">
      <c r="A670" s="334"/>
      <c r="B670" s="329"/>
      <c r="C670" s="329" t="s">
        <v>585</v>
      </c>
      <c r="D670" s="331" t="s">
        <v>585</v>
      </c>
      <c r="E670" s="331" t="s">
        <v>585</v>
      </c>
      <c r="F670" s="331" t="s">
        <v>585</v>
      </c>
      <c r="G670" s="331">
        <f>iferror(sumifs('Hợp tác'!G:G,'Hợp tác'!A:A,B670,'Hợp tác'!H:H,$G$2,'Hợp tác'!I:I,$I$2),"")</f>
        <v>0</v>
      </c>
      <c r="H670" s="332">
        <f>SUMIFS(View!J:J,View!B:B,B670)</f>
        <v>0</v>
      </c>
      <c r="I670" s="332">
        <f>sumifs('Hoa Hồng'!L:L,'Hoa Hồng'!A:A,B670)</f>
        <v>0</v>
      </c>
      <c r="J670" s="332">
        <v>0.0</v>
      </c>
      <c r="K670" s="333" t="s">
        <v>1211</v>
      </c>
      <c r="L670" s="334"/>
      <c r="M670" s="334"/>
      <c r="N670" s="334"/>
      <c r="O670" s="334"/>
      <c r="P670" s="334"/>
      <c r="Q670" s="334"/>
      <c r="R670" s="334"/>
      <c r="S670" s="334"/>
      <c r="T670" s="334"/>
      <c r="U670" s="334"/>
      <c r="V670" s="334"/>
      <c r="W670" s="334"/>
      <c r="X670" s="334"/>
      <c r="Y670" s="334"/>
      <c r="Z670" s="334"/>
      <c r="AA670" s="334"/>
      <c r="AB670" s="334"/>
      <c r="AC670" s="334"/>
      <c r="AD670" s="334"/>
    </row>
    <row r="671" ht="16.5" customHeight="1">
      <c r="A671" s="334"/>
      <c r="B671" s="329"/>
      <c r="C671" s="329" t="s">
        <v>585</v>
      </c>
      <c r="D671" s="331" t="s">
        <v>585</v>
      </c>
      <c r="E671" s="331" t="s">
        <v>585</v>
      </c>
      <c r="F671" s="331" t="s">
        <v>585</v>
      </c>
      <c r="G671" s="331">
        <f>iferror(sumifs('Hợp tác'!G:G,'Hợp tác'!A:A,B671,'Hợp tác'!H:H,$G$2,'Hợp tác'!I:I,$I$2),"")</f>
        <v>0</v>
      </c>
      <c r="H671" s="332">
        <f>SUMIFS(View!J:J,View!B:B,B671)</f>
        <v>0</v>
      </c>
      <c r="I671" s="332">
        <f>sumifs('Hoa Hồng'!L:L,'Hoa Hồng'!A:A,B671)</f>
        <v>0</v>
      </c>
      <c r="J671" s="332">
        <v>0.0</v>
      </c>
      <c r="K671" s="333" t="s">
        <v>1211</v>
      </c>
      <c r="L671" s="334"/>
      <c r="M671" s="334"/>
      <c r="N671" s="334"/>
      <c r="O671" s="334"/>
      <c r="P671" s="334"/>
      <c r="Q671" s="334"/>
      <c r="R671" s="334"/>
      <c r="S671" s="334"/>
      <c r="T671" s="334"/>
      <c r="U671" s="334"/>
      <c r="V671" s="334"/>
      <c r="W671" s="334"/>
      <c r="X671" s="334"/>
      <c r="Y671" s="334"/>
      <c r="Z671" s="334"/>
      <c r="AA671" s="334"/>
      <c r="AB671" s="334"/>
      <c r="AC671" s="334"/>
      <c r="AD671" s="334"/>
    </row>
    <row r="672" ht="16.5" customHeight="1">
      <c r="A672" s="334"/>
      <c r="B672" s="329"/>
      <c r="C672" s="329" t="s">
        <v>585</v>
      </c>
      <c r="D672" s="331" t="s">
        <v>585</v>
      </c>
      <c r="E672" s="331" t="s">
        <v>585</v>
      </c>
      <c r="F672" s="331" t="s">
        <v>585</v>
      </c>
      <c r="G672" s="331">
        <f>iferror(sumifs('Hợp tác'!G:G,'Hợp tác'!A:A,B672,'Hợp tác'!H:H,$G$2,'Hợp tác'!I:I,$I$2),"")</f>
        <v>0</v>
      </c>
      <c r="H672" s="332">
        <f>SUMIFS(View!J:J,View!B:B,B672)</f>
        <v>0</v>
      </c>
      <c r="I672" s="332">
        <f>sumifs('Hoa Hồng'!L:L,'Hoa Hồng'!A:A,B672)</f>
        <v>0</v>
      </c>
      <c r="J672" s="332">
        <v>0.0</v>
      </c>
      <c r="K672" s="333" t="s">
        <v>1211</v>
      </c>
      <c r="L672" s="334"/>
      <c r="M672" s="334"/>
      <c r="N672" s="334"/>
      <c r="O672" s="334"/>
      <c r="P672" s="334"/>
      <c r="Q672" s="334"/>
      <c r="R672" s="334"/>
      <c r="S672" s="334"/>
      <c r="T672" s="334"/>
      <c r="U672" s="334"/>
      <c r="V672" s="334"/>
      <c r="W672" s="334"/>
      <c r="X672" s="334"/>
      <c r="Y672" s="334"/>
      <c r="Z672" s="334"/>
      <c r="AA672" s="334"/>
      <c r="AB672" s="334"/>
      <c r="AC672" s="334"/>
      <c r="AD672" s="334"/>
    </row>
    <row r="673" ht="16.5" customHeight="1">
      <c r="A673" s="334"/>
      <c r="B673" s="329"/>
      <c r="C673" s="329" t="s">
        <v>585</v>
      </c>
      <c r="D673" s="331" t="s">
        <v>585</v>
      </c>
      <c r="E673" s="331" t="s">
        <v>585</v>
      </c>
      <c r="F673" s="331" t="s">
        <v>585</v>
      </c>
      <c r="G673" s="331">
        <f>iferror(sumifs('Hợp tác'!G:G,'Hợp tác'!A:A,B673,'Hợp tác'!H:H,$G$2,'Hợp tác'!I:I,$I$2),"")</f>
        <v>0</v>
      </c>
      <c r="H673" s="332">
        <f>SUMIFS(View!J:J,View!B:B,B673)</f>
        <v>0</v>
      </c>
      <c r="I673" s="332">
        <f>sumifs('Hoa Hồng'!L:L,'Hoa Hồng'!A:A,B673)</f>
        <v>0</v>
      </c>
      <c r="J673" s="332">
        <v>0.0</v>
      </c>
      <c r="K673" s="333" t="s">
        <v>1211</v>
      </c>
      <c r="L673" s="334"/>
      <c r="M673" s="334"/>
      <c r="N673" s="334"/>
      <c r="O673" s="334"/>
      <c r="P673" s="334"/>
      <c r="Q673" s="334"/>
      <c r="R673" s="334"/>
      <c r="S673" s="334"/>
      <c r="T673" s="334"/>
      <c r="U673" s="334"/>
      <c r="V673" s="334"/>
      <c r="W673" s="334"/>
      <c r="X673" s="334"/>
      <c r="Y673" s="334"/>
      <c r="Z673" s="334"/>
      <c r="AA673" s="334"/>
      <c r="AB673" s="334"/>
      <c r="AC673" s="334"/>
      <c r="AD673" s="334"/>
    </row>
    <row r="674" ht="16.5" customHeight="1">
      <c r="A674" s="334"/>
      <c r="B674" s="329"/>
      <c r="C674" s="329" t="s">
        <v>585</v>
      </c>
      <c r="D674" s="331" t="s">
        <v>585</v>
      </c>
      <c r="E674" s="331" t="s">
        <v>585</v>
      </c>
      <c r="F674" s="331" t="s">
        <v>585</v>
      </c>
      <c r="G674" s="331">
        <f>iferror(sumifs('Hợp tác'!G:G,'Hợp tác'!A:A,B674,'Hợp tác'!H:H,$G$2,'Hợp tác'!I:I,$I$2),"")</f>
        <v>0</v>
      </c>
      <c r="H674" s="332">
        <f>SUMIFS(View!J:J,View!B:B,B674)</f>
        <v>0</v>
      </c>
      <c r="I674" s="332">
        <f>sumifs('Hoa Hồng'!L:L,'Hoa Hồng'!A:A,B674)</f>
        <v>0</v>
      </c>
      <c r="J674" s="332">
        <v>0.0</v>
      </c>
      <c r="K674" s="333" t="s">
        <v>1211</v>
      </c>
      <c r="L674" s="334"/>
      <c r="M674" s="334"/>
      <c r="N674" s="334"/>
      <c r="O674" s="334"/>
      <c r="P674" s="334"/>
      <c r="Q674" s="334"/>
      <c r="R674" s="334"/>
      <c r="S674" s="334"/>
      <c r="T674" s="334"/>
      <c r="U674" s="334"/>
      <c r="V674" s="334"/>
      <c r="W674" s="334"/>
      <c r="X674" s="334"/>
      <c r="Y674" s="334"/>
      <c r="Z674" s="334"/>
      <c r="AA674" s="334"/>
      <c r="AB674" s="334"/>
      <c r="AC674" s="334"/>
      <c r="AD674" s="334"/>
    </row>
    <row r="675" ht="16.5" customHeight="1">
      <c r="A675" s="334"/>
      <c r="B675" s="329"/>
      <c r="C675" s="329" t="s">
        <v>585</v>
      </c>
      <c r="D675" s="331" t="s">
        <v>585</v>
      </c>
      <c r="E675" s="331" t="s">
        <v>585</v>
      </c>
      <c r="F675" s="331" t="s">
        <v>585</v>
      </c>
      <c r="G675" s="331">
        <f>iferror(sumifs('Hợp tác'!G:G,'Hợp tác'!A:A,B675,'Hợp tác'!H:H,$G$2,'Hợp tác'!I:I,$I$2),"")</f>
        <v>0</v>
      </c>
      <c r="H675" s="332">
        <f>SUMIFS(View!J:J,View!B:B,B675)</f>
        <v>0</v>
      </c>
      <c r="I675" s="332">
        <f>sumifs('Hoa Hồng'!L:L,'Hoa Hồng'!A:A,B675)</f>
        <v>0</v>
      </c>
      <c r="J675" s="332">
        <v>0.0</v>
      </c>
      <c r="K675" s="333" t="s">
        <v>1211</v>
      </c>
      <c r="L675" s="334"/>
      <c r="M675" s="334"/>
      <c r="N675" s="334"/>
      <c r="O675" s="334"/>
      <c r="P675" s="334"/>
      <c r="Q675" s="334"/>
      <c r="R675" s="334"/>
      <c r="S675" s="334"/>
      <c r="T675" s="334"/>
      <c r="U675" s="334"/>
      <c r="V675" s="334"/>
      <c r="W675" s="334"/>
      <c r="X675" s="334"/>
      <c r="Y675" s="334"/>
      <c r="Z675" s="334"/>
      <c r="AA675" s="334"/>
      <c r="AB675" s="334"/>
      <c r="AC675" s="334"/>
      <c r="AD675" s="334"/>
    </row>
    <row r="676" ht="16.5" customHeight="1">
      <c r="A676" s="334"/>
      <c r="B676" s="329"/>
      <c r="C676" s="329" t="s">
        <v>585</v>
      </c>
      <c r="D676" s="331" t="s">
        <v>585</v>
      </c>
      <c r="E676" s="331" t="s">
        <v>585</v>
      </c>
      <c r="F676" s="331" t="s">
        <v>585</v>
      </c>
      <c r="G676" s="331">
        <f>iferror(sumifs('Hợp tác'!G:G,'Hợp tác'!A:A,B676,'Hợp tác'!H:H,$G$2,'Hợp tác'!I:I,$I$2),"")</f>
        <v>0</v>
      </c>
      <c r="H676" s="332">
        <f>SUMIFS(View!J:J,View!B:B,B676)</f>
        <v>0</v>
      </c>
      <c r="I676" s="332">
        <f>sumifs('Hoa Hồng'!L:L,'Hoa Hồng'!A:A,B676)</f>
        <v>0</v>
      </c>
      <c r="J676" s="332">
        <v>0.0</v>
      </c>
      <c r="K676" s="333" t="s">
        <v>1211</v>
      </c>
      <c r="L676" s="334"/>
      <c r="M676" s="334"/>
      <c r="N676" s="334"/>
      <c r="O676" s="334"/>
      <c r="P676" s="334"/>
      <c r="Q676" s="334"/>
      <c r="R676" s="334"/>
      <c r="S676" s="334"/>
      <c r="T676" s="334"/>
      <c r="U676" s="334"/>
      <c r="V676" s="334"/>
      <c r="W676" s="334"/>
      <c r="X676" s="334"/>
      <c r="Y676" s="334"/>
      <c r="Z676" s="334"/>
      <c r="AA676" s="334"/>
      <c r="AB676" s="334"/>
      <c r="AC676" s="334"/>
      <c r="AD676" s="334"/>
    </row>
    <row r="677" ht="16.5" customHeight="1">
      <c r="A677" s="334"/>
      <c r="B677" s="329"/>
      <c r="C677" s="329" t="s">
        <v>585</v>
      </c>
      <c r="D677" s="331" t="s">
        <v>585</v>
      </c>
      <c r="E677" s="331" t="s">
        <v>585</v>
      </c>
      <c r="F677" s="331" t="s">
        <v>585</v>
      </c>
      <c r="G677" s="331">
        <f>iferror(sumifs('Hợp tác'!G:G,'Hợp tác'!A:A,B677,'Hợp tác'!H:H,$G$2,'Hợp tác'!I:I,$I$2),"")</f>
        <v>0</v>
      </c>
      <c r="H677" s="332">
        <f>SUMIFS(View!J:J,View!B:B,B677)</f>
        <v>0</v>
      </c>
      <c r="I677" s="332">
        <f>sumifs('Hoa Hồng'!L:L,'Hoa Hồng'!A:A,B677)</f>
        <v>0</v>
      </c>
      <c r="J677" s="332">
        <v>0.0</v>
      </c>
      <c r="K677" s="333" t="s">
        <v>1211</v>
      </c>
      <c r="L677" s="334"/>
      <c r="M677" s="334"/>
      <c r="N677" s="334"/>
      <c r="O677" s="334"/>
      <c r="P677" s="334"/>
      <c r="Q677" s="334"/>
      <c r="R677" s="334"/>
      <c r="S677" s="334"/>
      <c r="T677" s="334"/>
      <c r="U677" s="334"/>
      <c r="V677" s="334"/>
      <c r="W677" s="334"/>
      <c r="X677" s="334"/>
      <c r="Y677" s="334"/>
      <c r="Z677" s="334"/>
      <c r="AA677" s="334"/>
      <c r="AB677" s="334"/>
      <c r="AC677" s="334"/>
      <c r="AD677" s="334"/>
    </row>
    <row r="678" ht="16.5" customHeight="1">
      <c r="A678" s="334"/>
      <c r="B678" s="329"/>
      <c r="C678" s="329" t="s">
        <v>585</v>
      </c>
      <c r="D678" s="331" t="s">
        <v>585</v>
      </c>
      <c r="E678" s="331" t="s">
        <v>585</v>
      </c>
      <c r="F678" s="331" t="s">
        <v>585</v>
      </c>
      <c r="G678" s="331">
        <f>iferror(sumifs('Hợp tác'!G:G,'Hợp tác'!A:A,B678,'Hợp tác'!H:H,$G$2,'Hợp tác'!I:I,$I$2),"")</f>
        <v>0</v>
      </c>
      <c r="H678" s="332">
        <f>SUMIFS(View!J:J,View!B:B,B678)</f>
        <v>0</v>
      </c>
      <c r="I678" s="332">
        <f>sumifs('Hoa Hồng'!L:L,'Hoa Hồng'!A:A,B678)</f>
        <v>0</v>
      </c>
      <c r="J678" s="332">
        <v>0.0</v>
      </c>
      <c r="K678" s="333" t="s">
        <v>1211</v>
      </c>
      <c r="L678" s="334"/>
      <c r="M678" s="334"/>
      <c r="N678" s="334"/>
      <c r="O678" s="334"/>
      <c r="P678" s="334"/>
      <c r="Q678" s="334"/>
      <c r="R678" s="334"/>
      <c r="S678" s="334"/>
      <c r="T678" s="334"/>
      <c r="U678" s="334"/>
      <c r="V678" s="334"/>
      <c r="W678" s="334"/>
      <c r="X678" s="334"/>
      <c r="Y678" s="334"/>
      <c r="Z678" s="334"/>
      <c r="AA678" s="334"/>
      <c r="AB678" s="334"/>
      <c r="AC678" s="334"/>
      <c r="AD678" s="334"/>
    </row>
    <row r="679" ht="16.5" customHeight="1">
      <c r="A679" s="334"/>
      <c r="B679" s="329"/>
      <c r="C679" s="329" t="s">
        <v>585</v>
      </c>
      <c r="D679" s="331" t="s">
        <v>585</v>
      </c>
      <c r="E679" s="331" t="s">
        <v>585</v>
      </c>
      <c r="F679" s="331" t="s">
        <v>585</v>
      </c>
      <c r="G679" s="331">
        <f>iferror(sumifs('Hợp tác'!G:G,'Hợp tác'!A:A,B679,'Hợp tác'!H:H,$G$2,'Hợp tác'!I:I,$I$2),"")</f>
        <v>0</v>
      </c>
      <c r="H679" s="332">
        <f>SUMIFS(View!J:J,View!B:B,B679)</f>
        <v>0</v>
      </c>
      <c r="I679" s="332">
        <f>sumifs('Hoa Hồng'!L:L,'Hoa Hồng'!A:A,B679)</f>
        <v>0</v>
      </c>
      <c r="J679" s="332">
        <v>0.0</v>
      </c>
      <c r="K679" s="333" t="s">
        <v>1211</v>
      </c>
      <c r="L679" s="334"/>
      <c r="M679" s="334"/>
      <c r="N679" s="334"/>
      <c r="O679" s="334"/>
      <c r="P679" s="334"/>
      <c r="Q679" s="334"/>
      <c r="R679" s="334"/>
      <c r="S679" s="334"/>
      <c r="T679" s="334"/>
      <c r="U679" s="334"/>
      <c r="V679" s="334"/>
      <c r="W679" s="334"/>
      <c r="X679" s="334"/>
      <c r="Y679" s="334"/>
      <c r="Z679" s="334"/>
      <c r="AA679" s="334"/>
      <c r="AB679" s="334"/>
      <c r="AC679" s="334"/>
      <c r="AD679" s="334"/>
    </row>
    <row r="680" ht="16.5" customHeight="1">
      <c r="A680" s="334"/>
      <c r="B680" s="329"/>
      <c r="C680" s="329" t="s">
        <v>585</v>
      </c>
      <c r="D680" s="331" t="s">
        <v>585</v>
      </c>
      <c r="E680" s="331" t="s">
        <v>585</v>
      </c>
      <c r="F680" s="331" t="s">
        <v>585</v>
      </c>
      <c r="G680" s="331">
        <f>iferror(sumifs('Hợp tác'!G:G,'Hợp tác'!A:A,B680,'Hợp tác'!H:H,$G$2,'Hợp tác'!I:I,$I$2),"")</f>
        <v>0</v>
      </c>
      <c r="H680" s="332">
        <f>SUMIFS(View!J:J,View!B:B,B680)</f>
        <v>0</v>
      </c>
      <c r="I680" s="332">
        <f>sumifs('Hoa Hồng'!L:L,'Hoa Hồng'!A:A,B680)</f>
        <v>0</v>
      </c>
      <c r="J680" s="332">
        <v>0.0</v>
      </c>
      <c r="K680" s="333" t="s">
        <v>1211</v>
      </c>
      <c r="L680" s="334"/>
      <c r="M680" s="334"/>
      <c r="N680" s="334"/>
      <c r="O680" s="334"/>
      <c r="P680" s="334"/>
      <c r="Q680" s="334"/>
      <c r="R680" s="334"/>
      <c r="S680" s="334"/>
      <c r="T680" s="334"/>
      <c r="U680" s="334"/>
      <c r="V680" s="334"/>
      <c r="W680" s="334"/>
      <c r="X680" s="334"/>
      <c r="Y680" s="334"/>
      <c r="Z680" s="334"/>
      <c r="AA680" s="334"/>
      <c r="AB680" s="334"/>
      <c r="AC680" s="334"/>
      <c r="AD680" s="334"/>
    </row>
    <row r="681" ht="16.5" customHeight="1">
      <c r="A681" s="334"/>
      <c r="B681" s="329"/>
      <c r="C681" s="329" t="s">
        <v>585</v>
      </c>
      <c r="D681" s="331" t="s">
        <v>585</v>
      </c>
      <c r="E681" s="331" t="s">
        <v>585</v>
      </c>
      <c r="F681" s="331" t="s">
        <v>585</v>
      </c>
      <c r="G681" s="331">
        <f>iferror(sumifs('Hợp tác'!G:G,'Hợp tác'!A:A,B681,'Hợp tác'!H:H,$G$2,'Hợp tác'!I:I,$I$2),"")</f>
        <v>0</v>
      </c>
      <c r="H681" s="332">
        <f>SUMIFS(View!J:J,View!B:B,B681)</f>
        <v>0</v>
      </c>
      <c r="I681" s="332">
        <f>sumifs('Hoa Hồng'!L:L,'Hoa Hồng'!A:A,B681)</f>
        <v>0</v>
      </c>
      <c r="J681" s="332">
        <v>0.0</v>
      </c>
      <c r="K681" s="333" t="s">
        <v>1211</v>
      </c>
      <c r="L681" s="334"/>
      <c r="M681" s="334"/>
      <c r="N681" s="334"/>
      <c r="O681" s="334"/>
      <c r="P681" s="334"/>
      <c r="Q681" s="334"/>
      <c r="R681" s="334"/>
      <c r="S681" s="334"/>
      <c r="T681" s="334"/>
      <c r="U681" s="334"/>
      <c r="V681" s="334"/>
      <c r="W681" s="334"/>
      <c r="X681" s="334"/>
      <c r="Y681" s="334"/>
      <c r="Z681" s="334"/>
      <c r="AA681" s="334"/>
      <c r="AB681" s="334"/>
      <c r="AC681" s="334"/>
      <c r="AD681" s="334"/>
    </row>
    <row r="682" ht="16.5" customHeight="1">
      <c r="A682" s="334"/>
      <c r="B682" s="329"/>
      <c r="C682" s="329" t="s">
        <v>585</v>
      </c>
      <c r="D682" s="331" t="s">
        <v>585</v>
      </c>
      <c r="E682" s="331" t="s">
        <v>585</v>
      </c>
      <c r="F682" s="331" t="s">
        <v>585</v>
      </c>
      <c r="G682" s="331">
        <f>iferror(sumifs('Hợp tác'!G:G,'Hợp tác'!A:A,B682,'Hợp tác'!H:H,$G$2,'Hợp tác'!I:I,$I$2),"")</f>
        <v>0</v>
      </c>
      <c r="H682" s="332">
        <f>SUMIFS(View!J:J,View!B:B,B682)</f>
        <v>0</v>
      </c>
      <c r="I682" s="332">
        <f>sumifs('Hoa Hồng'!L:L,'Hoa Hồng'!A:A,B682)</f>
        <v>0</v>
      </c>
      <c r="J682" s="332">
        <v>0.0</v>
      </c>
      <c r="K682" s="333" t="s">
        <v>1211</v>
      </c>
      <c r="L682" s="334"/>
      <c r="M682" s="334"/>
      <c r="N682" s="334"/>
      <c r="O682" s="334"/>
      <c r="P682" s="334"/>
      <c r="Q682" s="334"/>
      <c r="R682" s="334"/>
      <c r="S682" s="334"/>
      <c r="T682" s="334"/>
      <c r="U682" s="334"/>
      <c r="V682" s="334"/>
      <c r="W682" s="334"/>
      <c r="X682" s="334"/>
      <c r="Y682" s="334"/>
      <c r="Z682" s="334"/>
      <c r="AA682" s="334"/>
      <c r="AB682" s="334"/>
      <c r="AC682" s="334"/>
      <c r="AD682" s="334"/>
    </row>
    <row r="683" ht="16.5" customHeight="1">
      <c r="A683" s="334"/>
      <c r="B683" s="329"/>
      <c r="C683" s="329" t="s">
        <v>585</v>
      </c>
      <c r="D683" s="331" t="s">
        <v>585</v>
      </c>
      <c r="E683" s="331" t="s">
        <v>585</v>
      </c>
      <c r="F683" s="331" t="s">
        <v>585</v>
      </c>
      <c r="G683" s="331">
        <f>iferror(sumifs('Hợp tác'!G:G,'Hợp tác'!A:A,B683,'Hợp tác'!H:H,$G$2,'Hợp tác'!I:I,$I$2),"")</f>
        <v>0</v>
      </c>
      <c r="H683" s="332">
        <f>SUMIFS(View!J:J,View!B:B,B683)</f>
        <v>0</v>
      </c>
      <c r="I683" s="332">
        <f>sumifs('Hoa Hồng'!L:L,'Hoa Hồng'!A:A,B683)</f>
        <v>0</v>
      </c>
      <c r="J683" s="332">
        <v>0.0</v>
      </c>
      <c r="K683" s="333" t="s">
        <v>1211</v>
      </c>
      <c r="L683" s="334"/>
      <c r="M683" s="334"/>
      <c r="N683" s="334"/>
      <c r="O683" s="334"/>
      <c r="P683" s="334"/>
      <c r="Q683" s="334"/>
      <c r="R683" s="334"/>
      <c r="S683" s="334"/>
      <c r="T683" s="334"/>
      <c r="U683" s="334"/>
      <c r="V683" s="334"/>
      <c r="W683" s="334"/>
      <c r="X683" s="334"/>
      <c r="Y683" s="334"/>
      <c r="Z683" s="334"/>
      <c r="AA683" s="334"/>
      <c r="AB683" s="334"/>
      <c r="AC683" s="334"/>
      <c r="AD683" s="334"/>
    </row>
    <row r="684" ht="16.5" customHeight="1">
      <c r="A684" s="334"/>
      <c r="B684" s="329"/>
      <c r="C684" s="329" t="s">
        <v>585</v>
      </c>
      <c r="D684" s="331" t="s">
        <v>585</v>
      </c>
      <c r="E684" s="331" t="s">
        <v>585</v>
      </c>
      <c r="F684" s="331" t="s">
        <v>585</v>
      </c>
      <c r="G684" s="331">
        <f>iferror(sumifs('Hợp tác'!G:G,'Hợp tác'!A:A,B684,'Hợp tác'!H:H,$G$2,'Hợp tác'!I:I,$I$2),"")</f>
        <v>0</v>
      </c>
      <c r="H684" s="332">
        <f>SUMIFS(View!J:J,View!B:B,B684)</f>
        <v>0</v>
      </c>
      <c r="I684" s="332">
        <f>sumifs('Hoa Hồng'!L:L,'Hoa Hồng'!A:A,B684)</f>
        <v>0</v>
      </c>
      <c r="J684" s="332">
        <v>0.0</v>
      </c>
      <c r="K684" s="333" t="s">
        <v>1211</v>
      </c>
      <c r="L684" s="334"/>
      <c r="M684" s="334"/>
      <c r="N684" s="334"/>
      <c r="O684" s="334"/>
      <c r="P684" s="334"/>
      <c r="Q684" s="334"/>
      <c r="R684" s="334"/>
      <c r="S684" s="334"/>
      <c r="T684" s="334"/>
      <c r="U684" s="334"/>
      <c r="V684" s="334"/>
      <c r="W684" s="334"/>
      <c r="X684" s="334"/>
      <c r="Y684" s="334"/>
      <c r="Z684" s="334"/>
      <c r="AA684" s="334"/>
      <c r="AB684" s="334"/>
      <c r="AC684" s="334"/>
      <c r="AD684" s="334"/>
    </row>
    <row r="685" ht="16.5" customHeight="1">
      <c r="A685" s="334"/>
      <c r="B685" s="329"/>
      <c r="C685" s="329" t="s">
        <v>585</v>
      </c>
      <c r="D685" s="331" t="s">
        <v>585</v>
      </c>
      <c r="E685" s="331" t="s">
        <v>585</v>
      </c>
      <c r="F685" s="331" t="s">
        <v>585</v>
      </c>
      <c r="G685" s="331">
        <f>iferror(sumifs('Hợp tác'!G:G,'Hợp tác'!A:A,B685,'Hợp tác'!H:H,$G$2,'Hợp tác'!I:I,$I$2),"")</f>
        <v>0</v>
      </c>
      <c r="H685" s="332">
        <f>SUMIFS(View!J:J,View!B:B,B685)</f>
        <v>0</v>
      </c>
      <c r="I685" s="332">
        <f>sumifs('Hoa Hồng'!L:L,'Hoa Hồng'!A:A,B685)</f>
        <v>0</v>
      </c>
      <c r="J685" s="332">
        <v>0.0</v>
      </c>
      <c r="K685" s="333" t="s">
        <v>1211</v>
      </c>
      <c r="L685" s="334"/>
      <c r="M685" s="334"/>
      <c r="N685" s="334"/>
      <c r="O685" s="334"/>
      <c r="P685" s="334"/>
      <c r="Q685" s="334"/>
      <c r="R685" s="334"/>
      <c r="S685" s="334"/>
      <c r="T685" s="334"/>
      <c r="U685" s="334"/>
      <c r="V685" s="334"/>
      <c r="W685" s="334"/>
      <c r="X685" s="334"/>
      <c r="Y685" s="334"/>
      <c r="Z685" s="334"/>
      <c r="AA685" s="334"/>
      <c r="AB685" s="334"/>
      <c r="AC685" s="334"/>
      <c r="AD685" s="334"/>
    </row>
    <row r="686" ht="16.5" customHeight="1">
      <c r="A686" s="334"/>
      <c r="B686" s="329"/>
      <c r="C686" s="329" t="s">
        <v>585</v>
      </c>
      <c r="D686" s="331" t="s">
        <v>585</v>
      </c>
      <c r="E686" s="331" t="s">
        <v>585</v>
      </c>
      <c r="F686" s="331" t="s">
        <v>585</v>
      </c>
      <c r="G686" s="331">
        <f>iferror(sumifs('Hợp tác'!G:G,'Hợp tác'!A:A,B686,'Hợp tác'!H:H,$G$2,'Hợp tác'!I:I,$I$2),"")</f>
        <v>0</v>
      </c>
      <c r="H686" s="332">
        <f>SUMIFS(View!J:J,View!B:B,B686)</f>
        <v>0</v>
      </c>
      <c r="I686" s="332">
        <f>sumifs('Hoa Hồng'!L:L,'Hoa Hồng'!A:A,B686)</f>
        <v>0</v>
      </c>
      <c r="J686" s="332">
        <v>0.0</v>
      </c>
      <c r="K686" s="333" t="s">
        <v>1211</v>
      </c>
      <c r="L686" s="334"/>
      <c r="M686" s="334"/>
      <c r="N686" s="334"/>
      <c r="O686" s="334"/>
      <c r="P686" s="334"/>
      <c r="Q686" s="334"/>
      <c r="R686" s="334"/>
      <c r="S686" s="334"/>
      <c r="T686" s="334"/>
      <c r="U686" s="334"/>
      <c r="V686" s="334"/>
      <c r="W686" s="334"/>
      <c r="X686" s="334"/>
      <c r="Y686" s="334"/>
      <c r="Z686" s="334"/>
      <c r="AA686" s="334"/>
      <c r="AB686" s="334"/>
      <c r="AC686" s="334"/>
      <c r="AD686" s="334"/>
    </row>
    <row r="687" ht="16.5" customHeight="1">
      <c r="A687" s="334"/>
      <c r="B687" s="329"/>
      <c r="C687" s="329" t="s">
        <v>585</v>
      </c>
      <c r="D687" s="331" t="s">
        <v>585</v>
      </c>
      <c r="E687" s="331" t="s">
        <v>585</v>
      </c>
      <c r="F687" s="331" t="s">
        <v>585</v>
      </c>
      <c r="G687" s="331">
        <f>iferror(sumifs('Hợp tác'!G:G,'Hợp tác'!A:A,B687,'Hợp tác'!H:H,$G$2,'Hợp tác'!I:I,$I$2),"")</f>
        <v>0</v>
      </c>
      <c r="H687" s="332">
        <f>SUMIFS(View!J:J,View!B:B,B687)</f>
        <v>0</v>
      </c>
      <c r="I687" s="332">
        <f>sumifs('Hoa Hồng'!L:L,'Hoa Hồng'!A:A,B687)</f>
        <v>0</v>
      </c>
      <c r="J687" s="332">
        <v>0.0</v>
      </c>
      <c r="K687" s="333" t="s">
        <v>1211</v>
      </c>
      <c r="L687" s="334"/>
      <c r="M687" s="334"/>
      <c r="N687" s="334"/>
      <c r="O687" s="334"/>
      <c r="P687" s="334"/>
      <c r="Q687" s="334"/>
      <c r="R687" s="334"/>
      <c r="S687" s="334"/>
      <c r="T687" s="334"/>
      <c r="U687" s="334"/>
      <c r="V687" s="334"/>
      <c r="W687" s="334"/>
      <c r="X687" s="334"/>
      <c r="Y687" s="334"/>
      <c r="Z687" s="334"/>
      <c r="AA687" s="334"/>
      <c r="AB687" s="334"/>
      <c r="AC687" s="334"/>
      <c r="AD687" s="334"/>
    </row>
    <row r="688" ht="16.5" customHeight="1">
      <c r="A688" s="334"/>
      <c r="B688" s="329"/>
      <c r="C688" s="329" t="s">
        <v>585</v>
      </c>
      <c r="D688" s="331" t="s">
        <v>585</v>
      </c>
      <c r="E688" s="331" t="s">
        <v>585</v>
      </c>
      <c r="F688" s="331" t="s">
        <v>585</v>
      </c>
      <c r="G688" s="331">
        <f>iferror(sumifs('Hợp tác'!G:G,'Hợp tác'!A:A,B688,'Hợp tác'!H:H,$G$2,'Hợp tác'!I:I,$I$2),"")</f>
        <v>0</v>
      </c>
      <c r="H688" s="332">
        <f>SUMIFS(View!J:J,View!B:B,B688)</f>
        <v>0</v>
      </c>
      <c r="I688" s="332">
        <f>sumifs('Hoa Hồng'!L:L,'Hoa Hồng'!A:A,B688)</f>
        <v>0</v>
      </c>
      <c r="J688" s="332">
        <v>0.0</v>
      </c>
      <c r="K688" s="333" t="s">
        <v>1211</v>
      </c>
      <c r="L688" s="334"/>
      <c r="M688" s="334"/>
      <c r="N688" s="334"/>
      <c r="O688" s="334"/>
      <c r="P688" s="334"/>
      <c r="Q688" s="334"/>
      <c r="R688" s="334"/>
      <c r="S688" s="334"/>
      <c r="T688" s="334"/>
      <c r="U688" s="334"/>
      <c r="V688" s="334"/>
      <c r="W688" s="334"/>
      <c r="X688" s="334"/>
      <c r="Y688" s="334"/>
      <c r="Z688" s="334"/>
      <c r="AA688" s="334"/>
      <c r="AB688" s="334"/>
      <c r="AC688" s="334"/>
      <c r="AD688" s="334"/>
    </row>
    <row r="689" ht="16.5" customHeight="1">
      <c r="A689" s="334"/>
      <c r="B689" s="329"/>
      <c r="C689" s="329" t="s">
        <v>585</v>
      </c>
      <c r="D689" s="331" t="s">
        <v>585</v>
      </c>
      <c r="E689" s="331" t="s">
        <v>585</v>
      </c>
      <c r="F689" s="331" t="s">
        <v>585</v>
      </c>
      <c r="G689" s="331">
        <f>iferror(sumifs('Hợp tác'!G:G,'Hợp tác'!A:A,B689,'Hợp tác'!H:H,$G$2,'Hợp tác'!I:I,$I$2),"")</f>
        <v>0</v>
      </c>
      <c r="H689" s="332">
        <f>SUMIFS(View!J:J,View!B:B,B689)</f>
        <v>0</v>
      </c>
      <c r="I689" s="332">
        <f>sumifs('Hoa Hồng'!L:L,'Hoa Hồng'!A:A,B689)</f>
        <v>0</v>
      </c>
      <c r="J689" s="332">
        <v>0.0</v>
      </c>
      <c r="K689" s="333" t="s">
        <v>1211</v>
      </c>
      <c r="L689" s="334"/>
      <c r="M689" s="334"/>
      <c r="N689" s="334"/>
      <c r="O689" s="334"/>
      <c r="P689" s="334"/>
      <c r="Q689" s="334"/>
      <c r="R689" s="334"/>
      <c r="S689" s="334"/>
      <c r="T689" s="334"/>
      <c r="U689" s="334"/>
      <c r="V689" s="334"/>
      <c r="W689" s="334"/>
      <c r="X689" s="334"/>
      <c r="Y689" s="334"/>
      <c r="Z689" s="334"/>
      <c r="AA689" s="334"/>
      <c r="AB689" s="334"/>
      <c r="AC689" s="334"/>
      <c r="AD689" s="334"/>
    </row>
    <row r="690" ht="16.5" customHeight="1">
      <c r="A690" s="334"/>
      <c r="B690" s="329"/>
      <c r="C690" s="329" t="s">
        <v>585</v>
      </c>
      <c r="D690" s="331" t="s">
        <v>585</v>
      </c>
      <c r="E690" s="331" t="s">
        <v>585</v>
      </c>
      <c r="F690" s="331" t="s">
        <v>585</v>
      </c>
      <c r="G690" s="331">
        <f>iferror(sumifs('Hợp tác'!G:G,'Hợp tác'!A:A,B690,'Hợp tác'!H:H,$G$2,'Hợp tác'!I:I,$I$2),"")</f>
        <v>0</v>
      </c>
      <c r="H690" s="332">
        <f>SUMIFS(View!J:J,View!B:B,B690)</f>
        <v>0</v>
      </c>
      <c r="I690" s="332">
        <f>sumifs('Hoa Hồng'!L:L,'Hoa Hồng'!A:A,B690)</f>
        <v>0</v>
      </c>
      <c r="J690" s="332">
        <v>0.0</v>
      </c>
      <c r="K690" s="333" t="s">
        <v>1211</v>
      </c>
      <c r="L690" s="334"/>
      <c r="M690" s="334"/>
      <c r="N690" s="334"/>
      <c r="O690" s="334"/>
      <c r="P690" s="334"/>
      <c r="Q690" s="334"/>
      <c r="R690" s="334"/>
      <c r="S690" s="334"/>
      <c r="T690" s="334"/>
      <c r="U690" s="334"/>
      <c r="V690" s="334"/>
      <c r="W690" s="334"/>
      <c r="X690" s="334"/>
      <c r="Y690" s="334"/>
      <c r="Z690" s="334"/>
      <c r="AA690" s="334"/>
      <c r="AB690" s="334"/>
      <c r="AC690" s="334"/>
      <c r="AD690" s="334"/>
    </row>
    <row r="691" ht="16.5" customHeight="1">
      <c r="A691" s="334"/>
      <c r="B691" s="329"/>
      <c r="C691" s="329" t="s">
        <v>585</v>
      </c>
      <c r="D691" s="331" t="s">
        <v>585</v>
      </c>
      <c r="E691" s="331" t="s">
        <v>585</v>
      </c>
      <c r="F691" s="331" t="s">
        <v>585</v>
      </c>
      <c r="G691" s="331">
        <f>iferror(sumifs('Hợp tác'!G:G,'Hợp tác'!A:A,B691,'Hợp tác'!H:H,$G$2,'Hợp tác'!I:I,$I$2),"")</f>
        <v>0</v>
      </c>
      <c r="H691" s="332">
        <f>SUMIFS(View!J:J,View!B:B,B691)</f>
        <v>0</v>
      </c>
      <c r="I691" s="332">
        <f>sumifs('Hoa Hồng'!L:L,'Hoa Hồng'!A:A,B691)</f>
        <v>0</v>
      </c>
      <c r="J691" s="332">
        <v>0.0</v>
      </c>
      <c r="K691" s="333" t="s">
        <v>1211</v>
      </c>
      <c r="L691" s="334"/>
      <c r="M691" s="334"/>
      <c r="N691" s="334"/>
      <c r="O691" s="334"/>
      <c r="P691" s="334"/>
      <c r="Q691" s="334"/>
      <c r="R691" s="334"/>
      <c r="S691" s="334"/>
      <c r="T691" s="334"/>
      <c r="U691" s="334"/>
      <c r="V691" s="334"/>
      <c r="W691" s="334"/>
      <c r="X691" s="334"/>
      <c r="Y691" s="334"/>
      <c r="Z691" s="334"/>
      <c r="AA691" s="334"/>
      <c r="AB691" s="334"/>
      <c r="AC691" s="334"/>
      <c r="AD691" s="334"/>
    </row>
    <row r="692" ht="16.5" customHeight="1">
      <c r="A692" s="334"/>
      <c r="B692" s="329"/>
      <c r="C692" s="329" t="s">
        <v>585</v>
      </c>
      <c r="D692" s="331" t="s">
        <v>585</v>
      </c>
      <c r="E692" s="331" t="s">
        <v>585</v>
      </c>
      <c r="F692" s="331" t="s">
        <v>585</v>
      </c>
      <c r="G692" s="331">
        <f>iferror(sumifs('Hợp tác'!G:G,'Hợp tác'!A:A,B692,'Hợp tác'!H:H,$G$2,'Hợp tác'!I:I,$I$2),"")</f>
        <v>0</v>
      </c>
      <c r="H692" s="332">
        <f>SUMIFS(View!J:J,View!B:B,B692)</f>
        <v>0</v>
      </c>
      <c r="I692" s="332">
        <f>sumifs('Hoa Hồng'!L:L,'Hoa Hồng'!A:A,B692)</f>
        <v>0</v>
      </c>
      <c r="J692" s="332">
        <v>0.0</v>
      </c>
      <c r="K692" s="333" t="s">
        <v>1211</v>
      </c>
      <c r="L692" s="334"/>
      <c r="M692" s="334"/>
      <c r="N692" s="334"/>
      <c r="O692" s="334"/>
      <c r="P692" s="334"/>
      <c r="Q692" s="334"/>
      <c r="R692" s="334"/>
      <c r="S692" s="334"/>
      <c r="T692" s="334"/>
      <c r="U692" s="334"/>
      <c r="V692" s="334"/>
      <c r="W692" s="334"/>
      <c r="X692" s="334"/>
      <c r="Y692" s="334"/>
      <c r="Z692" s="334"/>
      <c r="AA692" s="334"/>
      <c r="AB692" s="334"/>
      <c r="AC692" s="334"/>
      <c r="AD692" s="334"/>
    </row>
    <row r="693" ht="16.5" customHeight="1">
      <c r="A693" s="334"/>
      <c r="B693" s="329"/>
      <c r="C693" s="329" t="s">
        <v>585</v>
      </c>
      <c r="D693" s="331" t="s">
        <v>585</v>
      </c>
      <c r="E693" s="331" t="s">
        <v>585</v>
      </c>
      <c r="F693" s="331" t="s">
        <v>585</v>
      </c>
      <c r="G693" s="331">
        <f>iferror(sumifs('Hợp tác'!G:G,'Hợp tác'!A:A,B693,'Hợp tác'!H:H,$G$2,'Hợp tác'!I:I,$I$2),"")</f>
        <v>0</v>
      </c>
      <c r="H693" s="332">
        <f>SUMIFS(View!J:J,View!B:B,B693)</f>
        <v>0</v>
      </c>
      <c r="I693" s="332">
        <f>sumifs('Hoa Hồng'!L:L,'Hoa Hồng'!A:A,B693)</f>
        <v>0</v>
      </c>
      <c r="J693" s="332">
        <v>0.0</v>
      </c>
      <c r="K693" s="333" t="s">
        <v>1211</v>
      </c>
      <c r="L693" s="334"/>
      <c r="M693" s="334"/>
      <c r="N693" s="334"/>
      <c r="O693" s="334"/>
      <c r="P693" s="334"/>
      <c r="Q693" s="334"/>
      <c r="R693" s="334"/>
      <c r="S693" s="334"/>
      <c r="T693" s="334"/>
      <c r="U693" s="334"/>
      <c r="V693" s="334"/>
      <c r="W693" s="334"/>
      <c r="X693" s="334"/>
      <c r="Y693" s="334"/>
      <c r="Z693" s="334"/>
      <c r="AA693" s="334"/>
      <c r="AB693" s="334"/>
      <c r="AC693" s="334"/>
      <c r="AD693" s="334"/>
    </row>
    <row r="694" ht="16.5" customHeight="1">
      <c r="A694" s="334"/>
      <c r="B694" s="329"/>
      <c r="C694" s="329" t="s">
        <v>585</v>
      </c>
      <c r="D694" s="331" t="s">
        <v>585</v>
      </c>
      <c r="E694" s="331" t="s">
        <v>585</v>
      </c>
      <c r="F694" s="331" t="s">
        <v>585</v>
      </c>
      <c r="G694" s="331">
        <f>iferror(sumifs('Hợp tác'!G:G,'Hợp tác'!A:A,B694,'Hợp tác'!H:H,$G$2,'Hợp tác'!I:I,$I$2),"")</f>
        <v>0</v>
      </c>
      <c r="H694" s="332">
        <f>SUMIFS(View!J:J,View!B:B,B694)</f>
        <v>0</v>
      </c>
      <c r="I694" s="332">
        <f>sumifs('Hoa Hồng'!L:L,'Hoa Hồng'!A:A,B694)</f>
        <v>0</v>
      </c>
      <c r="J694" s="332">
        <v>0.0</v>
      </c>
      <c r="K694" s="333" t="s">
        <v>1211</v>
      </c>
      <c r="L694" s="334"/>
      <c r="M694" s="334"/>
      <c r="N694" s="334"/>
      <c r="O694" s="334"/>
      <c r="P694" s="334"/>
      <c r="Q694" s="334"/>
      <c r="R694" s="334"/>
      <c r="S694" s="334"/>
      <c r="T694" s="334"/>
      <c r="U694" s="334"/>
      <c r="V694" s="334"/>
      <c r="W694" s="334"/>
      <c r="X694" s="334"/>
      <c r="Y694" s="334"/>
      <c r="Z694" s="334"/>
      <c r="AA694" s="334"/>
      <c r="AB694" s="334"/>
      <c r="AC694" s="334"/>
      <c r="AD694" s="334"/>
    </row>
    <row r="695" ht="16.5" customHeight="1">
      <c r="A695" s="334"/>
      <c r="B695" s="329"/>
      <c r="C695" s="329" t="s">
        <v>585</v>
      </c>
      <c r="D695" s="331" t="s">
        <v>585</v>
      </c>
      <c r="E695" s="331" t="s">
        <v>585</v>
      </c>
      <c r="F695" s="331" t="s">
        <v>585</v>
      </c>
      <c r="G695" s="331">
        <f>iferror(sumifs('Hợp tác'!G:G,'Hợp tác'!A:A,B695,'Hợp tác'!H:H,$G$2,'Hợp tác'!I:I,$I$2),"")</f>
        <v>0</v>
      </c>
      <c r="H695" s="332">
        <f>SUMIFS(View!J:J,View!B:B,B695)</f>
        <v>0</v>
      </c>
      <c r="I695" s="332">
        <f>sumifs('Hoa Hồng'!L:L,'Hoa Hồng'!A:A,B695)</f>
        <v>0</v>
      </c>
      <c r="J695" s="332">
        <v>0.0</v>
      </c>
      <c r="K695" s="333" t="s">
        <v>1211</v>
      </c>
      <c r="L695" s="334"/>
      <c r="M695" s="334"/>
      <c r="N695" s="334"/>
      <c r="O695" s="334"/>
      <c r="P695" s="334"/>
      <c r="Q695" s="334"/>
      <c r="R695" s="334"/>
      <c r="S695" s="334"/>
      <c r="T695" s="334"/>
      <c r="U695" s="334"/>
      <c r="V695" s="334"/>
      <c r="W695" s="334"/>
      <c r="X695" s="334"/>
      <c r="Y695" s="334"/>
      <c r="Z695" s="334"/>
      <c r="AA695" s="334"/>
      <c r="AB695" s="334"/>
      <c r="AC695" s="334"/>
      <c r="AD695" s="334"/>
    </row>
    <row r="696" ht="16.5" customHeight="1">
      <c r="A696" s="334"/>
      <c r="B696" s="329"/>
      <c r="C696" s="329" t="s">
        <v>585</v>
      </c>
      <c r="D696" s="331" t="s">
        <v>585</v>
      </c>
      <c r="E696" s="331" t="s">
        <v>585</v>
      </c>
      <c r="F696" s="331" t="s">
        <v>585</v>
      </c>
      <c r="G696" s="331">
        <f>iferror(sumifs('Hợp tác'!G:G,'Hợp tác'!A:A,B696,'Hợp tác'!H:H,$G$2,'Hợp tác'!I:I,$I$2),"")</f>
        <v>0</v>
      </c>
      <c r="H696" s="332">
        <f>SUMIFS(View!J:J,View!B:B,B696)</f>
        <v>0</v>
      </c>
      <c r="I696" s="332">
        <f>sumifs('Hoa Hồng'!L:L,'Hoa Hồng'!A:A,B696)</f>
        <v>0</v>
      </c>
      <c r="J696" s="332">
        <v>0.0</v>
      </c>
      <c r="K696" s="333" t="s">
        <v>1211</v>
      </c>
      <c r="L696" s="334"/>
      <c r="M696" s="334"/>
      <c r="N696" s="334"/>
      <c r="O696" s="334"/>
      <c r="P696" s="334"/>
      <c r="Q696" s="334"/>
      <c r="R696" s="334"/>
      <c r="S696" s="334"/>
      <c r="T696" s="334"/>
      <c r="U696" s="334"/>
      <c r="V696" s="334"/>
      <c r="W696" s="334"/>
      <c r="X696" s="334"/>
      <c r="Y696" s="334"/>
      <c r="Z696" s="334"/>
      <c r="AA696" s="334"/>
      <c r="AB696" s="334"/>
      <c r="AC696" s="334"/>
      <c r="AD696" s="334"/>
    </row>
    <row r="697" ht="16.5" customHeight="1">
      <c r="A697" s="334"/>
      <c r="B697" s="329"/>
      <c r="C697" s="329" t="s">
        <v>585</v>
      </c>
      <c r="D697" s="331" t="s">
        <v>585</v>
      </c>
      <c r="E697" s="331" t="s">
        <v>585</v>
      </c>
      <c r="F697" s="331" t="s">
        <v>585</v>
      </c>
      <c r="G697" s="331">
        <f>iferror(sumifs('Hợp tác'!G:G,'Hợp tác'!A:A,B697,'Hợp tác'!H:H,$G$2,'Hợp tác'!I:I,$I$2),"")</f>
        <v>0</v>
      </c>
      <c r="H697" s="332">
        <f>SUMIFS(View!J:J,View!B:B,B697)</f>
        <v>0</v>
      </c>
      <c r="I697" s="332">
        <f>sumifs('Hoa Hồng'!L:L,'Hoa Hồng'!A:A,B697)</f>
        <v>0</v>
      </c>
      <c r="J697" s="332">
        <v>0.0</v>
      </c>
      <c r="K697" s="333" t="s">
        <v>1211</v>
      </c>
      <c r="L697" s="334"/>
      <c r="M697" s="334"/>
      <c r="N697" s="334"/>
      <c r="O697" s="334"/>
      <c r="P697" s="334"/>
      <c r="Q697" s="334"/>
      <c r="R697" s="334"/>
      <c r="S697" s="334"/>
      <c r="T697" s="334"/>
      <c r="U697" s="334"/>
      <c r="V697" s="334"/>
      <c r="W697" s="334"/>
      <c r="X697" s="334"/>
      <c r="Y697" s="334"/>
      <c r="Z697" s="334"/>
      <c r="AA697" s="334"/>
      <c r="AB697" s="334"/>
      <c r="AC697" s="334"/>
      <c r="AD697" s="334"/>
    </row>
    <row r="698" ht="16.5" customHeight="1">
      <c r="A698" s="334"/>
      <c r="B698" s="329"/>
      <c r="C698" s="329" t="s">
        <v>585</v>
      </c>
      <c r="D698" s="331" t="s">
        <v>585</v>
      </c>
      <c r="E698" s="331" t="s">
        <v>585</v>
      </c>
      <c r="F698" s="331" t="s">
        <v>585</v>
      </c>
      <c r="G698" s="331">
        <f>iferror(sumifs('Hợp tác'!G:G,'Hợp tác'!A:A,B698,'Hợp tác'!H:H,$G$2,'Hợp tác'!I:I,$I$2),"")</f>
        <v>0</v>
      </c>
      <c r="H698" s="332">
        <f>SUMIFS(View!J:J,View!B:B,B698)</f>
        <v>0</v>
      </c>
      <c r="I698" s="332">
        <f>sumifs('Hoa Hồng'!L:L,'Hoa Hồng'!A:A,B698)</f>
        <v>0</v>
      </c>
      <c r="J698" s="332">
        <v>0.0</v>
      </c>
      <c r="K698" s="333" t="s">
        <v>1211</v>
      </c>
      <c r="L698" s="334"/>
      <c r="M698" s="334"/>
      <c r="N698" s="334"/>
      <c r="O698" s="334"/>
      <c r="P698" s="334"/>
      <c r="Q698" s="334"/>
      <c r="R698" s="334"/>
      <c r="S698" s="334"/>
      <c r="T698" s="334"/>
      <c r="U698" s="334"/>
      <c r="V698" s="334"/>
      <c r="W698" s="334"/>
      <c r="X698" s="334"/>
      <c r="Y698" s="334"/>
      <c r="Z698" s="334"/>
      <c r="AA698" s="334"/>
      <c r="AB698" s="334"/>
      <c r="AC698" s="334"/>
      <c r="AD698" s="334"/>
    </row>
    <row r="699" ht="16.5" customHeight="1">
      <c r="A699" s="334"/>
      <c r="B699" s="329"/>
      <c r="C699" s="329" t="s">
        <v>585</v>
      </c>
      <c r="D699" s="331" t="s">
        <v>585</v>
      </c>
      <c r="E699" s="331" t="s">
        <v>585</v>
      </c>
      <c r="F699" s="331" t="s">
        <v>585</v>
      </c>
      <c r="G699" s="331">
        <f>iferror(sumifs('Hợp tác'!G:G,'Hợp tác'!A:A,B699,'Hợp tác'!H:H,$G$2,'Hợp tác'!I:I,$I$2),"")</f>
        <v>0</v>
      </c>
      <c r="H699" s="332">
        <f>SUMIFS(View!J:J,View!B:B,B699)</f>
        <v>0</v>
      </c>
      <c r="I699" s="332">
        <f>sumifs('Hoa Hồng'!L:L,'Hoa Hồng'!A:A,B699)</f>
        <v>0</v>
      </c>
      <c r="J699" s="332">
        <v>0.0</v>
      </c>
      <c r="K699" s="333" t="s">
        <v>1211</v>
      </c>
      <c r="L699" s="334"/>
      <c r="M699" s="334"/>
      <c r="N699" s="334"/>
      <c r="O699" s="334"/>
      <c r="P699" s="334"/>
      <c r="Q699" s="334"/>
      <c r="R699" s="334"/>
      <c r="S699" s="334"/>
      <c r="T699" s="334"/>
      <c r="U699" s="334"/>
      <c r="V699" s="334"/>
      <c r="W699" s="334"/>
      <c r="X699" s="334"/>
      <c r="Y699" s="334"/>
      <c r="Z699" s="334"/>
      <c r="AA699" s="334"/>
      <c r="AB699" s="334"/>
      <c r="AC699" s="334"/>
      <c r="AD699" s="334"/>
    </row>
    <row r="700" ht="16.5" customHeight="1">
      <c r="A700" s="334"/>
      <c r="B700" s="329"/>
      <c r="C700" s="329" t="s">
        <v>585</v>
      </c>
      <c r="D700" s="331" t="s">
        <v>585</v>
      </c>
      <c r="E700" s="331" t="s">
        <v>585</v>
      </c>
      <c r="F700" s="331" t="s">
        <v>585</v>
      </c>
      <c r="G700" s="331">
        <f>iferror(sumifs('Hợp tác'!G:G,'Hợp tác'!A:A,B700,'Hợp tác'!H:H,$G$2,'Hợp tác'!I:I,$I$2),"")</f>
        <v>0</v>
      </c>
      <c r="H700" s="332">
        <f>SUMIFS(View!J:J,View!B:B,B700)</f>
        <v>0</v>
      </c>
      <c r="I700" s="332">
        <f>sumifs('Hoa Hồng'!L:L,'Hoa Hồng'!A:A,B700)</f>
        <v>0</v>
      </c>
      <c r="J700" s="332">
        <v>0.0</v>
      </c>
      <c r="K700" s="333" t="s">
        <v>1211</v>
      </c>
      <c r="L700" s="334"/>
      <c r="M700" s="334"/>
      <c r="N700" s="334"/>
      <c r="O700" s="334"/>
      <c r="P700" s="334"/>
      <c r="Q700" s="334"/>
      <c r="R700" s="334"/>
      <c r="S700" s="334"/>
      <c r="T700" s="334"/>
      <c r="U700" s="334"/>
      <c r="V700" s="334"/>
      <c r="W700" s="334"/>
      <c r="X700" s="334"/>
      <c r="Y700" s="334"/>
      <c r="Z700" s="334"/>
      <c r="AA700" s="334"/>
      <c r="AB700" s="334"/>
      <c r="AC700" s="334"/>
      <c r="AD700" s="334"/>
    </row>
    <row r="701" ht="16.5" customHeight="1">
      <c r="A701" s="334"/>
      <c r="B701" s="329"/>
      <c r="C701" s="329" t="s">
        <v>585</v>
      </c>
      <c r="D701" s="331" t="s">
        <v>585</v>
      </c>
      <c r="E701" s="331" t="s">
        <v>585</v>
      </c>
      <c r="F701" s="331" t="s">
        <v>585</v>
      </c>
      <c r="G701" s="331">
        <f>iferror(sumifs('Hợp tác'!G:G,'Hợp tác'!A:A,B701,'Hợp tác'!H:H,$G$2,'Hợp tác'!I:I,$I$2),"")</f>
        <v>0</v>
      </c>
      <c r="H701" s="332">
        <f>SUMIFS(View!J:J,View!B:B,B701)</f>
        <v>0</v>
      </c>
      <c r="I701" s="332">
        <f>sumifs('Hoa Hồng'!L:L,'Hoa Hồng'!A:A,B701)</f>
        <v>0</v>
      </c>
      <c r="J701" s="332">
        <v>0.0</v>
      </c>
      <c r="K701" s="333" t="s">
        <v>1211</v>
      </c>
      <c r="L701" s="334"/>
      <c r="M701" s="334"/>
      <c r="N701" s="334"/>
      <c r="O701" s="334"/>
      <c r="P701" s="334"/>
      <c r="Q701" s="334"/>
      <c r="R701" s="334"/>
      <c r="S701" s="334"/>
      <c r="T701" s="334"/>
      <c r="U701" s="334"/>
      <c r="V701" s="334"/>
      <c r="W701" s="334"/>
      <c r="X701" s="334"/>
      <c r="Y701" s="334"/>
      <c r="Z701" s="334"/>
      <c r="AA701" s="334"/>
      <c r="AB701" s="334"/>
      <c r="AC701" s="334"/>
      <c r="AD701" s="334"/>
    </row>
    <row r="702" ht="16.5" customHeight="1">
      <c r="A702" s="334"/>
      <c r="B702" s="329"/>
      <c r="C702" s="329" t="s">
        <v>585</v>
      </c>
      <c r="D702" s="331" t="s">
        <v>585</v>
      </c>
      <c r="E702" s="331" t="s">
        <v>585</v>
      </c>
      <c r="F702" s="331" t="s">
        <v>585</v>
      </c>
      <c r="G702" s="331">
        <f>iferror(sumifs('Hợp tác'!G:G,'Hợp tác'!A:A,B702,'Hợp tác'!H:H,$G$2,'Hợp tác'!I:I,$I$2),"")</f>
        <v>0</v>
      </c>
      <c r="H702" s="332">
        <f>SUMIFS(View!J:J,View!B:B,B702)</f>
        <v>0</v>
      </c>
      <c r="I702" s="332">
        <f>sumifs('Hoa Hồng'!L:L,'Hoa Hồng'!A:A,B702)</f>
        <v>0</v>
      </c>
      <c r="J702" s="332">
        <v>0.0</v>
      </c>
      <c r="K702" s="333" t="s">
        <v>1211</v>
      </c>
      <c r="L702" s="334"/>
      <c r="M702" s="334"/>
      <c r="N702" s="334"/>
      <c r="O702" s="334"/>
      <c r="P702" s="334"/>
      <c r="Q702" s="334"/>
      <c r="R702" s="334"/>
      <c r="S702" s="334"/>
      <c r="T702" s="334"/>
      <c r="U702" s="334"/>
      <c r="V702" s="334"/>
      <c r="W702" s="334"/>
      <c r="X702" s="334"/>
      <c r="Y702" s="334"/>
      <c r="Z702" s="334"/>
      <c r="AA702" s="334"/>
      <c r="AB702" s="334"/>
      <c r="AC702" s="334"/>
      <c r="AD702" s="334"/>
    </row>
    <row r="703" ht="16.5" customHeight="1">
      <c r="A703" s="334"/>
      <c r="B703" s="329"/>
      <c r="C703" s="329" t="s">
        <v>585</v>
      </c>
      <c r="D703" s="331" t="s">
        <v>585</v>
      </c>
      <c r="E703" s="331" t="s">
        <v>585</v>
      </c>
      <c r="F703" s="331" t="s">
        <v>585</v>
      </c>
      <c r="G703" s="331">
        <f>iferror(sumifs('Hợp tác'!G:G,'Hợp tác'!A:A,B703,'Hợp tác'!H:H,$G$2,'Hợp tác'!I:I,$I$2),"")</f>
        <v>0</v>
      </c>
      <c r="H703" s="332">
        <f>SUMIFS(View!J:J,View!B:B,B703)</f>
        <v>0</v>
      </c>
      <c r="I703" s="332">
        <f>sumifs('Hoa Hồng'!L:L,'Hoa Hồng'!A:A,B703)</f>
        <v>0</v>
      </c>
      <c r="J703" s="332">
        <v>0.0</v>
      </c>
      <c r="K703" s="333" t="s">
        <v>1211</v>
      </c>
      <c r="L703" s="334"/>
      <c r="M703" s="334"/>
      <c r="N703" s="334"/>
      <c r="O703" s="334"/>
      <c r="P703" s="334"/>
      <c r="Q703" s="334"/>
      <c r="R703" s="334"/>
      <c r="S703" s="334"/>
      <c r="T703" s="334"/>
      <c r="U703" s="334"/>
      <c r="V703" s="334"/>
      <c r="W703" s="334"/>
      <c r="X703" s="334"/>
      <c r="Y703" s="334"/>
      <c r="Z703" s="334"/>
      <c r="AA703" s="334"/>
      <c r="AB703" s="334"/>
      <c r="AC703" s="334"/>
      <c r="AD703" s="334"/>
    </row>
    <row r="704" ht="16.5" customHeight="1">
      <c r="A704" s="334"/>
      <c r="B704" s="329"/>
      <c r="C704" s="329" t="s">
        <v>585</v>
      </c>
      <c r="D704" s="331" t="s">
        <v>585</v>
      </c>
      <c r="E704" s="331" t="s">
        <v>585</v>
      </c>
      <c r="F704" s="331" t="s">
        <v>585</v>
      </c>
      <c r="G704" s="331">
        <f>iferror(sumifs('Hợp tác'!G:G,'Hợp tác'!A:A,B704,'Hợp tác'!H:H,$G$2,'Hợp tác'!I:I,$I$2),"")</f>
        <v>0</v>
      </c>
      <c r="H704" s="332">
        <f>SUMIFS(View!J:J,View!B:B,B704)</f>
        <v>0</v>
      </c>
      <c r="I704" s="332">
        <f>sumifs('Hoa Hồng'!L:L,'Hoa Hồng'!A:A,B704)</f>
        <v>0</v>
      </c>
      <c r="J704" s="332">
        <v>0.0</v>
      </c>
      <c r="K704" s="333" t="s">
        <v>1211</v>
      </c>
      <c r="L704" s="334"/>
      <c r="M704" s="334"/>
      <c r="N704" s="334"/>
      <c r="O704" s="334"/>
      <c r="P704" s="334"/>
      <c r="Q704" s="334"/>
      <c r="R704" s="334"/>
      <c r="S704" s="334"/>
      <c r="T704" s="334"/>
      <c r="U704" s="334"/>
      <c r="V704" s="334"/>
      <c r="W704" s="334"/>
      <c r="X704" s="334"/>
      <c r="Y704" s="334"/>
      <c r="Z704" s="334"/>
      <c r="AA704" s="334"/>
      <c r="AB704" s="334"/>
      <c r="AC704" s="334"/>
      <c r="AD704" s="334"/>
    </row>
    <row r="705" ht="16.5" customHeight="1">
      <c r="A705" s="334"/>
      <c r="B705" s="329"/>
      <c r="C705" s="329" t="s">
        <v>585</v>
      </c>
      <c r="D705" s="331" t="s">
        <v>585</v>
      </c>
      <c r="E705" s="331" t="s">
        <v>585</v>
      </c>
      <c r="F705" s="331" t="s">
        <v>585</v>
      </c>
      <c r="G705" s="331">
        <f>iferror(sumifs('Hợp tác'!G:G,'Hợp tác'!A:A,B705,'Hợp tác'!H:H,$G$2,'Hợp tác'!I:I,$I$2),"")</f>
        <v>0</v>
      </c>
      <c r="H705" s="332">
        <f>SUMIFS(View!J:J,View!B:B,B705)</f>
        <v>0</v>
      </c>
      <c r="I705" s="332">
        <f>sumifs('Hoa Hồng'!L:L,'Hoa Hồng'!A:A,B705)</f>
        <v>0</v>
      </c>
      <c r="J705" s="332">
        <v>0.0</v>
      </c>
      <c r="K705" s="333" t="s">
        <v>1211</v>
      </c>
      <c r="L705" s="334"/>
      <c r="M705" s="334"/>
      <c r="N705" s="334"/>
      <c r="O705" s="334"/>
      <c r="P705" s="334"/>
      <c r="Q705" s="334"/>
      <c r="R705" s="334"/>
      <c r="S705" s="334"/>
      <c r="T705" s="334"/>
      <c r="U705" s="334"/>
      <c r="V705" s="334"/>
      <c r="W705" s="334"/>
      <c r="X705" s="334"/>
      <c r="Y705" s="334"/>
      <c r="Z705" s="334"/>
      <c r="AA705" s="334"/>
      <c r="AB705" s="334"/>
      <c r="AC705" s="334"/>
      <c r="AD705" s="334"/>
    </row>
    <row r="706" ht="16.5" customHeight="1">
      <c r="A706" s="334"/>
      <c r="B706" s="329"/>
      <c r="C706" s="329" t="s">
        <v>585</v>
      </c>
      <c r="D706" s="331" t="s">
        <v>585</v>
      </c>
      <c r="E706" s="331" t="s">
        <v>585</v>
      </c>
      <c r="F706" s="331" t="s">
        <v>585</v>
      </c>
      <c r="G706" s="331">
        <f>iferror(sumifs('Hợp tác'!G:G,'Hợp tác'!A:A,B706,'Hợp tác'!H:H,$G$2,'Hợp tác'!I:I,$I$2),"")</f>
        <v>0</v>
      </c>
      <c r="H706" s="332">
        <f>SUMIFS(View!J:J,View!B:B,B706)</f>
        <v>0</v>
      </c>
      <c r="I706" s="332">
        <f>sumifs('Hoa Hồng'!L:L,'Hoa Hồng'!A:A,B706)</f>
        <v>0</v>
      </c>
      <c r="J706" s="332">
        <v>0.0</v>
      </c>
      <c r="K706" s="333" t="s">
        <v>1211</v>
      </c>
      <c r="L706" s="334"/>
      <c r="M706" s="334"/>
      <c r="N706" s="334"/>
      <c r="O706" s="334"/>
      <c r="P706" s="334"/>
      <c r="Q706" s="334"/>
      <c r="R706" s="334"/>
      <c r="S706" s="334"/>
      <c r="T706" s="334"/>
      <c r="U706" s="334"/>
      <c r="V706" s="334"/>
      <c r="W706" s="334"/>
      <c r="X706" s="334"/>
      <c r="Y706" s="334"/>
      <c r="Z706" s="334"/>
      <c r="AA706" s="334"/>
      <c r="AB706" s="334"/>
      <c r="AC706" s="334"/>
      <c r="AD706" s="334"/>
    </row>
    <row r="707" ht="16.5" customHeight="1">
      <c r="A707" s="334"/>
      <c r="B707" s="329"/>
      <c r="C707" s="329" t="s">
        <v>585</v>
      </c>
      <c r="D707" s="331" t="s">
        <v>585</v>
      </c>
      <c r="E707" s="331" t="s">
        <v>585</v>
      </c>
      <c r="F707" s="331" t="s">
        <v>585</v>
      </c>
      <c r="G707" s="331">
        <f>iferror(sumifs('Hợp tác'!G:G,'Hợp tác'!A:A,B707,'Hợp tác'!H:H,$G$2,'Hợp tác'!I:I,$I$2),"")</f>
        <v>0</v>
      </c>
      <c r="H707" s="332">
        <f>SUMIFS(View!J:J,View!B:B,B707)</f>
        <v>0</v>
      </c>
      <c r="I707" s="332">
        <f>sumifs('Hoa Hồng'!L:L,'Hoa Hồng'!A:A,B707)</f>
        <v>0</v>
      </c>
      <c r="J707" s="332">
        <v>0.0</v>
      </c>
      <c r="K707" s="333" t="s">
        <v>1211</v>
      </c>
      <c r="L707" s="334"/>
      <c r="M707" s="334"/>
      <c r="N707" s="334"/>
      <c r="O707" s="334"/>
      <c r="P707" s="334"/>
      <c r="Q707" s="334"/>
      <c r="R707" s="334"/>
      <c r="S707" s="334"/>
      <c r="T707" s="334"/>
      <c r="U707" s="334"/>
      <c r="V707" s="334"/>
      <c r="W707" s="334"/>
      <c r="X707" s="334"/>
      <c r="Y707" s="334"/>
      <c r="Z707" s="334"/>
      <c r="AA707" s="334"/>
      <c r="AB707" s="334"/>
      <c r="AC707" s="334"/>
      <c r="AD707" s="334"/>
    </row>
    <row r="708" ht="16.5" customHeight="1">
      <c r="A708" s="334"/>
      <c r="B708" s="329"/>
      <c r="C708" s="329" t="s">
        <v>585</v>
      </c>
      <c r="D708" s="331" t="s">
        <v>585</v>
      </c>
      <c r="E708" s="331" t="s">
        <v>585</v>
      </c>
      <c r="F708" s="331" t="s">
        <v>585</v>
      </c>
      <c r="G708" s="331">
        <f>iferror(sumifs('Hợp tác'!G:G,'Hợp tác'!A:A,B708,'Hợp tác'!H:H,$G$2,'Hợp tác'!I:I,$I$2),"")</f>
        <v>0</v>
      </c>
      <c r="H708" s="332">
        <f>SUMIFS(View!J:J,View!B:B,B708)</f>
        <v>0</v>
      </c>
      <c r="I708" s="332">
        <f>sumifs('Hoa Hồng'!L:L,'Hoa Hồng'!A:A,B708)</f>
        <v>0</v>
      </c>
      <c r="J708" s="332">
        <v>0.0</v>
      </c>
      <c r="K708" s="333" t="s">
        <v>1211</v>
      </c>
      <c r="L708" s="334"/>
      <c r="M708" s="334"/>
      <c r="N708" s="334"/>
      <c r="O708" s="334"/>
      <c r="P708" s="334"/>
      <c r="Q708" s="334"/>
      <c r="R708" s="334"/>
      <c r="S708" s="334"/>
      <c r="T708" s="334"/>
      <c r="U708" s="334"/>
      <c r="V708" s="334"/>
      <c r="W708" s="334"/>
      <c r="X708" s="334"/>
      <c r="Y708" s="334"/>
      <c r="Z708" s="334"/>
      <c r="AA708" s="334"/>
      <c r="AB708" s="334"/>
      <c r="AC708" s="334"/>
      <c r="AD708" s="334"/>
    </row>
    <row r="709" ht="16.5" customHeight="1">
      <c r="A709" s="334"/>
      <c r="B709" s="329"/>
      <c r="C709" s="329" t="s">
        <v>585</v>
      </c>
      <c r="D709" s="331" t="s">
        <v>585</v>
      </c>
      <c r="E709" s="331" t="s">
        <v>585</v>
      </c>
      <c r="F709" s="331" t="s">
        <v>585</v>
      </c>
      <c r="G709" s="331">
        <f>iferror(sumifs('Hợp tác'!G:G,'Hợp tác'!A:A,B709,'Hợp tác'!H:H,$G$2,'Hợp tác'!I:I,$I$2),"")</f>
        <v>0</v>
      </c>
      <c r="H709" s="332">
        <f>SUMIFS(View!J:J,View!B:B,B709)</f>
        <v>0</v>
      </c>
      <c r="I709" s="332">
        <f>sumifs('Hoa Hồng'!L:L,'Hoa Hồng'!A:A,B709)</f>
        <v>0</v>
      </c>
      <c r="J709" s="332">
        <v>0.0</v>
      </c>
      <c r="K709" s="333" t="s">
        <v>1211</v>
      </c>
      <c r="L709" s="334"/>
      <c r="M709" s="334"/>
      <c r="N709" s="334"/>
      <c r="O709" s="334"/>
      <c r="P709" s="334"/>
      <c r="Q709" s="334"/>
      <c r="R709" s="334"/>
      <c r="S709" s="334"/>
      <c r="T709" s="334"/>
      <c r="U709" s="334"/>
      <c r="V709" s="334"/>
      <c r="W709" s="334"/>
      <c r="X709" s="334"/>
      <c r="Y709" s="334"/>
      <c r="Z709" s="334"/>
      <c r="AA709" s="334"/>
      <c r="AB709" s="334"/>
      <c r="AC709" s="334"/>
      <c r="AD709" s="334"/>
    </row>
    <row r="710" ht="16.5" customHeight="1">
      <c r="A710" s="334"/>
      <c r="B710" s="329"/>
      <c r="C710" s="329" t="s">
        <v>585</v>
      </c>
      <c r="D710" s="331" t="s">
        <v>585</v>
      </c>
      <c r="E710" s="331" t="s">
        <v>585</v>
      </c>
      <c r="F710" s="331" t="s">
        <v>585</v>
      </c>
      <c r="G710" s="331">
        <f>iferror(sumifs('Hợp tác'!G:G,'Hợp tác'!A:A,B710,'Hợp tác'!H:H,$G$2,'Hợp tác'!I:I,$I$2),"")</f>
        <v>0</v>
      </c>
      <c r="H710" s="332">
        <f>SUMIFS(View!J:J,View!B:B,B710)</f>
        <v>0</v>
      </c>
      <c r="I710" s="332">
        <f>sumifs('Hoa Hồng'!L:L,'Hoa Hồng'!A:A,B710)</f>
        <v>0</v>
      </c>
      <c r="J710" s="332">
        <v>0.0</v>
      </c>
      <c r="K710" s="333" t="s">
        <v>1211</v>
      </c>
      <c r="L710" s="334"/>
      <c r="M710" s="334"/>
      <c r="N710" s="334"/>
      <c r="O710" s="334"/>
      <c r="P710" s="334"/>
      <c r="Q710" s="334"/>
      <c r="R710" s="334"/>
      <c r="S710" s="334"/>
      <c r="T710" s="334"/>
      <c r="U710" s="334"/>
      <c r="V710" s="334"/>
      <c r="W710" s="334"/>
      <c r="X710" s="334"/>
      <c r="Y710" s="334"/>
      <c r="Z710" s="334"/>
      <c r="AA710" s="334"/>
      <c r="AB710" s="334"/>
      <c r="AC710" s="334"/>
      <c r="AD710" s="334"/>
    </row>
    <row r="711" ht="16.5" customHeight="1">
      <c r="A711" s="334"/>
      <c r="B711" s="329"/>
      <c r="C711" s="329" t="s">
        <v>585</v>
      </c>
      <c r="D711" s="331" t="s">
        <v>585</v>
      </c>
      <c r="E711" s="331" t="s">
        <v>585</v>
      </c>
      <c r="F711" s="331" t="s">
        <v>585</v>
      </c>
      <c r="G711" s="331">
        <f>iferror(sumifs('Hợp tác'!G:G,'Hợp tác'!A:A,B711,'Hợp tác'!H:H,$G$2,'Hợp tác'!I:I,$I$2),"")</f>
        <v>0</v>
      </c>
      <c r="H711" s="332">
        <f>SUMIFS(View!J:J,View!B:B,B711)</f>
        <v>0</v>
      </c>
      <c r="I711" s="332">
        <f>sumifs('Hoa Hồng'!L:L,'Hoa Hồng'!A:A,B711)</f>
        <v>0</v>
      </c>
      <c r="J711" s="332">
        <v>0.0</v>
      </c>
      <c r="K711" s="333" t="s">
        <v>1211</v>
      </c>
      <c r="L711" s="334"/>
      <c r="M711" s="334"/>
      <c r="N711" s="334"/>
      <c r="O711" s="334"/>
      <c r="P711" s="334"/>
      <c r="Q711" s="334"/>
      <c r="R711" s="334"/>
      <c r="S711" s="334"/>
      <c r="T711" s="334"/>
      <c r="U711" s="334"/>
      <c r="V711" s="334"/>
      <c r="W711" s="334"/>
      <c r="X711" s="334"/>
      <c r="Y711" s="334"/>
      <c r="Z711" s="334"/>
      <c r="AA711" s="334"/>
      <c r="AB711" s="334"/>
      <c r="AC711" s="334"/>
      <c r="AD711" s="334"/>
    </row>
    <row r="712" ht="16.5" customHeight="1">
      <c r="A712" s="334"/>
      <c r="B712" s="329"/>
      <c r="C712" s="329" t="s">
        <v>585</v>
      </c>
      <c r="D712" s="331" t="s">
        <v>585</v>
      </c>
      <c r="E712" s="331" t="s">
        <v>585</v>
      </c>
      <c r="F712" s="331" t="s">
        <v>585</v>
      </c>
      <c r="G712" s="331">
        <f>iferror(sumifs('Hợp tác'!G:G,'Hợp tác'!A:A,B712,'Hợp tác'!H:H,$G$2,'Hợp tác'!I:I,$I$2),"")</f>
        <v>0</v>
      </c>
      <c r="H712" s="332">
        <f>SUMIF(View!J:J,View!B:B,B712)</f>
        <v>0</v>
      </c>
      <c r="I712" s="332">
        <f>sumifs('Hoa Hồng'!L:L,'Hoa Hồng'!A:A,B712)</f>
        <v>0</v>
      </c>
      <c r="J712" s="332">
        <v>0.0</v>
      </c>
      <c r="K712" s="333" t="s">
        <v>1211</v>
      </c>
      <c r="L712" s="334"/>
      <c r="M712" s="334"/>
      <c r="N712" s="334"/>
      <c r="O712" s="334"/>
      <c r="P712" s="334"/>
      <c r="Q712" s="334"/>
      <c r="R712" s="334"/>
      <c r="S712" s="334"/>
      <c r="T712" s="334"/>
      <c r="U712" s="334"/>
      <c r="V712" s="334"/>
      <c r="W712" s="334"/>
      <c r="X712" s="334"/>
      <c r="Y712" s="334"/>
      <c r="Z712" s="334"/>
      <c r="AA712" s="334"/>
      <c r="AB712" s="334"/>
      <c r="AC712" s="334"/>
      <c r="AD712" s="334"/>
    </row>
    <row r="713" ht="16.5" customHeight="1">
      <c r="A713" s="334"/>
      <c r="B713" s="329"/>
      <c r="C713" s="329" t="s">
        <v>585</v>
      </c>
      <c r="D713" s="331" t="s">
        <v>585</v>
      </c>
      <c r="E713" s="331" t="s">
        <v>585</v>
      </c>
      <c r="F713" s="331" t="s">
        <v>585</v>
      </c>
      <c r="G713" s="331">
        <f>iferror(sumifs('Hợp tác'!G:G,'Hợp tác'!A:A,B713,'Hợp tác'!H:H,$G$2,'Hợp tác'!I:I,$I$2),"")</f>
        <v>0</v>
      </c>
      <c r="H713" s="332">
        <f>SUMIF(View!J:J,View!B:B,B713)</f>
        <v>0</v>
      </c>
      <c r="I713" s="332">
        <f>sumifs('Hoa Hồng'!L:L,'Hoa Hồng'!A:A,B713)</f>
        <v>0</v>
      </c>
      <c r="J713" s="332">
        <v>0.0</v>
      </c>
      <c r="K713" s="333" t="s">
        <v>1211</v>
      </c>
      <c r="L713" s="334"/>
      <c r="M713" s="334"/>
      <c r="N713" s="334"/>
      <c r="O713" s="334"/>
      <c r="P713" s="334"/>
      <c r="Q713" s="334"/>
      <c r="R713" s="334"/>
      <c r="S713" s="334"/>
      <c r="T713" s="334"/>
      <c r="U713" s="334"/>
      <c r="V713" s="334"/>
      <c r="W713" s="334"/>
      <c r="X713" s="334"/>
      <c r="Y713" s="334"/>
      <c r="Z713" s="334"/>
      <c r="AA713" s="334"/>
      <c r="AB713" s="334"/>
      <c r="AC713" s="334"/>
      <c r="AD713" s="334"/>
    </row>
    <row r="714" ht="16.5" customHeight="1">
      <c r="A714" s="334"/>
      <c r="B714" s="329"/>
      <c r="C714" s="329" t="s">
        <v>585</v>
      </c>
      <c r="D714" s="331" t="s">
        <v>585</v>
      </c>
      <c r="E714" s="331" t="s">
        <v>585</v>
      </c>
      <c r="F714" s="331" t="s">
        <v>585</v>
      </c>
      <c r="G714" s="331">
        <f>iferror(sumifs('Hợp tác'!G:G,'Hợp tác'!A:A,B714,'Hợp tác'!H:H,$G$2,'Hợp tác'!I:I,$I$2),"")</f>
        <v>0</v>
      </c>
      <c r="H714" s="332">
        <f>SUMIF(View!J:J,View!B:B,B714)</f>
        <v>0</v>
      </c>
      <c r="I714" s="332">
        <f>sumifs('Hoa Hồng'!L:L,'Hoa Hồng'!A:A,B714)</f>
        <v>0</v>
      </c>
      <c r="J714" s="332">
        <v>0.0</v>
      </c>
      <c r="K714" s="333" t="s">
        <v>1211</v>
      </c>
      <c r="L714" s="334"/>
      <c r="M714" s="334"/>
      <c r="N714" s="334"/>
      <c r="O714" s="334"/>
      <c r="P714" s="334"/>
      <c r="Q714" s="334"/>
      <c r="R714" s="334"/>
      <c r="S714" s="334"/>
      <c r="T714" s="334"/>
      <c r="U714" s="334"/>
      <c r="V714" s="334"/>
      <c r="W714" s="334"/>
      <c r="X714" s="334"/>
      <c r="Y714" s="334"/>
      <c r="Z714" s="334"/>
      <c r="AA714" s="334"/>
      <c r="AB714" s="334"/>
      <c r="AC714" s="334"/>
      <c r="AD714" s="334"/>
    </row>
    <row r="715" ht="16.5" customHeight="1">
      <c r="A715" s="334"/>
      <c r="B715" s="329"/>
      <c r="C715" s="329" t="s">
        <v>585</v>
      </c>
      <c r="D715" s="331" t="s">
        <v>585</v>
      </c>
      <c r="E715" s="331" t="s">
        <v>585</v>
      </c>
      <c r="F715" s="331" t="s">
        <v>585</v>
      </c>
      <c r="G715" s="331">
        <f>iferror(sumifs('Hợp tác'!G:G,'Hợp tác'!A:A,B715,'Hợp tác'!H:H,$G$2,'Hợp tác'!I:I,$I$2),"")</f>
        <v>0</v>
      </c>
      <c r="H715" s="332">
        <f>SUMIF(View!J:J,View!B:B,B715)</f>
        <v>0</v>
      </c>
      <c r="I715" s="332">
        <f>sumifs('Hoa Hồng'!L:L,'Hoa Hồng'!A:A,B715)</f>
        <v>0</v>
      </c>
      <c r="J715" s="332">
        <v>0.0</v>
      </c>
      <c r="K715" s="333" t="s">
        <v>1211</v>
      </c>
      <c r="L715" s="334"/>
      <c r="M715" s="334"/>
      <c r="N715" s="334"/>
      <c r="O715" s="334"/>
      <c r="P715" s="334"/>
      <c r="Q715" s="334"/>
      <c r="R715" s="334"/>
      <c r="S715" s="334"/>
      <c r="T715" s="334"/>
      <c r="U715" s="334"/>
      <c r="V715" s="334"/>
      <c r="W715" s="334"/>
      <c r="X715" s="334"/>
      <c r="Y715" s="334"/>
      <c r="Z715" s="334"/>
      <c r="AA715" s="334"/>
      <c r="AB715" s="334"/>
      <c r="AC715" s="334"/>
      <c r="AD715" s="334"/>
    </row>
    <row r="716" ht="16.5" customHeight="1">
      <c r="A716" s="334"/>
      <c r="B716" s="329"/>
      <c r="C716" s="329" t="s">
        <v>585</v>
      </c>
      <c r="D716" s="331" t="s">
        <v>585</v>
      </c>
      <c r="E716" s="331" t="s">
        <v>585</v>
      </c>
      <c r="F716" s="331" t="s">
        <v>585</v>
      </c>
      <c r="G716" s="331">
        <f>iferror(sumifs('Hợp tác'!G:G,'Hợp tác'!A:A,B716,'Hợp tác'!H:H,$G$2,'Hợp tác'!I:I,$I$2),"")</f>
        <v>0</v>
      </c>
      <c r="H716" s="332">
        <f>SUMIF(View!J:J,View!B:B,B716)</f>
        <v>0</v>
      </c>
      <c r="I716" s="332">
        <f>sumifs('Hoa Hồng'!L:L,'Hoa Hồng'!A:A,B716)</f>
        <v>0</v>
      </c>
      <c r="J716" s="332">
        <v>0.0</v>
      </c>
      <c r="K716" s="333" t="s">
        <v>1211</v>
      </c>
      <c r="L716" s="334"/>
      <c r="M716" s="334"/>
      <c r="N716" s="334"/>
      <c r="O716" s="334"/>
      <c r="P716" s="334"/>
      <c r="Q716" s="334"/>
      <c r="R716" s="334"/>
      <c r="S716" s="334"/>
      <c r="T716" s="334"/>
      <c r="U716" s="334"/>
      <c r="V716" s="334"/>
      <c r="W716" s="334"/>
      <c r="X716" s="334"/>
      <c r="Y716" s="334"/>
      <c r="Z716" s="334"/>
      <c r="AA716" s="334"/>
      <c r="AB716" s="334"/>
      <c r="AC716" s="334"/>
      <c r="AD716" s="334"/>
    </row>
    <row r="717" ht="16.5" customHeight="1">
      <c r="A717" s="334"/>
      <c r="B717" s="329"/>
      <c r="C717" s="329" t="s">
        <v>585</v>
      </c>
      <c r="D717" s="331" t="s">
        <v>585</v>
      </c>
      <c r="E717" s="331" t="s">
        <v>585</v>
      </c>
      <c r="F717" s="331" t="s">
        <v>585</v>
      </c>
      <c r="G717" s="331">
        <f>iferror(sumifs('Hợp tác'!G:G,'Hợp tác'!A:A,B717,'Hợp tác'!H:H,$G$2,'Hợp tác'!I:I,$I$2),"")</f>
        <v>0</v>
      </c>
      <c r="H717" s="332">
        <f>SUMIF(View!J:J,View!B:B,B717)</f>
        <v>0</v>
      </c>
      <c r="I717" s="332">
        <f>sumifs('Hoa Hồng'!L:L,'Hoa Hồng'!A:A,B717)</f>
        <v>0</v>
      </c>
      <c r="J717" s="332">
        <v>0.0</v>
      </c>
      <c r="K717" s="333" t="s">
        <v>1211</v>
      </c>
      <c r="L717" s="334"/>
      <c r="M717" s="334"/>
      <c r="N717" s="334"/>
      <c r="O717" s="334"/>
      <c r="P717" s="334"/>
      <c r="Q717" s="334"/>
      <c r="R717" s="334"/>
      <c r="S717" s="334"/>
      <c r="T717" s="334"/>
      <c r="U717" s="334"/>
      <c r="V717" s="334"/>
      <c r="W717" s="334"/>
      <c r="X717" s="334"/>
      <c r="Y717" s="334"/>
      <c r="Z717" s="334"/>
      <c r="AA717" s="334"/>
      <c r="AB717" s="334"/>
      <c r="AC717" s="334"/>
      <c r="AD717" s="334"/>
    </row>
    <row r="718" ht="16.5" customHeight="1">
      <c r="A718" s="334"/>
      <c r="B718" s="329"/>
      <c r="C718" s="329" t="s">
        <v>585</v>
      </c>
      <c r="D718" s="331" t="s">
        <v>585</v>
      </c>
      <c r="E718" s="331" t="s">
        <v>585</v>
      </c>
      <c r="F718" s="331" t="s">
        <v>585</v>
      </c>
      <c r="G718" s="331">
        <f>iferror(sumifs('Hợp tác'!G:G,'Hợp tác'!A:A,B718,'Hợp tác'!H:H,$G$2,'Hợp tác'!I:I,$I$2),"")</f>
        <v>0</v>
      </c>
      <c r="H718" s="332">
        <f>SUMIF(View!J:J,View!B:B,B718)</f>
        <v>0</v>
      </c>
      <c r="I718" s="332">
        <f>sumifs('Hoa Hồng'!L:L,'Hoa Hồng'!A:A,B718)</f>
        <v>0</v>
      </c>
      <c r="J718" s="332">
        <v>0.0</v>
      </c>
      <c r="K718" s="333" t="s">
        <v>1211</v>
      </c>
      <c r="L718" s="334"/>
      <c r="M718" s="334"/>
      <c r="N718" s="334"/>
      <c r="O718" s="334"/>
      <c r="P718" s="334"/>
      <c r="Q718" s="334"/>
      <c r="R718" s="334"/>
      <c r="S718" s="334"/>
      <c r="T718" s="334"/>
      <c r="U718" s="334"/>
      <c r="V718" s="334"/>
      <c r="W718" s="334"/>
      <c r="X718" s="334"/>
      <c r="Y718" s="334"/>
      <c r="Z718" s="334"/>
      <c r="AA718" s="334"/>
      <c r="AB718" s="334"/>
      <c r="AC718" s="334"/>
      <c r="AD718" s="334"/>
    </row>
    <row r="719" ht="16.5" customHeight="1">
      <c r="A719" s="334"/>
      <c r="B719" s="329"/>
      <c r="C719" s="329" t="s">
        <v>585</v>
      </c>
      <c r="D719" s="331" t="s">
        <v>585</v>
      </c>
      <c r="E719" s="331" t="s">
        <v>585</v>
      </c>
      <c r="F719" s="331" t="s">
        <v>585</v>
      </c>
      <c r="G719" s="331">
        <f>iferror(sumifs('Hợp tác'!G:G,'Hợp tác'!A:A,B719,'Hợp tác'!H:H,$G$2,'Hợp tác'!I:I,$I$2),"")</f>
        <v>0</v>
      </c>
      <c r="H719" s="332">
        <f>SUMIF(View!J:J,View!B:B,B719)</f>
        <v>0</v>
      </c>
      <c r="I719" s="332">
        <f>sumifs('Hoa Hồng'!L:L,'Hoa Hồng'!A:A,B719)</f>
        <v>0</v>
      </c>
      <c r="J719" s="332">
        <v>0.0</v>
      </c>
      <c r="K719" s="333" t="s">
        <v>1211</v>
      </c>
      <c r="L719" s="334"/>
      <c r="M719" s="334"/>
      <c r="N719" s="334"/>
      <c r="O719" s="334"/>
      <c r="P719" s="334"/>
      <c r="Q719" s="334"/>
      <c r="R719" s="334"/>
      <c r="S719" s="334"/>
      <c r="T719" s="334"/>
      <c r="U719" s="334"/>
      <c r="V719" s="334"/>
      <c r="W719" s="334"/>
      <c r="X719" s="334"/>
      <c r="Y719" s="334"/>
      <c r="Z719" s="334"/>
      <c r="AA719" s="334"/>
      <c r="AB719" s="334"/>
      <c r="AC719" s="334"/>
      <c r="AD719" s="334"/>
    </row>
    <row r="720" ht="16.5" customHeight="1">
      <c r="A720" s="334"/>
      <c r="B720" s="329"/>
      <c r="C720" s="329" t="s">
        <v>585</v>
      </c>
      <c r="D720" s="331" t="s">
        <v>585</v>
      </c>
      <c r="E720" s="331" t="s">
        <v>585</v>
      </c>
      <c r="F720" s="331" t="s">
        <v>585</v>
      </c>
      <c r="G720" s="331">
        <f>iferror(sumifs('Hợp tác'!G:G,'Hợp tác'!A:A,B720,'Hợp tác'!H:H,$G$2,'Hợp tác'!I:I,$I$2),"")</f>
        <v>0</v>
      </c>
      <c r="H720" s="332">
        <f>SUMIF(View!J:J,View!B:B,B720)</f>
        <v>0</v>
      </c>
      <c r="I720" s="332">
        <f>sumifs('Hoa Hồng'!L:L,'Hoa Hồng'!A:A,B720)</f>
        <v>0</v>
      </c>
      <c r="J720" s="332">
        <v>0.0</v>
      </c>
      <c r="K720" s="333" t="s">
        <v>1211</v>
      </c>
      <c r="L720" s="334"/>
      <c r="M720" s="334"/>
      <c r="N720" s="334"/>
      <c r="O720" s="334"/>
      <c r="P720" s="334"/>
      <c r="Q720" s="334"/>
      <c r="R720" s="334"/>
      <c r="S720" s="334"/>
      <c r="T720" s="334"/>
      <c r="U720" s="334"/>
      <c r="V720" s="334"/>
      <c r="W720" s="334"/>
      <c r="X720" s="334"/>
      <c r="Y720" s="334"/>
      <c r="Z720" s="334"/>
      <c r="AA720" s="334"/>
      <c r="AB720" s="334"/>
      <c r="AC720" s="334"/>
      <c r="AD720" s="334"/>
    </row>
    <row r="721" ht="16.5" customHeight="1">
      <c r="A721" s="334"/>
      <c r="B721" s="329"/>
      <c r="C721" s="329" t="s">
        <v>585</v>
      </c>
      <c r="D721" s="331" t="s">
        <v>585</v>
      </c>
      <c r="E721" s="331" t="s">
        <v>585</v>
      </c>
      <c r="F721" s="331" t="s">
        <v>585</v>
      </c>
      <c r="G721" s="331">
        <f>iferror(sumifs('Hợp tác'!G:G,'Hợp tác'!A:A,B721,'Hợp tác'!H:H,$G$2,'Hợp tác'!I:I,$I$2),"")</f>
        <v>0</v>
      </c>
      <c r="H721" s="332">
        <f>SUMIF(View!J:J,View!B:B,B721)</f>
        <v>0</v>
      </c>
      <c r="I721" s="332">
        <f>sumifs('Hoa Hồng'!L:L,'Hoa Hồng'!A:A,B721)</f>
        <v>0</v>
      </c>
      <c r="J721" s="332">
        <v>0.0</v>
      </c>
      <c r="K721" s="333" t="s">
        <v>1211</v>
      </c>
      <c r="L721" s="334"/>
      <c r="M721" s="334"/>
      <c r="N721" s="334"/>
      <c r="O721" s="334"/>
      <c r="P721" s="334"/>
      <c r="Q721" s="334"/>
      <c r="R721" s="334"/>
      <c r="S721" s="334"/>
      <c r="T721" s="334"/>
      <c r="U721" s="334"/>
      <c r="V721" s="334"/>
      <c r="W721" s="334"/>
      <c r="X721" s="334"/>
      <c r="Y721" s="334"/>
      <c r="Z721" s="334"/>
      <c r="AA721" s="334"/>
      <c r="AB721" s="334"/>
      <c r="AC721" s="334"/>
      <c r="AD721" s="334"/>
    </row>
    <row r="722" ht="16.5" customHeight="1">
      <c r="A722" s="334"/>
      <c r="B722" s="329"/>
      <c r="C722" s="329" t="s">
        <v>585</v>
      </c>
      <c r="D722" s="331" t="s">
        <v>585</v>
      </c>
      <c r="E722" s="331" t="s">
        <v>585</v>
      </c>
      <c r="F722" s="331" t="s">
        <v>585</v>
      </c>
      <c r="G722" s="331">
        <f>iferror(sumifs('Hợp tác'!G:G,'Hợp tác'!A:A,B722,'Hợp tác'!H:H,$G$2,'Hợp tác'!I:I,$I$2),"")</f>
        <v>0</v>
      </c>
      <c r="H722" s="332">
        <f>SUMIF(View!J:J,View!B:B,B722)</f>
        <v>0</v>
      </c>
      <c r="I722" s="332">
        <f>sumifs('Hoa Hồng'!L:L,'Hoa Hồng'!A:A,B722)</f>
        <v>0</v>
      </c>
      <c r="J722" s="332">
        <v>0.0</v>
      </c>
      <c r="K722" s="333" t="s">
        <v>1211</v>
      </c>
      <c r="L722" s="334"/>
      <c r="M722" s="334"/>
      <c r="N722" s="334"/>
      <c r="O722" s="334"/>
      <c r="P722" s="334"/>
      <c r="Q722" s="334"/>
      <c r="R722" s="334"/>
      <c r="S722" s="334"/>
      <c r="T722" s="334"/>
      <c r="U722" s="334"/>
      <c r="V722" s="334"/>
      <c r="W722" s="334"/>
      <c r="X722" s="334"/>
      <c r="Y722" s="334"/>
      <c r="Z722" s="334"/>
      <c r="AA722" s="334"/>
      <c r="AB722" s="334"/>
      <c r="AC722" s="334"/>
      <c r="AD722" s="334"/>
    </row>
    <row r="723" ht="16.5" customHeight="1">
      <c r="A723" s="334"/>
      <c r="B723" s="329"/>
      <c r="C723" s="329" t="s">
        <v>585</v>
      </c>
      <c r="D723" s="331" t="s">
        <v>585</v>
      </c>
      <c r="E723" s="331" t="s">
        <v>585</v>
      </c>
      <c r="F723" s="331" t="s">
        <v>585</v>
      </c>
      <c r="G723" s="331">
        <f>iferror(sumifs('Hợp tác'!G:G,'Hợp tác'!A:A,B723,'Hợp tác'!H:H,$G$2,'Hợp tác'!I:I,$I$2),"")</f>
        <v>0</v>
      </c>
      <c r="H723" s="332">
        <f>SUMIF(View!J:J,View!B:B,B723)</f>
        <v>0</v>
      </c>
      <c r="I723" s="332">
        <f>sumifs('Hoa Hồng'!L:L,'Hoa Hồng'!A:A,B723)</f>
        <v>0</v>
      </c>
      <c r="J723" s="332">
        <v>0.0</v>
      </c>
      <c r="K723" s="333" t="s">
        <v>1211</v>
      </c>
      <c r="L723" s="334"/>
      <c r="M723" s="334"/>
      <c r="N723" s="334"/>
      <c r="O723" s="334"/>
      <c r="P723" s="334"/>
      <c r="Q723" s="334"/>
      <c r="R723" s="334"/>
      <c r="S723" s="334"/>
      <c r="T723" s="334"/>
      <c r="U723" s="334"/>
      <c r="V723" s="334"/>
      <c r="W723" s="334"/>
      <c r="X723" s="334"/>
      <c r="Y723" s="334"/>
      <c r="Z723" s="334"/>
      <c r="AA723" s="334"/>
      <c r="AB723" s="334"/>
      <c r="AC723" s="334"/>
      <c r="AD723" s="334"/>
    </row>
    <row r="724" ht="16.5" customHeight="1">
      <c r="A724" s="334"/>
      <c r="B724" s="329"/>
      <c r="C724" s="329" t="s">
        <v>585</v>
      </c>
      <c r="D724" s="331" t="s">
        <v>585</v>
      </c>
      <c r="E724" s="331" t="s">
        <v>585</v>
      </c>
      <c r="F724" s="331" t="s">
        <v>585</v>
      </c>
      <c r="G724" s="331">
        <f>iferror(sumifs('Hợp tác'!G:G,'Hợp tác'!A:A,B724,'Hợp tác'!H:H,$G$2,'Hợp tác'!I:I,$I$2),"")</f>
        <v>0</v>
      </c>
      <c r="H724" s="332">
        <f>SUMIF(View!J:J,View!B:B,B724)</f>
        <v>0</v>
      </c>
      <c r="I724" s="332">
        <f>sumifs('Hoa Hồng'!L:L,'Hoa Hồng'!A:A,B724)</f>
        <v>0</v>
      </c>
      <c r="J724" s="332">
        <v>0.0</v>
      </c>
      <c r="K724" s="333" t="s">
        <v>1211</v>
      </c>
      <c r="L724" s="334"/>
      <c r="M724" s="334"/>
      <c r="N724" s="334"/>
      <c r="O724" s="334"/>
      <c r="P724" s="334"/>
      <c r="Q724" s="334"/>
      <c r="R724" s="334"/>
      <c r="S724" s="334"/>
      <c r="T724" s="334"/>
      <c r="U724" s="334"/>
      <c r="V724" s="334"/>
      <c r="W724" s="334"/>
      <c r="X724" s="334"/>
      <c r="Y724" s="334"/>
      <c r="Z724" s="334"/>
      <c r="AA724" s="334"/>
      <c r="AB724" s="334"/>
      <c r="AC724" s="334"/>
      <c r="AD724" s="334"/>
    </row>
    <row r="725" ht="16.5" customHeight="1">
      <c r="A725" s="334"/>
      <c r="B725" s="329"/>
      <c r="C725" s="329" t="s">
        <v>585</v>
      </c>
      <c r="D725" s="331" t="s">
        <v>585</v>
      </c>
      <c r="E725" s="331" t="s">
        <v>585</v>
      </c>
      <c r="F725" s="331" t="s">
        <v>585</v>
      </c>
      <c r="G725" s="331">
        <f>iferror(sumifs('Hợp tác'!G:G,'Hợp tác'!A:A,B725,'Hợp tác'!H:H,$G$2,'Hợp tác'!I:I,$I$2),"")</f>
        <v>0</v>
      </c>
      <c r="H725" s="332">
        <f>SUMIF(View!J:J,View!B:B,B725)</f>
        <v>0</v>
      </c>
      <c r="I725" s="332">
        <f>sumifs('Hoa Hồng'!L:L,'Hoa Hồng'!A:A,B725)</f>
        <v>0</v>
      </c>
      <c r="J725" s="332">
        <v>0.0</v>
      </c>
      <c r="K725" s="333" t="s">
        <v>1211</v>
      </c>
      <c r="L725" s="334"/>
      <c r="M725" s="334"/>
      <c r="N725" s="334"/>
      <c r="O725" s="334"/>
      <c r="P725" s="334"/>
      <c r="Q725" s="334"/>
      <c r="R725" s="334"/>
      <c r="S725" s="334"/>
      <c r="T725" s="334"/>
      <c r="U725" s="334"/>
      <c r="V725" s="334"/>
      <c r="W725" s="334"/>
      <c r="X725" s="334"/>
      <c r="Y725" s="334"/>
      <c r="Z725" s="334"/>
      <c r="AA725" s="334"/>
      <c r="AB725" s="334"/>
      <c r="AC725" s="334"/>
      <c r="AD725" s="334"/>
    </row>
    <row r="726" ht="16.5" customHeight="1">
      <c r="A726" s="334"/>
      <c r="B726" s="329"/>
      <c r="C726" s="329" t="s">
        <v>585</v>
      </c>
      <c r="D726" s="331" t="s">
        <v>585</v>
      </c>
      <c r="E726" s="331" t="s">
        <v>585</v>
      </c>
      <c r="F726" s="331" t="s">
        <v>585</v>
      </c>
      <c r="G726" s="331">
        <f>iferror(sumifs('Hợp tác'!G:G,'Hợp tác'!A:A,B726,'Hợp tác'!H:H,$G$2,'Hợp tác'!I:I,$I$2),"")</f>
        <v>0</v>
      </c>
      <c r="H726" s="332">
        <f>SUMIF(View!J:J,View!B:B,B726)</f>
        <v>0</v>
      </c>
      <c r="I726" s="332">
        <f>sumifs('Hoa Hồng'!L:L,'Hoa Hồng'!A:A,B726)</f>
        <v>0</v>
      </c>
      <c r="J726" s="332">
        <v>0.0</v>
      </c>
      <c r="K726" s="333" t="s">
        <v>1211</v>
      </c>
      <c r="L726" s="334"/>
      <c r="M726" s="334"/>
      <c r="N726" s="334"/>
      <c r="O726" s="334"/>
      <c r="P726" s="334"/>
      <c r="Q726" s="334"/>
      <c r="R726" s="334"/>
      <c r="S726" s="334"/>
      <c r="T726" s="334"/>
      <c r="U726" s="334"/>
      <c r="V726" s="334"/>
      <c r="W726" s="334"/>
      <c r="X726" s="334"/>
      <c r="Y726" s="334"/>
      <c r="Z726" s="334"/>
      <c r="AA726" s="334"/>
      <c r="AB726" s="334"/>
      <c r="AC726" s="334"/>
      <c r="AD726" s="334"/>
    </row>
    <row r="727" ht="16.5" customHeight="1">
      <c r="A727" s="334"/>
      <c r="B727" s="329"/>
      <c r="C727" s="329" t="s">
        <v>585</v>
      </c>
      <c r="D727" s="331" t="s">
        <v>585</v>
      </c>
      <c r="E727" s="331" t="s">
        <v>585</v>
      </c>
      <c r="F727" s="331" t="s">
        <v>585</v>
      </c>
      <c r="G727" s="331">
        <f>iferror(sumifs('Hợp tác'!G:G,'Hợp tác'!A:A,B727,'Hợp tác'!H:H,$G$2,'Hợp tác'!I:I,$I$2),"")</f>
        <v>0</v>
      </c>
      <c r="H727" s="332">
        <f>SUMIF(View!J:J,View!B:B,B727)</f>
        <v>0</v>
      </c>
      <c r="I727" s="332">
        <f>sumifs('Hoa Hồng'!L:L,'Hoa Hồng'!A:A,B727)</f>
        <v>0</v>
      </c>
      <c r="J727" s="332">
        <v>0.0</v>
      </c>
      <c r="K727" s="333" t="s">
        <v>1211</v>
      </c>
      <c r="L727" s="334"/>
      <c r="M727" s="334"/>
      <c r="N727" s="334"/>
      <c r="O727" s="334"/>
      <c r="P727" s="334"/>
      <c r="Q727" s="334"/>
      <c r="R727" s="334"/>
      <c r="S727" s="334"/>
      <c r="T727" s="334"/>
      <c r="U727" s="334"/>
      <c r="V727" s="334"/>
      <c r="W727" s="334"/>
      <c r="X727" s="334"/>
      <c r="Y727" s="334"/>
      <c r="Z727" s="334"/>
      <c r="AA727" s="334"/>
      <c r="AB727" s="334"/>
      <c r="AC727" s="334"/>
      <c r="AD727" s="334"/>
    </row>
    <row r="728" ht="16.5" customHeight="1">
      <c r="A728" s="334"/>
      <c r="B728" s="329"/>
      <c r="C728" s="329" t="s">
        <v>585</v>
      </c>
      <c r="D728" s="331" t="s">
        <v>585</v>
      </c>
      <c r="E728" s="331" t="s">
        <v>585</v>
      </c>
      <c r="F728" s="331" t="s">
        <v>585</v>
      </c>
      <c r="G728" s="331">
        <f>iferror(sumifs('Hợp tác'!G:G,'Hợp tác'!A:A,B728,'Hợp tác'!H:H,$G$2,'Hợp tác'!I:I,$I$2),"")</f>
        <v>0</v>
      </c>
      <c r="H728" s="332">
        <f>SUMIF(View!J:J,View!B:B,B728)</f>
        <v>0</v>
      </c>
      <c r="I728" s="332">
        <f>sumifs('Hoa Hồng'!L:L,'Hoa Hồng'!A:A,B728)</f>
        <v>0</v>
      </c>
      <c r="J728" s="332">
        <v>0.0</v>
      </c>
      <c r="K728" s="333" t="s">
        <v>1211</v>
      </c>
      <c r="L728" s="334"/>
      <c r="M728" s="334"/>
      <c r="N728" s="334"/>
      <c r="O728" s="334"/>
      <c r="P728" s="334"/>
      <c r="Q728" s="334"/>
      <c r="R728" s="334"/>
      <c r="S728" s="334"/>
      <c r="T728" s="334"/>
      <c r="U728" s="334"/>
      <c r="V728" s="334"/>
      <c r="W728" s="334"/>
      <c r="X728" s="334"/>
      <c r="Y728" s="334"/>
      <c r="Z728" s="334"/>
      <c r="AA728" s="334"/>
      <c r="AB728" s="334"/>
      <c r="AC728" s="334"/>
      <c r="AD728" s="334"/>
    </row>
    <row r="729" ht="16.5" customHeight="1">
      <c r="A729" s="334"/>
      <c r="B729" s="329"/>
      <c r="C729" s="329" t="s">
        <v>585</v>
      </c>
      <c r="D729" s="331" t="s">
        <v>585</v>
      </c>
      <c r="E729" s="331" t="s">
        <v>585</v>
      </c>
      <c r="F729" s="331" t="s">
        <v>585</v>
      </c>
      <c r="G729" s="331">
        <f>iferror(sumifs('Hợp tác'!G:G,'Hợp tác'!A:A,B729,'Hợp tác'!H:H,$G$2,'Hợp tác'!I:I,$I$2),"")</f>
        <v>0</v>
      </c>
      <c r="H729" s="332">
        <f>SUMIF(View!J:J,View!B:B,B729)</f>
        <v>0</v>
      </c>
      <c r="I729" s="332">
        <f>sumifs('Hoa Hồng'!L:L,'Hoa Hồng'!A:A,B729)</f>
        <v>0</v>
      </c>
      <c r="J729" s="332">
        <v>0.0</v>
      </c>
      <c r="K729" s="333" t="s">
        <v>1211</v>
      </c>
      <c r="L729" s="334"/>
      <c r="M729" s="334"/>
      <c r="N729" s="334"/>
      <c r="O729" s="334"/>
      <c r="P729" s="334"/>
      <c r="Q729" s="334"/>
      <c r="R729" s="334"/>
      <c r="S729" s="334"/>
      <c r="T729" s="334"/>
      <c r="U729" s="334"/>
      <c r="V729" s="334"/>
      <c r="W729" s="334"/>
      <c r="X729" s="334"/>
      <c r="Y729" s="334"/>
      <c r="Z729" s="334"/>
      <c r="AA729" s="334"/>
      <c r="AB729" s="334"/>
      <c r="AC729" s="334"/>
      <c r="AD729" s="334"/>
    </row>
    <row r="730" ht="16.5" customHeight="1">
      <c r="A730" s="334"/>
      <c r="B730" s="329"/>
      <c r="C730" s="329" t="s">
        <v>585</v>
      </c>
      <c r="D730" s="331" t="s">
        <v>585</v>
      </c>
      <c r="E730" s="331" t="s">
        <v>585</v>
      </c>
      <c r="F730" s="331" t="s">
        <v>585</v>
      </c>
      <c r="G730" s="331">
        <f>iferror(sumifs('Hợp tác'!G:G,'Hợp tác'!A:A,B730,'Hợp tác'!H:H,$G$2,'Hợp tác'!I:I,$I$2),"")</f>
        <v>0</v>
      </c>
      <c r="H730" s="332">
        <f>SUMIF(View!J:J,View!B:B,B730)</f>
        <v>0</v>
      </c>
      <c r="I730" s="332">
        <f>sumifs('Hoa Hồng'!L:L,'Hoa Hồng'!A:A,B730)</f>
        <v>0</v>
      </c>
      <c r="J730" s="332">
        <v>0.0</v>
      </c>
      <c r="K730" s="333" t="s">
        <v>1211</v>
      </c>
      <c r="L730" s="334"/>
      <c r="M730" s="334"/>
      <c r="N730" s="334"/>
      <c r="O730" s="334"/>
      <c r="P730" s="334"/>
      <c r="Q730" s="334"/>
      <c r="R730" s="334"/>
      <c r="S730" s="334"/>
      <c r="T730" s="334"/>
      <c r="U730" s="334"/>
      <c r="V730" s="334"/>
      <c r="W730" s="334"/>
      <c r="X730" s="334"/>
      <c r="Y730" s="334"/>
      <c r="Z730" s="334"/>
      <c r="AA730" s="334"/>
      <c r="AB730" s="334"/>
      <c r="AC730" s="334"/>
      <c r="AD730" s="334"/>
    </row>
    <row r="731" ht="16.5" customHeight="1">
      <c r="A731" s="334"/>
      <c r="B731" s="329"/>
      <c r="C731" s="329" t="s">
        <v>585</v>
      </c>
      <c r="D731" s="331" t="s">
        <v>585</v>
      </c>
      <c r="E731" s="331" t="s">
        <v>585</v>
      </c>
      <c r="F731" s="331" t="s">
        <v>585</v>
      </c>
      <c r="G731" s="331">
        <f>iferror(sumifs('Hợp tác'!G:G,'Hợp tác'!A:A,B731,'Hợp tác'!H:H,$G$2,'Hợp tác'!I:I,$I$2),"")</f>
        <v>0</v>
      </c>
      <c r="H731" s="332">
        <f>SUMIF(View!J:J,View!B:B,B731)</f>
        <v>0</v>
      </c>
      <c r="I731" s="332">
        <f>sumifs('Hoa Hồng'!L:L,'Hoa Hồng'!A:A,B731)</f>
        <v>0</v>
      </c>
      <c r="J731" s="332">
        <v>0.0</v>
      </c>
      <c r="K731" s="333" t="s">
        <v>1211</v>
      </c>
      <c r="L731" s="334"/>
      <c r="M731" s="334"/>
      <c r="N731" s="334"/>
      <c r="O731" s="334"/>
      <c r="P731" s="334"/>
      <c r="Q731" s="334"/>
      <c r="R731" s="334"/>
      <c r="S731" s="334"/>
      <c r="T731" s="334"/>
      <c r="U731" s="334"/>
      <c r="V731" s="334"/>
      <c r="W731" s="334"/>
      <c r="X731" s="334"/>
      <c r="Y731" s="334"/>
      <c r="Z731" s="334"/>
      <c r="AA731" s="334"/>
      <c r="AB731" s="334"/>
      <c r="AC731" s="334"/>
      <c r="AD731" s="334"/>
    </row>
    <row r="732" ht="16.5" customHeight="1">
      <c r="A732" s="334"/>
      <c r="B732" s="329"/>
      <c r="C732" s="329" t="s">
        <v>585</v>
      </c>
      <c r="D732" s="331" t="s">
        <v>585</v>
      </c>
      <c r="E732" s="331" t="s">
        <v>585</v>
      </c>
      <c r="F732" s="331" t="s">
        <v>585</v>
      </c>
      <c r="G732" s="331">
        <f>iferror(sumifs('Hợp tác'!G:G,'Hợp tác'!A:A,B732,'Hợp tác'!H:H,$G$2,'Hợp tác'!I:I,$I$2),"")</f>
        <v>0</v>
      </c>
      <c r="H732" s="332">
        <f>SUMIF(View!J:J,View!B:B,B732)</f>
        <v>0</v>
      </c>
      <c r="I732" s="332">
        <f>sumifs('Hoa Hồng'!L:L,'Hoa Hồng'!A:A,B732)</f>
        <v>0</v>
      </c>
      <c r="J732" s="332">
        <v>0.0</v>
      </c>
      <c r="K732" s="333" t="s">
        <v>1211</v>
      </c>
      <c r="L732" s="334"/>
      <c r="M732" s="334"/>
      <c r="N732" s="334"/>
      <c r="O732" s="334"/>
      <c r="P732" s="334"/>
      <c r="Q732" s="334"/>
      <c r="R732" s="334"/>
      <c r="S732" s="334"/>
      <c r="T732" s="334"/>
      <c r="U732" s="334"/>
      <c r="V732" s="334"/>
      <c r="W732" s="334"/>
      <c r="X732" s="334"/>
      <c r="Y732" s="334"/>
      <c r="Z732" s="334"/>
      <c r="AA732" s="334"/>
      <c r="AB732" s="334"/>
      <c r="AC732" s="334"/>
      <c r="AD732" s="334"/>
    </row>
    <row r="733" ht="16.5" customHeight="1">
      <c r="A733" s="334"/>
      <c r="B733" s="329"/>
      <c r="C733" s="329" t="s">
        <v>585</v>
      </c>
      <c r="D733" s="331" t="s">
        <v>585</v>
      </c>
      <c r="E733" s="331" t="s">
        <v>585</v>
      </c>
      <c r="F733" s="331" t="s">
        <v>585</v>
      </c>
      <c r="G733" s="331">
        <f>iferror(sumifs('Hợp tác'!G:G,'Hợp tác'!A:A,B733,'Hợp tác'!H:H,$G$2,'Hợp tác'!I:I,$I$2),"")</f>
        <v>0</v>
      </c>
      <c r="H733" s="332">
        <f>SUMIF(View!J:J,View!B:B,B733)</f>
        <v>0</v>
      </c>
      <c r="I733" s="332">
        <f>sumifs('Hoa Hồng'!L:L,'Hoa Hồng'!A:A,B733)</f>
        <v>0</v>
      </c>
      <c r="J733" s="332">
        <v>0.0</v>
      </c>
      <c r="K733" s="333" t="s">
        <v>1211</v>
      </c>
      <c r="L733" s="334"/>
      <c r="M733" s="334"/>
      <c r="N733" s="334"/>
      <c r="O733" s="334"/>
      <c r="P733" s="334"/>
      <c r="Q733" s="334"/>
      <c r="R733" s="334"/>
      <c r="S733" s="334"/>
      <c r="T733" s="334"/>
      <c r="U733" s="334"/>
      <c r="V733" s="334"/>
      <c r="W733" s="334"/>
      <c r="X733" s="334"/>
      <c r="Y733" s="334"/>
      <c r="Z733" s="334"/>
      <c r="AA733" s="334"/>
      <c r="AB733" s="334"/>
      <c r="AC733" s="334"/>
      <c r="AD733" s="334"/>
    </row>
    <row r="734" ht="16.5" customHeight="1">
      <c r="A734" s="334"/>
      <c r="B734" s="329"/>
      <c r="C734" s="329" t="s">
        <v>585</v>
      </c>
      <c r="D734" s="331" t="s">
        <v>585</v>
      </c>
      <c r="E734" s="331" t="s">
        <v>585</v>
      </c>
      <c r="F734" s="331" t="s">
        <v>585</v>
      </c>
      <c r="G734" s="331">
        <f>iferror(sumifs('Hợp tác'!G:G,'Hợp tác'!A:A,B734,'Hợp tác'!H:H,$G$2,'Hợp tác'!I:I,$I$2),"")</f>
        <v>0</v>
      </c>
      <c r="H734" s="332">
        <f>SUMIF(View!J:J,View!B:B,B734)</f>
        <v>0</v>
      </c>
      <c r="I734" s="332">
        <f>sumifs('Hoa Hồng'!L:L,'Hoa Hồng'!A:A,B734)</f>
        <v>0</v>
      </c>
      <c r="J734" s="332">
        <v>0.0</v>
      </c>
      <c r="K734" s="333" t="s">
        <v>1211</v>
      </c>
      <c r="L734" s="334"/>
      <c r="M734" s="334"/>
      <c r="N734" s="334"/>
      <c r="O734" s="334"/>
      <c r="P734" s="334"/>
      <c r="Q734" s="334"/>
      <c r="R734" s="334"/>
      <c r="S734" s="334"/>
      <c r="T734" s="334"/>
      <c r="U734" s="334"/>
      <c r="V734" s="334"/>
      <c r="W734" s="334"/>
      <c r="X734" s="334"/>
      <c r="Y734" s="334"/>
      <c r="Z734" s="334"/>
      <c r="AA734" s="334"/>
      <c r="AB734" s="334"/>
      <c r="AC734" s="334"/>
      <c r="AD734" s="334"/>
    </row>
    <row r="735" ht="16.5" customHeight="1">
      <c r="A735" s="334"/>
      <c r="B735" s="329"/>
      <c r="C735" s="329" t="s">
        <v>585</v>
      </c>
      <c r="D735" s="331" t="s">
        <v>585</v>
      </c>
      <c r="E735" s="331" t="s">
        <v>585</v>
      </c>
      <c r="F735" s="331" t="s">
        <v>585</v>
      </c>
      <c r="G735" s="331">
        <f>iferror(sumifs('Hợp tác'!G:G,'Hợp tác'!A:A,B735,'Hợp tác'!H:H,$G$2,'Hợp tác'!I:I,$I$2),"")</f>
        <v>0</v>
      </c>
      <c r="H735" s="332">
        <f>SUMIF(View!J:J,View!B:B,B735)</f>
        <v>0</v>
      </c>
      <c r="I735" s="332">
        <f>sumifs('Hoa Hồng'!L:L,'Hoa Hồng'!A:A,B735)</f>
        <v>0</v>
      </c>
      <c r="J735" s="332">
        <v>0.0</v>
      </c>
      <c r="K735" s="333" t="s">
        <v>1211</v>
      </c>
      <c r="L735" s="334"/>
      <c r="M735" s="334"/>
      <c r="N735" s="334"/>
      <c r="O735" s="334"/>
      <c r="P735" s="334"/>
      <c r="Q735" s="334"/>
      <c r="R735" s="334"/>
      <c r="S735" s="334"/>
      <c r="T735" s="334"/>
      <c r="U735" s="334"/>
      <c r="V735" s="334"/>
      <c r="W735" s="334"/>
      <c r="X735" s="334"/>
      <c r="Y735" s="334"/>
      <c r="Z735" s="334"/>
      <c r="AA735" s="334"/>
      <c r="AB735" s="334"/>
      <c r="AC735" s="334"/>
      <c r="AD735" s="334"/>
    </row>
    <row r="736" ht="16.5" customHeight="1">
      <c r="A736" s="334"/>
      <c r="B736" s="329"/>
      <c r="C736" s="329" t="s">
        <v>585</v>
      </c>
      <c r="D736" s="331" t="s">
        <v>585</v>
      </c>
      <c r="E736" s="331" t="s">
        <v>585</v>
      </c>
      <c r="F736" s="331" t="s">
        <v>585</v>
      </c>
      <c r="G736" s="331">
        <f>iferror(sumifs('Hợp tác'!G:G,'Hợp tác'!A:A,B736,'Hợp tác'!H:H,$G$2,'Hợp tác'!I:I,$I$2),"")</f>
        <v>0</v>
      </c>
      <c r="H736" s="332">
        <f>SUMIF(View!J:J,View!B:B,B736)</f>
        <v>0</v>
      </c>
      <c r="I736" s="332">
        <f>sumifs('Hoa Hồng'!L:L,'Hoa Hồng'!A:A,B736)</f>
        <v>0</v>
      </c>
      <c r="J736" s="332">
        <v>0.0</v>
      </c>
      <c r="K736" s="333" t="s">
        <v>1211</v>
      </c>
      <c r="L736" s="334"/>
      <c r="M736" s="334"/>
      <c r="N736" s="334"/>
      <c r="O736" s="334"/>
      <c r="P736" s="334"/>
      <c r="Q736" s="334"/>
      <c r="R736" s="334"/>
      <c r="S736" s="334"/>
      <c r="T736" s="334"/>
      <c r="U736" s="334"/>
      <c r="V736" s="334"/>
      <c r="W736" s="334"/>
      <c r="X736" s="334"/>
      <c r="Y736" s="334"/>
      <c r="Z736" s="334"/>
      <c r="AA736" s="334"/>
      <c r="AB736" s="334"/>
      <c r="AC736" s="334"/>
      <c r="AD736" s="334"/>
    </row>
    <row r="737" ht="16.5" customHeight="1">
      <c r="A737" s="334"/>
      <c r="B737" s="329"/>
      <c r="C737" s="329" t="s">
        <v>585</v>
      </c>
      <c r="D737" s="331" t="s">
        <v>585</v>
      </c>
      <c r="E737" s="331" t="s">
        <v>585</v>
      </c>
      <c r="F737" s="331" t="s">
        <v>585</v>
      </c>
      <c r="G737" s="331">
        <f>iferror(sumifs('Hợp tác'!G:G,'Hợp tác'!A:A,B737,'Hợp tác'!H:H,$G$2,'Hợp tác'!I:I,$I$2),"")</f>
        <v>0</v>
      </c>
      <c r="H737" s="332">
        <f>SUMIF(View!J:J,View!B:B,B737)</f>
        <v>0</v>
      </c>
      <c r="I737" s="332">
        <f>sumifs('Hoa Hồng'!L:L,'Hoa Hồng'!A:A,B737)</f>
        <v>0</v>
      </c>
      <c r="J737" s="332">
        <v>0.0</v>
      </c>
      <c r="K737" s="333" t="s">
        <v>1211</v>
      </c>
      <c r="L737" s="334"/>
      <c r="M737" s="334"/>
      <c r="N737" s="334"/>
      <c r="O737" s="334"/>
      <c r="P737" s="334"/>
      <c r="Q737" s="334"/>
      <c r="R737" s="334"/>
      <c r="S737" s="334"/>
      <c r="T737" s="334"/>
      <c r="U737" s="334"/>
      <c r="V737" s="334"/>
      <c r="W737" s="334"/>
      <c r="X737" s="334"/>
      <c r="Y737" s="334"/>
      <c r="Z737" s="334"/>
      <c r="AA737" s="334"/>
      <c r="AB737" s="334"/>
      <c r="AC737" s="334"/>
      <c r="AD737" s="334"/>
    </row>
    <row r="738" ht="16.5" customHeight="1">
      <c r="A738" s="334"/>
      <c r="B738" s="329"/>
      <c r="C738" s="329" t="s">
        <v>585</v>
      </c>
      <c r="D738" s="331" t="s">
        <v>585</v>
      </c>
      <c r="E738" s="331" t="s">
        <v>585</v>
      </c>
      <c r="F738" s="331" t="s">
        <v>585</v>
      </c>
      <c r="G738" s="331">
        <f>iferror(sumifs('Hợp tác'!G:G,'Hợp tác'!A:A,B738,'Hợp tác'!H:H,$G$2,'Hợp tác'!I:I,$I$2),"")</f>
        <v>0</v>
      </c>
      <c r="H738" s="332">
        <f>SUMIF(View!J:J,View!B:B,B738)</f>
        <v>0</v>
      </c>
      <c r="I738" s="332">
        <f>sumifs('Hoa Hồng'!L:L,'Hoa Hồng'!A:A,B738)</f>
        <v>0</v>
      </c>
      <c r="J738" s="332">
        <v>0.0</v>
      </c>
      <c r="K738" s="333" t="s">
        <v>1211</v>
      </c>
      <c r="L738" s="334"/>
      <c r="M738" s="334"/>
      <c r="N738" s="334"/>
      <c r="O738" s="334"/>
      <c r="P738" s="334"/>
      <c r="Q738" s="334"/>
      <c r="R738" s="334"/>
      <c r="S738" s="334"/>
      <c r="T738" s="334"/>
      <c r="U738" s="334"/>
      <c r="V738" s="334"/>
      <c r="W738" s="334"/>
      <c r="X738" s="334"/>
      <c r="Y738" s="334"/>
      <c r="Z738" s="334"/>
      <c r="AA738" s="334"/>
      <c r="AB738" s="334"/>
      <c r="AC738" s="334"/>
      <c r="AD738" s="334"/>
    </row>
    <row r="739" ht="16.5" customHeight="1">
      <c r="A739" s="334"/>
      <c r="B739" s="329"/>
      <c r="C739" s="329" t="s">
        <v>585</v>
      </c>
      <c r="D739" s="331" t="s">
        <v>585</v>
      </c>
      <c r="E739" s="331" t="s">
        <v>585</v>
      </c>
      <c r="F739" s="331" t="s">
        <v>585</v>
      </c>
      <c r="G739" s="331">
        <f>iferror(sumifs('Hợp tác'!G:G,'Hợp tác'!A:A,B739,'Hợp tác'!H:H,$G$2,'Hợp tác'!I:I,$I$2),"")</f>
        <v>0</v>
      </c>
      <c r="H739" s="332">
        <f>SUMIF(View!J:J,View!B:B,B739)</f>
        <v>0</v>
      </c>
      <c r="I739" s="332">
        <f>sumifs('Hoa Hồng'!L:L,'Hoa Hồng'!A:A,B739)</f>
        <v>0</v>
      </c>
      <c r="J739" s="332">
        <v>0.0</v>
      </c>
      <c r="K739" s="333" t="s">
        <v>1211</v>
      </c>
      <c r="L739" s="334"/>
      <c r="M739" s="334"/>
      <c r="N739" s="334"/>
      <c r="O739" s="334"/>
      <c r="P739" s="334"/>
      <c r="Q739" s="334"/>
      <c r="R739" s="334"/>
      <c r="S739" s="334"/>
      <c r="T739" s="334"/>
      <c r="U739" s="334"/>
      <c r="V739" s="334"/>
      <c r="W739" s="334"/>
      <c r="X739" s="334"/>
      <c r="Y739" s="334"/>
      <c r="Z739" s="334"/>
      <c r="AA739" s="334"/>
      <c r="AB739" s="334"/>
      <c r="AC739" s="334"/>
      <c r="AD739" s="334"/>
    </row>
    <row r="740" ht="16.5" customHeight="1">
      <c r="A740" s="334"/>
      <c r="B740" s="329"/>
      <c r="C740" s="329" t="s">
        <v>585</v>
      </c>
      <c r="D740" s="331" t="s">
        <v>585</v>
      </c>
      <c r="E740" s="331" t="s">
        <v>585</v>
      </c>
      <c r="F740" s="331" t="s">
        <v>585</v>
      </c>
      <c r="G740" s="331">
        <f>iferror(sumifs('Hợp tác'!G:G,'Hợp tác'!A:A,B740,'Hợp tác'!H:H,$G$2,'Hợp tác'!I:I,$I$2),"")</f>
        <v>0</v>
      </c>
      <c r="H740" s="332">
        <f>SUMIF(View!J:J,View!B:B,B740)</f>
        <v>0</v>
      </c>
      <c r="I740" s="332">
        <f>sumifs('Hoa Hồng'!L:L,'Hoa Hồng'!A:A,B740)</f>
        <v>0</v>
      </c>
      <c r="J740" s="332">
        <v>0.0</v>
      </c>
      <c r="K740" s="333" t="s">
        <v>1211</v>
      </c>
      <c r="L740" s="334"/>
      <c r="M740" s="334"/>
      <c r="N740" s="334"/>
      <c r="O740" s="334"/>
      <c r="P740" s="334"/>
      <c r="Q740" s="334"/>
      <c r="R740" s="334"/>
      <c r="S740" s="334"/>
      <c r="T740" s="334"/>
      <c r="U740" s="334"/>
      <c r="V740" s="334"/>
      <c r="W740" s="334"/>
      <c r="X740" s="334"/>
      <c r="Y740" s="334"/>
      <c r="Z740" s="334"/>
      <c r="AA740" s="334"/>
      <c r="AB740" s="334"/>
      <c r="AC740" s="334"/>
      <c r="AD740" s="334"/>
    </row>
    <row r="741" ht="16.5" customHeight="1">
      <c r="A741" s="334"/>
      <c r="B741" s="329"/>
      <c r="C741" s="329" t="s">
        <v>585</v>
      </c>
      <c r="D741" s="331" t="s">
        <v>585</v>
      </c>
      <c r="E741" s="331" t="s">
        <v>585</v>
      </c>
      <c r="F741" s="331" t="s">
        <v>585</v>
      </c>
      <c r="G741" s="331">
        <f>iferror(sumifs('Hợp tác'!G:G,'Hợp tác'!A:A,B741,'Hợp tác'!H:H,$G$2,'Hợp tác'!I:I,$I$2),"")</f>
        <v>0</v>
      </c>
      <c r="H741" s="332">
        <f>SUMIF(View!J:J,View!B:B,B741)</f>
        <v>0</v>
      </c>
      <c r="I741" s="332">
        <f>sumifs('Hoa Hồng'!L:L,'Hoa Hồng'!A:A,B741)</f>
        <v>0</v>
      </c>
      <c r="J741" s="332">
        <v>0.0</v>
      </c>
      <c r="K741" s="333" t="s">
        <v>1211</v>
      </c>
      <c r="L741" s="334"/>
      <c r="M741" s="334"/>
      <c r="N741" s="334"/>
      <c r="O741" s="334"/>
      <c r="P741" s="334"/>
      <c r="Q741" s="334"/>
      <c r="R741" s="334"/>
      <c r="S741" s="334"/>
      <c r="T741" s="334"/>
      <c r="U741" s="334"/>
      <c r="V741" s="334"/>
      <c r="W741" s="334"/>
      <c r="X741" s="334"/>
      <c r="Y741" s="334"/>
      <c r="Z741" s="334"/>
      <c r="AA741" s="334"/>
      <c r="AB741" s="334"/>
      <c r="AC741" s="334"/>
      <c r="AD741" s="334"/>
    </row>
    <row r="742" ht="16.5" customHeight="1">
      <c r="A742" s="334"/>
      <c r="B742" s="329"/>
      <c r="C742" s="329" t="s">
        <v>585</v>
      </c>
      <c r="D742" s="331" t="s">
        <v>585</v>
      </c>
      <c r="E742" s="331" t="s">
        <v>585</v>
      </c>
      <c r="F742" s="331" t="s">
        <v>585</v>
      </c>
      <c r="G742" s="331">
        <f>iferror(sumifs('Hợp tác'!G:G,'Hợp tác'!A:A,B742,'Hợp tác'!H:H,$G$2,'Hợp tác'!I:I,$I$2),"")</f>
        <v>0</v>
      </c>
      <c r="H742" s="332">
        <f>SUMIF(View!J:J,View!B:B,B742)</f>
        <v>0</v>
      </c>
      <c r="I742" s="332">
        <f>sumifs('Hoa Hồng'!L:L,'Hoa Hồng'!A:A,B742)</f>
        <v>0</v>
      </c>
      <c r="J742" s="332">
        <v>0.0</v>
      </c>
      <c r="K742" s="333" t="s">
        <v>1211</v>
      </c>
      <c r="L742" s="334"/>
      <c r="M742" s="334"/>
      <c r="N742" s="334"/>
      <c r="O742" s="334"/>
      <c r="P742" s="334"/>
      <c r="Q742" s="334"/>
      <c r="R742" s="334"/>
      <c r="S742" s="334"/>
      <c r="T742" s="334"/>
      <c r="U742" s="334"/>
      <c r="V742" s="334"/>
      <c r="W742" s="334"/>
      <c r="X742" s="334"/>
      <c r="Y742" s="334"/>
      <c r="Z742" s="334"/>
      <c r="AA742" s="334"/>
      <c r="AB742" s="334"/>
      <c r="AC742" s="334"/>
      <c r="AD742" s="334"/>
    </row>
    <row r="743" ht="16.5" customHeight="1">
      <c r="A743" s="334"/>
      <c r="B743" s="329"/>
      <c r="C743" s="329" t="s">
        <v>585</v>
      </c>
      <c r="D743" s="331" t="s">
        <v>585</v>
      </c>
      <c r="E743" s="331" t="s">
        <v>585</v>
      </c>
      <c r="F743" s="331" t="s">
        <v>585</v>
      </c>
      <c r="G743" s="331">
        <f>iferror(sumifs('Hợp tác'!G:G,'Hợp tác'!A:A,B743,'Hợp tác'!H:H,$G$2,'Hợp tác'!I:I,$I$2),"")</f>
        <v>0</v>
      </c>
      <c r="H743" s="332">
        <f>SUMIF(View!J:J,View!B:B,B743)</f>
        <v>0</v>
      </c>
      <c r="I743" s="332">
        <f>sumifs('Hoa Hồng'!L:L,'Hoa Hồng'!A:A,B743)</f>
        <v>0</v>
      </c>
      <c r="J743" s="332">
        <v>0.0</v>
      </c>
      <c r="K743" s="333" t="s">
        <v>1211</v>
      </c>
      <c r="L743" s="334"/>
      <c r="M743" s="334"/>
      <c r="N743" s="334"/>
      <c r="O743" s="334"/>
      <c r="P743" s="334"/>
      <c r="Q743" s="334"/>
      <c r="R743" s="334"/>
      <c r="S743" s="334"/>
      <c r="T743" s="334"/>
      <c r="U743" s="334"/>
      <c r="V743" s="334"/>
      <c r="W743" s="334"/>
      <c r="X743" s="334"/>
      <c r="Y743" s="334"/>
      <c r="Z743" s="334"/>
      <c r="AA743" s="334"/>
      <c r="AB743" s="334"/>
      <c r="AC743" s="334"/>
      <c r="AD743" s="334"/>
    </row>
    <row r="744" ht="16.5" customHeight="1">
      <c r="A744" s="334"/>
      <c r="B744" s="329"/>
      <c r="C744" s="329" t="s">
        <v>585</v>
      </c>
      <c r="D744" s="331" t="s">
        <v>585</v>
      </c>
      <c r="E744" s="331" t="s">
        <v>585</v>
      </c>
      <c r="F744" s="331" t="s">
        <v>585</v>
      </c>
      <c r="G744" s="331">
        <f>iferror(sumifs('Hợp tác'!G:G,'Hợp tác'!A:A,B744,'Hợp tác'!H:H,$G$2,'Hợp tác'!I:I,$I$2),"")</f>
        <v>0</v>
      </c>
      <c r="H744" s="332">
        <f>SUMIF(View!J:J,View!B:B,B744)</f>
        <v>0</v>
      </c>
      <c r="I744" s="332">
        <f>sumifs('Hoa Hồng'!L:L,'Hoa Hồng'!A:A,B744)</f>
        <v>0</v>
      </c>
      <c r="J744" s="332">
        <v>0.0</v>
      </c>
      <c r="K744" s="333" t="s">
        <v>1211</v>
      </c>
      <c r="L744" s="334"/>
      <c r="M744" s="334"/>
      <c r="N744" s="334"/>
      <c r="O744" s="334"/>
      <c r="P744" s="334"/>
      <c r="Q744" s="334"/>
      <c r="R744" s="334"/>
      <c r="S744" s="334"/>
      <c r="T744" s="334"/>
      <c r="U744" s="334"/>
      <c r="V744" s="334"/>
      <c r="W744" s="334"/>
      <c r="X744" s="334"/>
      <c r="Y744" s="334"/>
      <c r="Z744" s="334"/>
      <c r="AA744" s="334"/>
      <c r="AB744" s="334"/>
      <c r="AC744" s="334"/>
      <c r="AD744" s="334"/>
    </row>
    <row r="745" ht="16.5" customHeight="1">
      <c r="A745" s="334"/>
      <c r="B745" s="329"/>
      <c r="C745" s="329" t="s">
        <v>585</v>
      </c>
      <c r="D745" s="331" t="s">
        <v>585</v>
      </c>
      <c r="E745" s="331" t="s">
        <v>585</v>
      </c>
      <c r="F745" s="331" t="s">
        <v>585</v>
      </c>
      <c r="G745" s="331">
        <f>iferror(sumifs('Hợp tác'!G:G,'Hợp tác'!A:A,B745,'Hợp tác'!H:H,$G$2,'Hợp tác'!I:I,$I$2),"")</f>
        <v>0</v>
      </c>
      <c r="H745" s="332">
        <f>SUMIF(View!J:J,View!B:B,B745)</f>
        <v>0</v>
      </c>
      <c r="I745" s="332">
        <f>sumifs('Hoa Hồng'!L:L,'Hoa Hồng'!A:A,B745)</f>
        <v>0</v>
      </c>
      <c r="J745" s="332">
        <v>0.0</v>
      </c>
      <c r="K745" s="333" t="s">
        <v>1211</v>
      </c>
      <c r="L745" s="334"/>
      <c r="M745" s="334"/>
      <c r="N745" s="334"/>
      <c r="O745" s="334"/>
      <c r="P745" s="334"/>
      <c r="Q745" s="334"/>
      <c r="R745" s="334"/>
      <c r="S745" s="334"/>
      <c r="T745" s="334"/>
      <c r="U745" s="334"/>
      <c r="V745" s="334"/>
      <c r="W745" s="334"/>
      <c r="X745" s="334"/>
      <c r="Y745" s="334"/>
      <c r="Z745" s="334"/>
      <c r="AA745" s="334"/>
      <c r="AB745" s="334"/>
      <c r="AC745" s="334"/>
      <c r="AD745" s="334"/>
    </row>
    <row r="746" ht="16.5" customHeight="1">
      <c r="A746" s="334"/>
      <c r="B746" s="329"/>
      <c r="C746" s="329" t="s">
        <v>585</v>
      </c>
      <c r="D746" s="331" t="s">
        <v>585</v>
      </c>
      <c r="E746" s="331" t="s">
        <v>585</v>
      </c>
      <c r="F746" s="331" t="s">
        <v>585</v>
      </c>
      <c r="G746" s="331">
        <f>iferror(sumifs('Hợp tác'!G:G,'Hợp tác'!A:A,B746,'Hợp tác'!H:H,$G$2,'Hợp tác'!I:I,$I$2),"")</f>
        <v>0</v>
      </c>
      <c r="H746" s="332">
        <f>SUMIF(View!J:J,View!B:B,B746)</f>
        <v>0</v>
      </c>
      <c r="I746" s="332">
        <f>sumifs('Hoa Hồng'!L:L,'Hoa Hồng'!A:A,B746)</f>
        <v>0</v>
      </c>
      <c r="J746" s="332">
        <v>0.0</v>
      </c>
      <c r="K746" s="333" t="s">
        <v>1211</v>
      </c>
      <c r="L746" s="334"/>
      <c r="M746" s="334"/>
      <c r="N746" s="334"/>
      <c r="O746" s="334"/>
      <c r="P746" s="334"/>
      <c r="Q746" s="334"/>
      <c r="R746" s="334"/>
      <c r="S746" s="334"/>
      <c r="T746" s="334"/>
      <c r="U746" s="334"/>
      <c r="V746" s="334"/>
      <c r="W746" s="334"/>
      <c r="X746" s="334"/>
      <c r="Y746" s="334"/>
      <c r="Z746" s="334"/>
      <c r="AA746" s="334"/>
      <c r="AB746" s="334"/>
      <c r="AC746" s="334"/>
      <c r="AD746" s="334"/>
    </row>
    <row r="747" ht="16.5" customHeight="1">
      <c r="A747" s="334"/>
      <c r="B747" s="329"/>
      <c r="C747" s="329" t="s">
        <v>585</v>
      </c>
      <c r="D747" s="331" t="s">
        <v>585</v>
      </c>
      <c r="E747" s="331" t="s">
        <v>585</v>
      </c>
      <c r="F747" s="331" t="s">
        <v>585</v>
      </c>
      <c r="G747" s="331">
        <f>iferror(sumifs('Hợp tác'!G:G,'Hợp tác'!A:A,B747,'Hợp tác'!H:H,$G$2,'Hợp tác'!I:I,$I$2),"")</f>
        <v>0</v>
      </c>
      <c r="H747" s="332">
        <f>SUMIF(View!J:J,View!B:B,B747)</f>
        <v>0</v>
      </c>
      <c r="I747" s="332">
        <f>sumifs('Hoa Hồng'!L:L,'Hoa Hồng'!A:A,B747)</f>
        <v>0</v>
      </c>
      <c r="J747" s="332">
        <v>0.0</v>
      </c>
      <c r="K747" s="333" t="s">
        <v>1211</v>
      </c>
      <c r="L747" s="334"/>
      <c r="M747" s="334"/>
      <c r="N747" s="334"/>
      <c r="O747" s="334"/>
      <c r="P747" s="334"/>
      <c r="Q747" s="334"/>
      <c r="R747" s="334"/>
      <c r="S747" s="334"/>
      <c r="T747" s="334"/>
      <c r="U747" s="334"/>
      <c r="V747" s="334"/>
      <c r="W747" s="334"/>
      <c r="X747" s="334"/>
      <c r="Y747" s="334"/>
      <c r="Z747" s="334"/>
      <c r="AA747" s="334"/>
      <c r="AB747" s="334"/>
      <c r="AC747" s="334"/>
      <c r="AD747" s="334"/>
    </row>
    <row r="748" ht="16.5" customHeight="1">
      <c r="A748" s="334"/>
      <c r="B748" s="329"/>
      <c r="C748" s="329" t="s">
        <v>585</v>
      </c>
      <c r="D748" s="331" t="s">
        <v>585</v>
      </c>
      <c r="E748" s="331" t="s">
        <v>585</v>
      </c>
      <c r="F748" s="331" t="s">
        <v>585</v>
      </c>
      <c r="G748" s="331">
        <f>iferror(sumifs('Hợp tác'!G:G,'Hợp tác'!A:A,B748,'Hợp tác'!H:H,$G$2,'Hợp tác'!I:I,$I$2),"")</f>
        <v>0</v>
      </c>
      <c r="H748" s="332">
        <f>SUMIF(View!J:J,View!B:B,B748)</f>
        <v>0</v>
      </c>
      <c r="I748" s="332">
        <f>sumifs('Hoa Hồng'!L:L,'Hoa Hồng'!A:A,B748)</f>
        <v>0</v>
      </c>
      <c r="J748" s="332">
        <v>0.0</v>
      </c>
      <c r="K748" s="333" t="s">
        <v>1211</v>
      </c>
      <c r="L748" s="334"/>
      <c r="M748" s="334"/>
      <c r="N748" s="334"/>
      <c r="O748" s="334"/>
      <c r="P748" s="334"/>
      <c r="Q748" s="334"/>
      <c r="R748" s="334"/>
      <c r="S748" s="334"/>
      <c r="T748" s="334"/>
      <c r="U748" s="334"/>
      <c r="V748" s="334"/>
      <c r="W748" s="334"/>
      <c r="X748" s="334"/>
      <c r="Y748" s="334"/>
      <c r="Z748" s="334"/>
      <c r="AA748" s="334"/>
      <c r="AB748" s="334"/>
      <c r="AC748" s="334"/>
      <c r="AD748" s="334"/>
    </row>
    <row r="749" ht="16.5" customHeight="1">
      <c r="A749" s="334"/>
      <c r="B749" s="329"/>
      <c r="C749" s="329" t="s">
        <v>585</v>
      </c>
      <c r="D749" s="331" t="s">
        <v>585</v>
      </c>
      <c r="E749" s="331" t="s">
        <v>585</v>
      </c>
      <c r="F749" s="331" t="s">
        <v>585</v>
      </c>
      <c r="G749" s="331">
        <f>iferror(sumifs('Hợp tác'!G:G,'Hợp tác'!A:A,B749,'Hợp tác'!H:H,$G$2,'Hợp tác'!I:I,$I$2),"")</f>
        <v>0</v>
      </c>
      <c r="H749" s="332">
        <f>SUMIF(View!J:J,View!B:B,B749)</f>
        <v>0</v>
      </c>
      <c r="I749" s="332">
        <f>sumifs('Hoa Hồng'!L:L,'Hoa Hồng'!A:A,B749)</f>
        <v>0</v>
      </c>
      <c r="J749" s="332">
        <v>0.0</v>
      </c>
      <c r="K749" s="333" t="s">
        <v>1211</v>
      </c>
      <c r="L749" s="334"/>
      <c r="M749" s="334"/>
      <c r="N749" s="334"/>
      <c r="O749" s="334"/>
      <c r="P749" s="334"/>
      <c r="Q749" s="334"/>
      <c r="R749" s="334"/>
      <c r="S749" s="334"/>
      <c r="T749" s="334"/>
      <c r="U749" s="334"/>
      <c r="V749" s="334"/>
      <c r="W749" s="334"/>
      <c r="X749" s="334"/>
      <c r="Y749" s="334"/>
      <c r="Z749" s="334"/>
      <c r="AA749" s="334"/>
      <c r="AB749" s="334"/>
      <c r="AC749" s="334"/>
      <c r="AD749" s="334"/>
    </row>
    <row r="750" ht="16.5" customHeight="1">
      <c r="A750" s="334"/>
      <c r="B750" s="329"/>
      <c r="C750" s="329" t="s">
        <v>585</v>
      </c>
      <c r="D750" s="331" t="s">
        <v>585</v>
      </c>
      <c r="E750" s="331" t="s">
        <v>585</v>
      </c>
      <c r="F750" s="331" t="s">
        <v>585</v>
      </c>
      <c r="G750" s="331">
        <f>iferror(sumifs('Hợp tác'!G:G,'Hợp tác'!A:A,B750,'Hợp tác'!H:H,$G$2,'Hợp tác'!I:I,$I$2),"")</f>
        <v>0</v>
      </c>
      <c r="H750" s="332">
        <f>SUMIF(View!J:J,View!B:B,B750)</f>
        <v>0</v>
      </c>
      <c r="I750" s="332">
        <f>sumifs('Hoa Hồng'!L:L,'Hoa Hồng'!A:A,B750)</f>
        <v>0</v>
      </c>
      <c r="J750" s="332">
        <v>0.0</v>
      </c>
      <c r="K750" s="333" t="s">
        <v>1211</v>
      </c>
      <c r="L750" s="334"/>
      <c r="M750" s="334"/>
      <c r="N750" s="334"/>
      <c r="O750" s="334"/>
      <c r="P750" s="334"/>
      <c r="Q750" s="334"/>
      <c r="R750" s="334"/>
      <c r="S750" s="334"/>
      <c r="T750" s="334"/>
      <c r="U750" s="334"/>
      <c r="V750" s="334"/>
      <c r="W750" s="334"/>
      <c r="X750" s="334"/>
      <c r="Y750" s="334"/>
      <c r="Z750" s="334"/>
      <c r="AA750" s="334"/>
      <c r="AB750" s="334"/>
      <c r="AC750" s="334"/>
      <c r="AD750" s="334"/>
    </row>
    <row r="751" ht="16.5" customHeight="1">
      <c r="A751" s="334"/>
      <c r="B751" s="329"/>
      <c r="C751" s="329" t="s">
        <v>585</v>
      </c>
      <c r="D751" s="331" t="s">
        <v>585</v>
      </c>
      <c r="E751" s="331" t="s">
        <v>585</v>
      </c>
      <c r="F751" s="331" t="s">
        <v>585</v>
      </c>
      <c r="G751" s="331">
        <f>iferror(sumifs('Hợp tác'!G:G,'Hợp tác'!A:A,B751,'Hợp tác'!H:H,$G$2,'Hợp tác'!I:I,$I$2),"")</f>
        <v>0</v>
      </c>
      <c r="H751" s="332">
        <f>SUMIF(View!J:J,View!B:B,B751)</f>
        <v>0</v>
      </c>
      <c r="I751" s="332">
        <f>sumifs('Hoa Hồng'!L:L,'Hoa Hồng'!A:A,B751)</f>
        <v>0</v>
      </c>
      <c r="J751" s="332">
        <v>0.0</v>
      </c>
      <c r="K751" s="333" t="s">
        <v>1211</v>
      </c>
      <c r="L751" s="334"/>
      <c r="M751" s="334"/>
      <c r="N751" s="334"/>
      <c r="O751" s="334"/>
      <c r="P751" s="334"/>
      <c r="Q751" s="334"/>
      <c r="R751" s="334"/>
      <c r="S751" s="334"/>
      <c r="T751" s="334"/>
      <c r="U751" s="334"/>
      <c r="V751" s="334"/>
      <c r="W751" s="334"/>
      <c r="X751" s="334"/>
      <c r="Y751" s="334"/>
      <c r="Z751" s="334"/>
      <c r="AA751" s="334"/>
      <c r="AB751" s="334"/>
      <c r="AC751" s="334"/>
      <c r="AD751" s="334"/>
    </row>
    <row r="752" ht="16.5" customHeight="1">
      <c r="A752" s="334"/>
      <c r="B752" s="329"/>
      <c r="C752" s="329" t="s">
        <v>585</v>
      </c>
      <c r="D752" s="331" t="s">
        <v>585</v>
      </c>
      <c r="E752" s="331" t="s">
        <v>585</v>
      </c>
      <c r="F752" s="331" t="s">
        <v>585</v>
      </c>
      <c r="G752" s="331">
        <f>iferror(sumifs('Hợp tác'!G:G,'Hợp tác'!A:A,B752,'Hợp tác'!H:H,$G$2,'Hợp tác'!I:I,$I$2),"")</f>
        <v>0</v>
      </c>
      <c r="H752" s="332">
        <f>SUMIF(View!J:J,View!B:B,B752)</f>
        <v>0</v>
      </c>
      <c r="I752" s="332">
        <f>sumifs('Hoa Hồng'!L:L,'Hoa Hồng'!A:A,B752)</f>
        <v>0</v>
      </c>
      <c r="J752" s="332">
        <v>0.0</v>
      </c>
      <c r="K752" s="333" t="s">
        <v>1211</v>
      </c>
      <c r="L752" s="334"/>
      <c r="M752" s="334"/>
      <c r="N752" s="334"/>
      <c r="O752" s="334"/>
      <c r="P752" s="334"/>
      <c r="Q752" s="334"/>
      <c r="R752" s="334"/>
      <c r="S752" s="334"/>
      <c r="T752" s="334"/>
      <c r="U752" s="334"/>
      <c r="V752" s="334"/>
      <c r="W752" s="334"/>
      <c r="X752" s="334"/>
      <c r="Y752" s="334"/>
      <c r="Z752" s="334"/>
      <c r="AA752" s="334"/>
      <c r="AB752" s="334"/>
      <c r="AC752" s="334"/>
      <c r="AD752" s="334"/>
    </row>
    <row r="753" ht="16.5" customHeight="1">
      <c r="A753" s="334"/>
      <c r="B753" s="329"/>
      <c r="C753" s="329" t="s">
        <v>585</v>
      </c>
      <c r="D753" s="331" t="s">
        <v>585</v>
      </c>
      <c r="E753" s="331" t="s">
        <v>585</v>
      </c>
      <c r="F753" s="331" t="s">
        <v>585</v>
      </c>
      <c r="G753" s="331">
        <f>iferror(sumifs('Hợp tác'!G:G,'Hợp tác'!A:A,B753,'Hợp tác'!H:H,$G$2,'Hợp tác'!I:I,$I$2),"")</f>
        <v>0</v>
      </c>
      <c r="H753" s="332">
        <f>SUMIF(View!J:J,View!B:B,B753)</f>
        <v>0</v>
      </c>
      <c r="I753" s="332">
        <f>sumifs('Hoa Hồng'!L:L,'Hoa Hồng'!A:A,B753)</f>
        <v>0</v>
      </c>
      <c r="J753" s="332">
        <v>0.0</v>
      </c>
      <c r="K753" s="333" t="s">
        <v>1211</v>
      </c>
      <c r="L753" s="334"/>
      <c r="M753" s="334"/>
      <c r="N753" s="334"/>
      <c r="O753" s="334"/>
      <c r="P753" s="334"/>
      <c r="Q753" s="334"/>
      <c r="R753" s="334"/>
      <c r="S753" s="334"/>
      <c r="T753" s="334"/>
      <c r="U753" s="334"/>
      <c r="V753" s="334"/>
      <c r="W753" s="334"/>
      <c r="X753" s="334"/>
      <c r="Y753" s="334"/>
      <c r="Z753" s="334"/>
      <c r="AA753" s="334"/>
      <c r="AB753" s="334"/>
      <c r="AC753" s="334"/>
      <c r="AD753" s="334"/>
    </row>
    <row r="754" ht="16.5" customHeight="1">
      <c r="A754" s="334"/>
      <c r="B754" s="329"/>
      <c r="C754" s="329" t="s">
        <v>585</v>
      </c>
      <c r="D754" s="331" t="s">
        <v>585</v>
      </c>
      <c r="E754" s="331" t="s">
        <v>585</v>
      </c>
      <c r="F754" s="331" t="s">
        <v>585</v>
      </c>
      <c r="G754" s="331">
        <f>iferror(sumifs('Hợp tác'!G:G,'Hợp tác'!A:A,B754,'Hợp tác'!H:H,$G$2,'Hợp tác'!I:I,$I$2),"")</f>
        <v>0</v>
      </c>
      <c r="H754" s="332">
        <f>SUMIF(View!J:J,View!B:B,B754)</f>
        <v>0</v>
      </c>
      <c r="I754" s="332">
        <f>sumifs('Hoa Hồng'!L:L,'Hoa Hồng'!A:A,B754)</f>
        <v>0</v>
      </c>
      <c r="J754" s="332">
        <v>0.0</v>
      </c>
      <c r="K754" s="333" t="s">
        <v>1211</v>
      </c>
      <c r="L754" s="334"/>
      <c r="M754" s="334"/>
      <c r="N754" s="334"/>
      <c r="O754" s="334"/>
      <c r="P754" s="334"/>
      <c r="Q754" s="334"/>
      <c r="R754" s="334"/>
      <c r="S754" s="334"/>
      <c r="T754" s="334"/>
      <c r="U754" s="334"/>
      <c r="V754" s="334"/>
      <c r="W754" s="334"/>
      <c r="X754" s="334"/>
      <c r="Y754" s="334"/>
      <c r="Z754" s="334"/>
      <c r="AA754" s="334"/>
      <c r="AB754" s="334"/>
      <c r="AC754" s="334"/>
      <c r="AD754" s="334"/>
    </row>
    <row r="755" ht="16.5" customHeight="1">
      <c r="A755" s="334"/>
      <c r="B755" s="329"/>
      <c r="C755" s="329" t="s">
        <v>585</v>
      </c>
      <c r="D755" s="331" t="s">
        <v>585</v>
      </c>
      <c r="E755" s="331" t="s">
        <v>585</v>
      </c>
      <c r="F755" s="331" t="s">
        <v>585</v>
      </c>
      <c r="G755" s="331">
        <f>iferror(sumifs('Hợp tác'!G:G,'Hợp tác'!A:A,B755,'Hợp tác'!H:H,$G$2,'Hợp tác'!I:I,$I$2),"")</f>
        <v>0</v>
      </c>
      <c r="H755" s="332">
        <f>SUMIF(View!J:J,View!B:B,B755)</f>
        <v>0</v>
      </c>
      <c r="I755" s="332">
        <f>sumifs('Hoa Hồng'!L:L,'Hoa Hồng'!A:A,B755)</f>
        <v>0</v>
      </c>
      <c r="J755" s="332">
        <v>0.0</v>
      </c>
      <c r="K755" s="333" t="s">
        <v>1211</v>
      </c>
      <c r="L755" s="334"/>
      <c r="M755" s="334"/>
      <c r="N755" s="334"/>
      <c r="O755" s="334"/>
      <c r="P755" s="334"/>
      <c r="Q755" s="334"/>
      <c r="R755" s="334"/>
      <c r="S755" s="334"/>
      <c r="T755" s="334"/>
      <c r="U755" s="334"/>
      <c r="V755" s="334"/>
      <c r="W755" s="334"/>
      <c r="X755" s="334"/>
      <c r="Y755" s="334"/>
      <c r="Z755" s="334"/>
      <c r="AA755" s="334"/>
      <c r="AB755" s="334"/>
      <c r="AC755" s="334"/>
      <c r="AD755" s="334"/>
    </row>
    <row r="756" ht="16.5" customHeight="1">
      <c r="A756" s="334"/>
      <c r="B756" s="329"/>
      <c r="C756" s="329" t="s">
        <v>585</v>
      </c>
      <c r="D756" s="331" t="s">
        <v>585</v>
      </c>
      <c r="E756" s="331" t="s">
        <v>585</v>
      </c>
      <c r="F756" s="331" t="s">
        <v>585</v>
      </c>
      <c r="G756" s="331">
        <f>iferror(sumifs('Hợp tác'!G:G,'Hợp tác'!A:A,B756,'Hợp tác'!H:H,$G$2,'Hợp tác'!I:I,$I$2),"")</f>
        <v>0</v>
      </c>
      <c r="H756" s="332">
        <f>SUMIF(View!J:J,View!B:B,B756)</f>
        <v>0</v>
      </c>
      <c r="I756" s="332">
        <f>sumifs('Hoa Hồng'!L:L,'Hoa Hồng'!A:A,B756)</f>
        <v>0</v>
      </c>
      <c r="J756" s="332">
        <v>0.0</v>
      </c>
      <c r="K756" s="333" t="s">
        <v>1211</v>
      </c>
      <c r="L756" s="334"/>
      <c r="M756" s="334"/>
      <c r="N756" s="334"/>
      <c r="O756" s="334"/>
      <c r="P756" s="334"/>
      <c r="Q756" s="334"/>
      <c r="R756" s="334"/>
      <c r="S756" s="334"/>
      <c r="T756" s="334"/>
      <c r="U756" s="334"/>
      <c r="V756" s="334"/>
      <c r="W756" s="334"/>
      <c r="X756" s="334"/>
      <c r="Y756" s="334"/>
      <c r="Z756" s="334"/>
      <c r="AA756" s="334"/>
      <c r="AB756" s="334"/>
      <c r="AC756" s="334"/>
      <c r="AD756" s="334"/>
    </row>
    <row r="757" ht="16.5" customHeight="1">
      <c r="A757" s="334"/>
      <c r="B757" s="329"/>
      <c r="C757" s="329" t="s">
        <v>585</v>
      </c>
      <c r="D757" s="331" t="s">
        <v>585</v>
      </c>
      <c r="E757" s="331" t="s">
        <v>585</v>
      </c>
      <c r="F757" s="331" t="s">
        <v>585</v>
      </c>
      <c r="G757" s="331">
        <f>iferror(sumifs('Hợp tác'!G:G,'Hợp tác'!A:A,B757,'Hợp tác'!H:H,$G$2,'Hợp tác'!I:I,$I$2),"")</f>
        <v>0</v>
      </c>
      <c r="H757" s="332">
        <f>SUMIF(View!J:J,View!B:B,B757)</f>
        <v>0</v>
      </c>
      <c r="I757" s="332">
        <f>sumifs('Hoa Hồng'!L:L,'Hoa Hồng'!A:A,B757)</f>
        <v>0</v>
      </c>
      <c r="J757" s="332">
        <v>0.0</v>
      </c>
      <c r="K757" s="333" t="s">
        <v>1211</v>
      </c>
      <c r="L757" s="334"/>
      <c r="M757" s="334"/>
      <c r="N757" s="334"/>
      <c r="O757" s="334"/>
      <c r="P757" s="334"/>
      <c r="Q757" s="334"/>
      <c r="R757" s="334"/>
      <c r="S757" s="334"/>
      <c r="T757" s="334"/>
      <c r="U757" s="334"/>
      <c r="V757" s="334"/>
      <c r="W757" s="334"/>
      <c r="X757" s="334"/>
      <c r="Y757" s="334"/>
      <c r="Z757" s="334"/>
      <c r="AA757" s="334"/>
      <c r="AB757" s="334"/>
      <c r="AC757" s="334"/>
      <c r="AD757" s="334"/>
    </row>
    <row r="758" ht="16.5" customHeight="1">
      <c r="A758" s="334"/>
      <c r="B758" s="329"/>
      <c r="C758" s="329" t="s">
        <v>585</v>
      </c>
      <c r="D758" s="331" t="s">
        <v>585</v>
      </c>
      <c r="E758" s="331" t="s">
        <v>585</v>
      </c>
      <c r="F758" s="331" t="s">
        <v>585</v>
      </c>
      <c r="G758" s="331">
        <f>iferror(sumifs('Hợp tác'!G:G,'Hợp tác'!A:A,B758,'Hợp tác'!H:H,$G$2,'Hợp tác'!I:I,$I$2),"")</f>
        <v>0</v>
      </c>
      <c r="H758" s="332">
        <f>SUMIF(View!J:J,View!B:B,B758)</f>
        <v>0</v>
      </c>
      <c r="I758" s="332">
        <f>sumifs('Hoa Hồng'!L:L,'Hoa Hồng'!A:A,B758)</f>
        <v>0</v>
      </c>
      <c r="J758" s="332">
        <v>0.0</v>
      </c>
      <c r="K758" s="333" t="s">
        <v>1211</v>
      </c>
      <c r="L758" s="334"/>
      <c r="M758" s="334"/>
      <c r="N758" s="334"/>
      <c r="O758" s="334"/>
      <c r="P758" s="334"/>
      <c r="Q758" s="334"/>
      <c r="R758" s="334"/>
      <c r="S758" s="334"/>
      <c r="T758" s="334"/>
      <c r="U758" s="334"/>
      <c r="V758" s="334"/>
      <c r="W758" s="334"/>
      <c r="X758" s="334"/>
      <c r="Y758" s="334"/>
      <c r="Z758" s="334"/>
      <c r="AA758" s="334"/>
      <c r="AB758" s="334"/>
      <c r="AC758" s="334"/>
      <c r="AD758" s="334"/>
    </row>
    <row r="759" ht="16.5" customHeight="1">
      <c r="A759" s="334"/>
      <c r="B759" s="329"/>
      <c r="C759" s="329" t="s">
        <v>585</v>
      </c>
      <c r="D759" s="331" t="s">
        <v>585</v>
      </c>
      <c r="E759" s="331" t="s">
        <v>585</v>
      </c>
      <c r="F759" s="331" t="s">
        <v>585</v>
      </c>
      <c r="G759" s="331">
        <f>iferror(sumifs('Hợp tác'!G:G,'Hợp tác'!A:A,B759,'Hợp tác'!H:H,$G$2,'Hợp tác'!I:I,$I$2),"")</f>
        <v>0</v>
      </c>
      <c r="H759" s="332">
        <f>SUMIF(View!J:J,View!B:B,B759)</f>
        <v>0</v>
      </c>
      <c r="I759" s="332">
        <f>sumifs('Hoa Hồng'!L:L,'Hoa Hồng'!A:A,B759)</f>
        <v>0</v>
      </c>
      <c r="J759" s="332">
        <v>0.0</v>
      </c>
      <c r="K759" s="333" t="s">
        <v>1211</v>
      </c>
      <c r="L759" s="334"/>
      <c r="M759" s="334"/>
      <c r="N759" s="334"/>
      <c r="O759" s="334"/>
      <c r="P759" s="334"/>
      <c r="Q759" s="334"/>
      <c r="R759" s="334"/>
      <c r="S759" s="334"/>
      <c r="T759" s="334"/>
      <c r="U759" s="334"/>
      <c r="V759" s="334"/>
      <c r="W759" s="334"/>
      <c r="X759" s="334"/>
      <c r="Y759" s="334"/>
      <c r="Z759" s="334"/>
      <c r="AA759" s="334"/>
      <c r="AB759" s="334"/>
      <c r="AC759" s="334"/>
      <c r="AD759" s="334"/>
    </row>
    <row r="760" ht="16.5" customHeight="1">
      <c r="A760" s="334"/>
      <c r="B760" s="329"/>
      <c r="C760" s="329" t="s">
        <v>585</v>
      </c>
      <c r="D760" s="331" t="s">
        <v>585</v>
      </c>
      <c r="E760" s="331" t="s">
        <v>585</v>
      </c>
      <c r="F760" s="331" t="s">
        <v>585</v>
      </c>
      <c r="G760" s="331">
        <f>iferror(sumifs('Hợp tác'!G:G,'Hợp tác'!A:A,B760,'Hợp tác'!H:H,$G$2,'Hợp tác'!I:I,$I$2),"")</f>
        <v>0</v>
      </c>
      <c r="H760" s="332">
        <f>SUMIF(View!J:J,View!B:B,B760)</f>
        <v>0</v>
      </c>
      <c r="I760" s="332">
        <f>sumifs('Hoa Hồng'!L:L,'Hoa Hồng'!A:A,B760)</f>
        <v>0</v>
      </c>
      <c r="J760" s="332">
        <v>0.0</v>
      </c>
      <c r="K760" s="333" t="s">
        <v>1211</v>
      </c>
      <c r="L760" s="334"/>
      <c r="M760" s="334"/>
      <c r="N760" s="334"/>
      <c r="O760" s="334"/>
      <c r="P760" s="334"/>
      <c r="Q760" s="334"/>
      <c r="R760" s="334"/>
      <c r="S760" s="334"/>
      <c r="T760" s="334"/>
      <c r="U760" s="334"/>
      <c r="V760" s="334"/>
      <c r="W760" s="334"/>
      <c r="X760" s="334"/>
      <c r="Y760" s="334"/>
      <c r="Z760" s="334"/>
      <c r="AA760" s="334"/>
      <c r="AB760" s="334"/>
      <c r="AC760" s="334"/>
      <c r="AD760" s="334"/>
    </row>
    <row r="761" ht="16.5" customHeight="1">
      <c r="A761" s="334"/>
      <c r="B761" s="329"/>
      <c r="C761" s="329" t="s">
        <v>585</v>
      </c>
      <c r="D761" s="331" t="s">
        <v>585</v>
      </c>
      <c r="E761" s="331" t="s">
        <v>585</v>
      </c>
      <c r="F761" s="331" t="s">
        <v>585</v>
      </c>
      <c r="G761" s="331">
        <f>iferror(sumifs('Hợp tác'!G:G,'Hợp tác'!A:A,B761,'Hợp tác'!H:H,$G$2,'Hợp tác'!I:I,$I$2),"")</f>
        <v>0</v>
      </c>
      <c r="H761" s="332">
        <f>SUMIF(View!J:J,View!B:B,B761)</f>
        <v>0</v>
      </c>
      <c r="I761" s="332">
        <f>sumifs('Hoa Hồng'!L:L,'Hoa Hồng'!A:A,B761)</f>
        <v>0</v>
      </c>
      <c r="J761" s="332">
        <v>0.0</v>
      </c>
      <c r="K761" s="333" t="s">
        <v>1211</v>
      </c>
      <c r="L761" s="334"/>
      <c r="M761" s="334"/>
      <c r="N761" s="334"/>
      <c r="O761" s="334"/>
      <c r="P761" s="334"/>
      <c r="Q761" s="334"/>
      <c r="R761" s="334"/>
      <c r="S761" s="334"/>
      <c r="T761" s="334"/>
      <c r="U761" s="334"/>
      <c r="V761" s="334"/>
      <c r="W761" s="334"/>
      <c r="X761" s="334"/>
      <c r="Y761" s="334"/>
      <c r="Z761" s="334"/>
      <c r="AA761" s="334"/>
      <c r="AB761" s="334"/>
      <c r="AC761" s="334"/>
      <c r="AD761" s="334"/>
    </row>
    <row r="762" ht="16.5" customHeight="1">
      <c r="A762" s="334"/>
      <c r="B762" s="329"/>
      <c r="C762" s="329" t="s">
        <v>585</v>
      </c>
      <c r="D762" s="331" t="s">
        <v>585</v>
      </c>
      <c r="E762" s="331" t="s">
        <v>585</v>
      </c>
      <c r="F762" s="331" t="s">
        <v>585</v>
      </c>
      <c r="G762" s="331">
        <f>iferror(sumifs('Hợp tác'!G:G,'Hợp tác'!A:A,B762,'Hợp tác'!H:H,$G$2,'Hợp tác'!I:I,$I$2),"")</f>
        <v>0</v>
      </c>
      <c r="H762" s="332">
        <f>SUMIF(View!J:J,View!B:B,B762)</f>
        <v>0</v>
      </c>
      <c r="I762" s="332">
        <f>sumifs('Hoa Hồng'!L:L,'Hoa Hồng'!A:A,B762)</f>
        <v>0</v>
      </c>
      <c r="J762" s="332">
        <v>0.0</v>
      </c>
      <c r="K762" s="333" t="s">
        <v>1211</v>
      </c>
      <c r="L762" s="334"/>
      <c r="M762" s="334"/>
      <c r="N762" s="334"/>
      <c r="O762" s="334"/>
      <c r="P762" s="334"/>
      <c r="Q762" s="334"/>
      <c r="R762" s="334"/>
      <c r="S762" s="334"/>
      <c r="T762" s="334"/>
      <c r="U762" s="334"/>
      <c r="V762" s="334"/>
      <c r="W762" s="334"/>
      <c r="X762" s="334"/>
      <c r="Y762" s="334"/>
      <c r="Z762" s="334"/>
      <c r="AA762" s="334"/>
      <c r="AB762" s="334"/>
      <c r="AC762" s="334"/>
      <c r="AD762" s="334"/>
    </row>
    <row r="763" ht="16.5" customHeight="1">
      <c r="A763" s="334"/>
      <c r="B763" s="329"/>
      <c r="C763" s="329" t="s">
        <v>585</v>
      </c>
      <c r="D763" s="331" t="s">
        <v>585</v>
      </c>
      <c r="E763" s="331" t="s">
        <v>585</v>
      </c>
      <c r="F763" s="331" t="s">
        <v>585</v>
      </c>
      <c r="G763" s="331">
        <f>iferror(sumifs('Hợp tác'!G:G,'Hợp tác'!A:A,B763,'Hợp tác'!H:H,$G$2,'Hợp tác'!I:I,$I$2),"")</f>
        <v>0</v>
      </c>
      <c r="H763" s="332">
        <f>SUMIF(View!J:J,View!B:B,B763)</f>
        <v>0</v>
      </c>
      <c r="I763" s="332">
        <f>sumifs('Hoa Hồng'!L:L,'Hoa Hồng'!A:A,B763)</f>
        <v>0</v>
      </c>
      <c r="J763" s="332">
        <v>0.0</v>
      </c>
      <c r="K763" s="333" t="s">
        <v>1211</v>
      </c>
      <c r="L763" s="334"/>
      <c r="M763" s="334"/>
      <c r="N763" s="334"/>
      <c r="O763" s="334"/>
      <c r="P763" s="334"/>
      <c r="Q763" s="334"/>
      <c r="R763" s="334"/>
      <c r="S763" s="334"/>
      <c r="T763" s="334"/>
      <c r="U763" s="334"/>
      <c r="V763" s="334"/>
      <c r="W763" s="334"/>
      <c r="X763" s="334"/>
      <c r="Y763" s="334"/>
      <c r="Z763" s="334"/>
      <c r="AA763" s="334"/>
      <c r="AB763" s="334"/>
      <c r="AC763" s="334"/>
      <c r="AD763" s="334"/>
    </row>
    <row r="764" ht="16.5" customHeight="1">
      <c r="A764" s="334"/>
      <c r="B764" s="329"/>
      <c r="C764" s="329" t="s">
        <v>585</v>
      </c>
      <c r="D764" s="331" t="s">
        <v>585</v>
      </c>
      <c r="E764" s="331" t="s">
        <v>585</v>
      </c>
      <c r="F764" s="331" t="s">
        <v>585</v>
      </c>
      <c r="G764" s="331">
        <f>iferror(sumifs('Hợp tác'!G:G,'Hợp tác'!A:A,B764,'Hợp tác'!H:H,$G$2,'Hợp tác'!I:I,$I$2),"")</f>
        <v>0</v>
      </c>
      <c r="H764" s="332">
        <f>SUMIF(View!J:J,View!B:B,B764)</f>
        <v>0</v>
      </c>
      <c r="I764" s="332">
        <f>sumifs('Hoa Hồng'!L:L,'Hoa Hồng'!A:A,B764)</f>
        <v>0</v>
      </c>
      <c r="J764" s="332">
        <v>0.0</v>
      </c>
      <c r="K764" s="333" t="s">
        <v>1211</v>
      </c>
      <c r="L764" s="334"/>
      <c r="M764" s="334"/>
      <c r="N764" s="334"/>
      <c r="O764" s="334"/>
      <c r="P764" s="334"/>
      <c r="Q764" s="334"/>
      <c r="R764" s="334"/>
      <c r="S764" s="334"/>
      <c r="T764" s="334"/>
      <c r="U764" s="334"/>
      <c r="V764" s="334"/>
      <c r="W764" s="334"/>
      <c r="X764" s="334"/>
      <c r="Y764" s="334"/>
      <c r="Z764" s="334"/>
      <c r="AA764" s="334"/>
      <c r="AB764" s="334"/>
      <c r="AC764" s="334"/>
      <c r="AD764" s="334"/>
    </row>
    <row r="765" ht="16.5" customHeight="1">
      <c r="A765" s="334"/>
      <c r="B765" s="329"/>
      <c r="C765" s="329" t="s">
        <v>585</v>
      </c>
      <c r="D765" s="331" t="s">
        <v>585</v>
      </c>
      <c r="E765" s="331" t="s">
        <v>585</v>
      </c>
      <c r="F765" s="331" t="s">
        <v>585</v>
      </c>
      <c r="G765" s="331">
        <f>iferror(sumifs('Hợp tác'!G:G,'Hợp tác'!A:A,B765,'Hợp tác'!H:H,$G$2,'Hợp tác'!I:I,$I$2),"")</f>
        <v>0</v>
      </c>
      <c r="H765" s="332">
        <f>SUMIF(View!J:J,View!B:B,B765)</f>
        <v>0</v>
      </c>
      <c r="I765" s="332">
        <f>sumifs('Hoa Hồng'!L:L,'Hoa Hồng'!A:A,B765)</f>
        <v>0</v>
      </c>
      <c r="J765" s="332">
        <v>0.0</v>
      </c>
      <c r="K765" s="333" t="s">
        <v>1211</v>
      </c>
      <c r="L765" s="334"/>
      <c r="M765" s="334"/>
      <c r="N765" s="334"/>
      <c r="O765" s="334"/>
      <c r="P765" s="334"/>
      <c r="Q765" s="334"/>
      <c r="R765" s="334"/>
      <c r="S765" s="334"/>
      <c r="T765" s="334"/>
      <c r="U765" s="334"/>
      <c r="V765" s="334"/>
      <c r="W765" s="334"/>
      <c r="X765" s="334"/>
      <c r="Y765" s="334"/>
      <c r="Z765" s="334"/>
      <c r="AA765" s="334"/>
      <c r="AB765" s="334"/>
      <c r="AC765" s="334"/>
      <c r="AD765" s="334"/>
    </row>
    <row r="766" ht="16.5" customHeight="1">
      <c r="A766" s="334"/>
      <c r="B766" s="329"/>
      <c r="C766" s="329" t="s">
        <v>585</v>
      </c>
      <c r="D766" s="331" t="s">
        <v>585</v>
      </c>
      <c r="E766" s="331" t="s">
        <v>585</v>
      </c>
      <c r="F766" s="331" t="s">
        <v>585</v>
      </c>
      <c r="G766" s="331">
        <f>iferror(sumifs('Hợp tác'!G:G,'Hợp tác'!A:A,B766,'Hợp tác'!H:H,$G$2,'Hợp tác'!I:I,$I$2),"")</f>
        <v>0</v>
      </c>
      <c r="H766" s="332">
        <f>SUMIF(View!J:J,View!B:B,B766)</f>
        <v>0</v>
      </c>
      <c r="I766" s="332">
        <f>sumifs('Hoa Hồng'!L:L,'Hoa Hồng'!A:A,B766)</f>
        <v>0</v>
      </c>
      <c r="J766" s="332">
        <v>0.0</v>
      </c>
      <c r="K766" s="333" t="s">
        <v>1211</v>
      </c>
      <c r="L766" s="334"/>
      <c r="M766" s="334"/>
      <c r="N766" s="334"/>
      <c r="O766" s="334"/>
      <c r="P766" s="334"/>
      <c r="Q766" s="334"/>
      <c r="R766" s="334"/>
      <c r="S766" s="334"/>
      <c r="T766" s="334"/>
      <c r="U766" s="334"/>
      <c r="V766" s="334"/>
      <c r="W766" s="334"/>
      <c r="X766" s="334"/>
      <c r="Y766" s="334"/>
      <c r="Z766" s="334"/>
      <c r="AA766" s="334"/>
      <c r="AB766" s="334"/>
      <c r="AC766" s="334"/>
      <c r="AD766" s="334"/>
    </row>
    <row r="767" ht="16.5" customHeight="1">
      <c r="A767" s="334"/>
      <c r="B767" s="329"/>
      <c r="C767" s="329" t="s">
        <v>585</v>
      </c>
      <c r="D767" s="331" t="s">
        <v>585</v>
      </c>
      <c r="E767" s="331" t="s">
        <v>585</v>
      </c>
      <c r="F767" s="331" t="s">
        <v>585</v>
      </c>
      <c r="G767" s="331">
        <f>iferror(sumifs('Hợp tác'!G:G,'Hợp tác'!A:A,B767,'Hợp tác'!H:H,$G$2,'Hợp tác'!I:I,$I$2),"")</f>
        <v>0</v>
      </c>
      <c r="H767" s="332">
        <f>SUMIF(View!J:J,View!B:B,B767)</f>
        <v>0</v>
      </c>
      <c r="I767" s="332">
        <f>sumifs('Hoa Hồng'!L:L,'Hoa Hồng'!A:A,B767)</f>
        <v>0</v>
      </c>
      <c r="J767" s="332">
        <v>0.0</v>
      </c>
      <c r="K767" s="333" t="s">
        <v>1211</v>
      </c>
      <c r="L767" s="334"/>
      <c r="M767" s="334"/>
      <c r="N767" s="334"/>
      <c r="O767" s="334"/>
      <c r="P767" s="334"/>
      <c r="Q767" s="334"/>
      <c r="R767" s="334"/>
      <c r="S767" s="334"/>
      <c r="T767" s="334"/>
      <c r="U767" s="334"/>
      <c r="V767" s="334"/>
      <c r="W767" s="334"/>
      <c r="X767" s="334"/>
      <c r="Y767" s="334"/>
      <c r="Z767" s="334"/>
      <c r="AA767" s="334"/>
      <c r="AB767" s="334"/>
      <c r="AC767" s="334"/>
      <c r="AD767" s="334"/>
    </row>
    <row r="768" ht="16.5" customHeight="1">
      <c r="A768" s="334"/>
      <c r="B768" s="329"/>
      <c r="C768" s="329" t="s">
        <v>585</v>
      </c>
      <c r="D768" s="331" t="s">
        <v>585</v>
      </c>
      <c r="E768" s="331" t="s">
        <v>585</v>
      </c>
      <c r="F768" s="331" t="s">
        <v>585</v>
      </c>
      <c r="G768" s="331">
        <f>iferror(sumifs('Hợp tác'!G:G,'Hợp tác'!A:A,B768,'Hợp tác'!H:H,$G$2,'Hợp tác'!I:I,$I$2),"")</f>
        <v>0</v>
      </c>
      <c r="H768" s="332">
        <f>SUMIF(View!J:J,View!B:B,B768)</f>
        <v>0</v>
      </c>
      <c r="I768" s="332">
        <f>sumifs('Hoa Hồng'!L:L,'Hoa Hồng'!A:A,B768)</f>
        <v>0</v>
      </c>
      <c r="J768" s="332">
        <v>0.0</v>
      </c>
      <c r="K768" s="333" t="s">
        <v>1211</v>
      </c>
      <c r="L768" s="334"/>
      <c r="M768" s="334"/>
      <c r="N768" s="334"/>
      <c r="O768" s="334"/>
      <c r="P768" s="334"/>
      <c r="Q768" s="334"/>
      <c r="R768" s="334"/>
      <c r="S768" s="334"/>
      <c r="T768" s="334"/>
      <c r="U768" s="334"/>
      <c r="V768" s="334"/>
      <c r="W768" s="334"/>
      <c r="X768" s="334"/>
      <c r="Y768" s="334"/>
      <c r="Z768" s="334"/>
      <c r="AA768" s="334"/>
      <c r="AB768" s="334"/>
      <c r="AC768" s="334"/>
      <c r="AD768" s="334"/>
    </row>
    <row r="769" ht="16.5" customHeight="1">
      <c r="A769" s="334"/>
      <c r="B769" s="329"/>
      <c r="C769" s="329" t="s">
        <v>585</v>
      </c>
      <c r="D769" s="331" t="s">
        <v>585</v>
      </c>
      <c r="E769" s="331" t="s">
        <v>585</v>
      </c>
      <c r="F769" s="331" t="s">
        <v>585</v>
      </c>
      <c r="G769" s="331">
        <f>iferror(sumifs('Hợp tác'!G:G,'Hợp tác'!A:A,B769,'Hợp tác'!H:H,$G$2,'Hợp tác'!I:I,$I$2),"")</f>
        <v>0</v>
      </c>
      <c r="H769" s="332">
        <f>SUMIF(View!J:J,View!B:B,B769)</f>
        <v>0</v>
      </c>
      <c r="I769" s="332">
        <f>sumifs('Hoa Hồng'!L:L,'Hoa Hồng'!A:A,B769)</f>
        <v>0</v>
      </c>
      <c r="J769" s="332">
        <v>0.0</v>
      </c>
      <c r="K769" s="333" t="s">
        <v>1211</v>
      </c>
      <c r="L769" s="334"/>
      <c r="M769" s="334"/>
      <c r="N769" s="334"/>
      <c r="O769" s="334"/>
      <c r="P769" s="334"/>
      <c r="Q769" s="334"/>
      <c r="R769" s="334"/>
      <c r="S769" s="334"/>
      <c r="T769" s="334"/>
      <c r="U769" s="334"/>
      <c r="V769" s="334"/>
      <c r="W769" s="334"/>
      <c r="X769" s="334"/>
      <c r="Y769" s="334"/>
      <c r="Z769" s="334"/>
      <c r="AA769" s="334"/>
      <c r="AB769" s="334"/>
      <c r="AC769" s="334"/>
      <c r="AD769" s="334"/>
    </row>
    <row r="770" ht="16.5" customHeight="1">
      <c r="A770" s="334"/>
      <c r="B770" s="329"/>
      <c r="C770" s="329" t="s">
        <v>585</v>
      </c>
      <c r="D770" s="331" t="s">
        <v>585</v>
      </c>
      <c r="E770" s="331" t="s">
        <v>585</v>
      </c>
      <c r="F770" s="331" t="s">
        <v>585</v>
      </c>
      <c r="G770" s="331">
        <f>iferror(sumifs('Hợp tác'!G:G,'Hợp tác'!A:A,B770,'Hợp tác'!H:H,$G$2,'Hợp tác'!I:I,$I$2),"")</f>
        <v>0</v>
      </c>
      <c r="H770" s="332">
        <f>SUMIF(View!J:J,View!B:B,B770)</f>
        <v>0</v>
      </c>
      <c r="I770" s="332">
        <f>sumifs('Hoa Hồng'!L:L,'Hoa Hồng'!A:A,B770)</f>
        <v>0</v>
      </c>
      <c r="J770" s="332">
        <v>0.0</v>
      </c>
      <c r="K770" s="333" t="s">
        <v>1211</v>
      </c>
      <c r="L770" s="334"/>
      <c r="M770" s="334"/>
      <c r="N770" s="334"/>
      <c r="O770" s="334"/>
      <c r="P770" s="334"/>
      <c r="Q770" s="334"/>
      <c r="R770" s="334"/>
      <c r="S770" s="334"/>
      <c r="T770" s="334"/>
      <c r="U770" s="334"/>
      <c r="V770" s="334"/>
      <c r="W770" s="334"/>
      <c r="X770" s="334"/>
      <c r="Y770" s="334"/>
      <c r="Z770" s="334"/>
      <c r="AA770" s="334"/>
      <c r="AB770" s="334"/>
      <c r="AC770" s="334"/>
      <c r="AD770" s="334"/>
    </row>
    <row r="771" ht="16.5" customHeight="1">
      <c r="A771" s="334"/>
      <c r="B771" s="329"/>
      <c r="C771" s="329" t="s">
        <v>585</v>
      </c>
      <c r="D771" s="331" t="s">
        <v>585</v>
      </c>
      <c r="E771" s="331" t="s">
        <v>585</v>
      </c>
      <c r="F771" s="331" t="s">
        <v>585</v>
      </c>
      <c r="G771" s="331">
        <f>iferror(sumifs('Hợp tác'!G:G,'Hợp tác'!A:A,B771,'Hợp tác'!H:H,$G$2,'Hợp tác'!I:I,$I$2),"")</f>
        <v>0</v>
      </c>
      <c r="H771" s="332">
        <f>SUMIF(View!J:J,View!B:B,B771)</f>
        <v>0</v>
      </c>
      <c r="I771" s="332">
        <f>sumifs('Hoa Hồng'!L:L,'Hoa Hồng'!A:A,B771)</f>
        <v>0</v>
      </c>
      <c r="J771" s="332">
        <v>0.0</v>
      </c>
      <c r="K771" s="333" t="s">
        <v>1211</v>
      </c>
      <c r="L771" s="334"/>
      <c r="M771" s="334"/>
      <c r="N771" s="334"/>
      <c r="O771" s="334"/>
      <c r="P771" s="334"/>
      <c r="Q771" s="334"/>
      <c r="R771" s="334"/>
      <c r="S771" s="334"/>
      <c r="T771" s="334"/>
      <c r="U771" s="334"/>
      <c r="V771" s="334"/>
      <c r="W771" s="334"/>
      <c r="X771" s="334"/>
      <c r="Y771" s="334"/>
      <c r="Z771" s="334"/>
      <c r="AA771" s="334"/>
      <c r="AB771" s="334"/>
      <c r="AC771" s="334"/>
      <c r="AD771" s="334"/>
    </row>
    <row r="772" ht="16.5" customHeight="1">
      <c r="A772" s="334"/>
      <c r="B772" s="329"/>
      <c r="C772" s="329" t="s">
        <v>585</v>
      </c>
      <c r="D772" s="331" t="s">
        <v>585</v>
      </c>
      <c r="E772" s="331" t="s">
        <v>585</v>
      </c>
      <c r="F772" s="331" t="s">
        <v>585</v>
      </c>
      <c r="G772" s="331">
        <f>iferror(sumifs('Hợp tác'!G:G,'Hợp tác'!A:A,B772,'Hợp tác'!H:H,$G$2,'Hợp tác'!I:I,$I$2),"")</f>
        <v>0</v>
      </c>
      <c r="H772" s="332">
        <f>SUMIF(View!J:J,View!B:B,B772)</f>
        <v>0</v>
      </c>
      <c r="I772" s="332">
        <f>sumifs('Hoa Hồng'!L:L,'Hoa Hồng'!A:A,B772)</f>
        <v>0</v>
      </c>
      <c r="J772" s="332">
        <v>0.0</v>
      </c>
      <c r="K772" s="333" t="s">
        <v>1211</v>
      </c>
      <c r="L772" s="334"/>
      <c r="M772" s="334"/>
      <c r="N772" s="334"/>
      <c r="O772" s="334"/>
      <c r="P772" s="334"/>
      <c r="Q772" s="334"/>
      <c r="R772" s="334"/>
      <c r="S772" s="334"/>
      <c r="T772" s="334"/>
      <c r="U772" s="334"/>
      <c r="V772" s="334"/>
      <c r="W772" s="334"/>
      <c r="X772" s="334"/>
      <c r="Y772" s="334"/>
      <c r="Z772" s="334"/>
      <c r="AA772" s="334"/>
      <c r="AB772" s="334"/>
      <c r="AC772" s="334"/>
      <c r="AD772" s="334"/>
    </row>
    <row r="773" ht="16.5" customHeight="1">
      <c r="A773" s="334"/>
      <c r="B773" s="329"/>
      <c r="C773" s="329" t="s">
        <v>585</v>
      </c>
      <c r="D773" s="331" t="s">
        <v>585</v>
      </c>
      <c r="E773" s="331" t="s">
        <v>585</v>
      </c>
      <c r="F773" s="331" t="s">
        <v>585</v>
      </c>
      <c r="G773" s="331">
        <f>iferror(sumifs('Hợp tác'!G:G,'Hợp tác'!A:A,B773,'Hợp tác'!H:H,$G$2,'Hợp tác'!I:I,$I$2),"")</f>
        <v>0</v>
      </c>
      <c r="H773" s="332">
        <f>SUMIF(View!J:J,View!B:B,B773)</f>
        <v>0</v>
      </c>
      <c r="I773" s="332">
        <f>sumifs('Hoa Hồng'!L:L,'Hoa Hồng'!A:A,B773)</f>
        <v>0</v>
      </c>
      <c r="J773" s="332">
        <v>0.0</v>
      </c>
      <c r="K773" s="333" t="s">
        <v>1211</v>
      </c>
      <c r="L773" s="334"/>
      <c r="M773" s="334"/>
      <c r="N773" s="334"/>
      <c r="O773" s="334"/>
      <c r="P773" s="334"/>
      <c r="Q773" s="334"/>
      <c r="R773" s="334"/>
      <c r="S773" s="334"/>
      <c r="T773" s="334"/>
      <c r="U773" s="334"/>
      <c r="V773" s="334"/>
      <c r="W773" s="334"/>
      <c r="X773" s="334"/>
      <c r="Y773" s="334"/>
      <c r="Z773" s="334"/>
      <c r="AA773" s="334"/>
      <c r="AB773" s="334"/>
      <c r="AC773" s="334"/>
      <c r="AD773" s="334"/>
    </row>
    <row r="774" ht="16.5" customHeight="1">
      <c r="A774" s="334"/>
      <c r="B774" s="329"/>
      <c r="C774" s="329" t="s">
        <v>585</v>
      </c>
      <c r="D774" s="331" t="s">
        <v>585</v>
      </c>
      <c r="E774" s="331" t="s">
        <v>585</v>
      </c>
      <c r="F774" s="331" t="s">
        <v>585</v>
      </c>
      <c r="G774" s="331">
        <f>iferror(sumifs('Hợp tác'!G:G,'Hợp tác'!A:A,B774,'Hợp tác'!H:H,$G$2,'Hợp tác'!I:I,$I$2),"")</f>
        <v>0</v>
      </c>
      <c r="H774" s="332">
        <f>SUMIF(View!J:J,View!B:B,B774)</f>
        <v>0</v>
      </c>
      <c r="I774" s="332">
        <f>sumifs('Hoa Hồng'!L:L,'Hoa Hồng'!A:A,B774)</f>
        <v>0</v>
      </c>
      <c r="J774" s="332">
        <v>0.0</v>
      </c>
      <c r="K774" s="333" t="s">
        <v>1211</v>
      </c>
      <c r="L774" s="334"/>
      <c r="M774" s="334"/>
      <c r="N774" s="334"/>
      <c r="O774" s="334"/>
      <c r="P774" s="334"/>
      <c r="Q774" s="334"/>
      <c r="R774" s="334"/>
      <c r="S774" s="334"/>
      <c r="T774" s="334"/>
      <c r="U774" s="334"/>
      <c r="V774" s="334"/>
      <c r="W774" s="334"/>
      <c r="X774" s="334"/>
      <c r="Y774" s="334"/>
      <c r="Z774" s="334"/>
      <c r="AA774" s="334"/>
      <c r="AB774" s="334"/>
      <c r="AC774" s="334"/>
      <c r="AD774" s="334"/>
    </row>
    <row r="775" ht="16.5" customHeight="1">
      <c r="A775" s="334"/>
      <c r="B775" s="329"/>
      <c r="C775" s="329" t="s">
        <v>585</v>
      </c>
      <c r="D775" s="331" t="s">
        <v>585</v>
      </c>
      <c r="E775" s="331" t="s">
        <v>585</v>
      </c>
      <c r="F775" s="331" t="s">
        <v>585</v>
      </c>
      <c r="G775" s="331">
        <f>iferror(sumifs('Hợp tác'!G:G,'Hợp tác'!A:A,B775,'Hợp tác'!H:H,$G$2,'Hợp tác'!I:I,$I$2),"")</f>
        <v>0</v>
      </c>
      <c r="H775" s="332">
        <f>SUMIF(View!J:J,View!B:B,B775)</f>
        <v>0</v>
      </c>
      <c r="I775" s="332">
        <f>sumifs('Hoa Hồng'!L:L,'Hoa Hồng'!A:A,B775)</f>
        <v>0</v>
      </c>
      <c r="J775" s="332">
        <v>0.0</v>
      </c>
      <c r="K775" s="333" t="s">
        <v>1211</v>
      </c>
      <c r="L775" s="334"/>
      <c r="M775" s="334"/>
      <c r="N775" s="334"/>
      <c r="O775" s="334"/>
      <c r="P775" s="334"/>
      <c r="Q775" s="334"/>
      <c r="R775" s="334"/>
      <c r="S775" s="334"/>
      <c r="T775" s="334"/>
      <c r="U775" s="334"/>
      <c r="V775" s="334"/>
      <c r="W775" s="334"/>
      <c r="X775" s="334"/>
      <c r="Y775" s="334"/>
      <c r="Z775" s="334"/>
      <c r="AA775" s="334"/>
      <c r="AB775" s="334"/>
      <c r="AC775" s="334"/>
      <c r="AD775" s="334"/>
    </row>
    <row r="776" ht="16.5" customHeight="1">
      <c r="A776" s="334"/>
      <c r="B776" s="329"/>
      <c r="C776" s="329" t="s">
        <v>585</v>
      </c>
      <c r="D776" s="331" t="s">
        <v>585</v>
      </c>
      <c r="E776" s="331" t="s">
        <v>585</v>
      </c>
      <c r="F776" s="331" t="s">
        <v>585</v>
      </c>
      <c r="G776" s="331">
        <f>iferror(sumifs('Hợp tác'!G:G,'Hợp tác'!A:A,B776,'Hợp tác'!H:H,$G$2,'Hợp tác'!I:I,$I$2),"")</f>
        <v>0</v>
      </c>
      <c r="H776" s="332">
        <f>SUMIF(View!J:J,View!B:B,B776)</f>
        <v>0</v>
      </c>
      <c r="I776" s="332">
        <f>sumifs('Hoa Hồng'!L:L,'Hoa Hồng'!A:A,B776)</f>
        <v>0</v>
      </c>
      <c r="J776" s="332">
        <v>0.0</v>
      </c>
      <c r="K776" s="333" t="s">
        <v>1211</v>
      </c>
      <c r="L776" s="334"/>
      <c r="M776" s="334"/>
      <c r="N776" s="334"/>
      <c r="O776" s="334"/>
      <c r="P776" s="334"/>
      <c r="Q776" s="334"/>
      <c r="R776" s="334"/>
      <c r="S776" s="334"/>
      <c r="T776" s="334"/>
      <c r="U776" s="334"/>
      <c r="V776" s="334"/>
      <c r="W776" s="334"/>
      <c r="X776" s="334"/>
      <c r="Y776" s="334"/>
      <c r="Z776" s="334"/>
      <c r="AA776" s="334"/>
      <c r="AB776" s="334"/>
      <c r="AC776" s="334"/>
      <c r="AD776" s="334"/>
    </row>
    <row r="777" ht="16.5" customHeight="1">
      <c r="A777" s="334"/>
      <c r="B777" s="329"/>
      <c r="C777" s="329" t="s">
        <v>585</v>
      </c>
      <c r="D777" s="331" t="s">
        <v>585</v>
      </c>
      <c r="E777" s="331" t="s">
        <v>585</v>
      </c>
      <c r="F777" s="331" t="s">
        <v>585</v>
      </c>
      <c r="G777" s="331">
        <f>iferror(sumifs('Hợp tác'!G:G,'Hợp tác'!A:A,B777,'Hợp tác'!H:H,$G$2,'Hợp tác'!I:I,$I$2),"")</f>
        <v>0</v>
      </c>
      <c r="H777" s="332">
        <f>SUMIF(View!J:J,View!B:B,B777)</f>
        <v>0</v>
      </c>
      <c r="I777" s="332">
        <f>sumifs('Hoa Hồng'!L:L,'Hoa Hồng'!A:A,B777)</f>
        <v>0</v>
      </c>
      <c r="J777" s="332">
        <v>0.0</v>
      </c>
      <c r="K777" s="333" t="s">
        <v>1211</v>
      </c>
      <c r="L777" s="334"/>
      <c r="M777" s="334"/>
      <c r="N777" s="334"/>
      <c r="O777" s="334"/>
      <c r="P777" s="334"/>
      <c r="Q777" s="334"/>
      <c r="R777" s="334"/>
      <c r="S777" s="334"/>
      <c r="T777" s="334"/>
      <c r="U777" s="334"/>
      <c r="V777" s="334"/>
      <c r="W777" s="334"/>
      <c r="X777" s="334"/>
      <c r="Y777" s="334"/>
      <c r="Z777" s="334"/>
      <c r="AA777" s="334"/>
      <c r="AB777" s="334"/>
      <c r="AC777" s="334"/>
      <c r="AD777" s="334"/>
    </row>
    <row r="778" ht="16.5" customHeight="1">
      <c r="A778" s="334"/>
      <c r="B778" s="329"/>
      <c r="C778" s="329" t="s">
        <v>585</v>
      </c>
      <c r="D778" s="331" t="s">
        <v>585</v>
      </c>
      <c r="E778" s="331" t="s">
        <v>585</v>
      </c>
      <c r="F778" s="331" t="s">
        <v>585</v>
      </c>
      <c r="G778" s="331">
        <f>iferror(sumifs('Hợp tác'!G:G,'Hợp tác'!A:A,B778,'Hợp tác'!H:H,$G$2,'Hợp tác'!I:I,$I$2),"")</f>
        <v>0</v>
      </c>
      <c r="H778" s="332">
        <f>SUMIF(View!J:J,View!B:B,B778)</f>
        <v>0</v>
      </c>
      <c r="I778" s="332">
        <f>sumifs('Hoa Hồng'!L:L,'Hoa Hồng'!A:A,B778)</f>
        <v>0</v>
      </c>
      <c r="J778" s="332">
        <v>0.0</v>
      </c>
      <c r="K778" s="333" t="s">
        <v>1211</v>
      </c>
      <c r="L778" s="334"/>
      <c r="M778" s="334"/>
      <c r="N778" s="334"/>
      <c r="O778" s="334"/>
      <c r="P778" s="334"/>
      <c r="Q778" s="334"/>
      <c r="R778" s="334"/>
      <c r="S778" s="334"/>
      <c r="T778" s="334"/>
      <c r="U778" s="334"/>
      <c r="V778" s="334"/>
      <c r="W778" s="334"/>
      <c r="X778" s="334"/>
      <c r="Y778" s="334"/>
      <c r="Z778" s="334"/>
      <c r="AA778" s="334"/>
      <c r="AB778" s="334"/>
      <c r="AC778" s="334"/>
      <c r="AD778" s="334"/>
    </row>
    <row r="779" ht="16.5" customHeight="1">
      <c r="A779" s="334"/>
      <c r="B779" s="329"/>
      <c r="C779" s="329" t="s">
        <v>585</v>
      </c>
      <c r="D779" s="331" t="s">
        <v>585</v>
      </c>
      <c r="E779" s="331" t="s">
        <v>585</v>
      </c>
      <c r="F779" s="331" t="s">
        <v>585</v>
      </c>
      <c r="G779" s="331">
        <f>iferror(sumifs('Hợp tác'!G:G,'Hợp tác'!A:A,B779,'Hợp tác'!H:H,$G$2,'Hợp tác'!I:I,$I$2),"")</f>
        <v>0</v>
      </c>
      <c r="H779" s="332">
        <f>SUMIF(View!J:J,View!B:B,B779)</f>
        <v>0</v>
      </c>
      <c r="I779" s="332">
        <f>sumifs('Hoa Hồng'!L:L,'Hoa Hồng'!A:A,B779)</f>
        <v>0</v>
      </c>
      <c r="J779" s="332">
        <v>0.0</v>
      </c>
      <c r="K779" s="333" t="s">
        <v>1211</v>
      </c>
      <c r="L779" s="334"/>
      <c r="M779" s="334"/>
      <c r="N779" s="334"/>
      <c r="O779" s="334"/>
      <c r="P779" s="334"/>
      <c r="Q779" s="334"/>
      <c r="R779" s="334"/>
      <c r="S779" s="334"/>
      <c r="T779" s="334"/>
      <c r="U779" s="334"/>
      <c r="V779" s="334"/>
      <c r="W779" s="334"/>
      <c r="X779" s="334"/>
      <c r="Y779" s="334"/>
      <c r="Z779" s="334"/>
      <c r="AA779" s="334"/>
      <c r="AB779" s="334"/>
      <c r="AC779" s="334"/>
      <c r="AD779" s="334"/>
    </row>
    <row r="780" ht="16.5" customHeight="1">
      <c r="A780" s="334"/>
      <c r="B780" s="329"/>
      <c r="C780" s="329" t="s">
        <v>585</v>
      </c>
      <c r="D780" s="331" t="s">
        <v>585</v>
      </c>
      <c r="E780" s="331" t="s">
        <v>585</v>
      </c>
      <c r="F780" s="331" t="s">
        <v>585</v>
      </c>
      <c r="G780" s="331">
        <f>iferror(sumifs('Hợp tác'!G:G,'Hợp tác'!A:A,B780,'Hợp tác'!H:H,$G$2,'Hợp tác'!I:I,$I$2),"")</f>
        <v>0</v>
      </c>
      <c r="H780" s="332">
        <f>SUMIF(View!J:J,View!B:B,B780)</f>
        <v>0</v>
      </c>
      <c r="I780" s="332">
        <f>sumifs('Hoa Hồng'!L:L,'Hoa Hồng'!A:A,B780)</f>
        <v>0</v>
      </c>
      <c r="J780" s="332">
        <v>0.0</v>
      </c>
      <c r="K780" s="333" t="s">
        <v>1211</v>
      </c>
      <c r="L780" s="334"/>
      <c r="M780" s="334"/>
      <c r="N780" s="334"/>
      <c r="O780" s="334"/>
      <c r="P780" s="334"/>
      <c r="Q780" s="334"/>
      <c r="R780" s="334"/>
      <c r="S780" s="334"/>
      <c r="T780" s="334"/>
      <c r="U780" s="334"/>
      <c r="V780" s="334"/>
      <c r="W780" s="334"/>
      <c r="X780" s="334"/>
      <c r="Y780" s="334"/>
      <c r="Z780" s="334"/>
      <c r="AA780" s="334"/>
      <c r="AB780" s="334"/>
      <c r="AC780" s="334"/>
      <c r="AD780" s="334"/>
    </row>
    <row r="781" ht="16.5" customHeight="1">
      <c r="A781" s="334"/>
      <c r="B781" s="329"/>
      <c r="C781" s="329" t="s">
        <v>585</v>
      </c>
      <c r="D781" s="331" t="s">
        <v>585</v>
      </c>
      <c r="E781" s="331" t="s">
        <v>585</v>
      </c>
      <c r="F781" s="331" t="s">
        <v>585</v>
      </c>
      <c r="G781" s="331">
        <f>iferror(sumifs('Hợp tác'!G:G,'Hợp tác'!A:A,B781,'Hợp tác'!H:H,$G$2,'Hợp tác'!I:I,$I$2),"")</f>
        <v>0</v>
      </c>
      <c r="H781" s="332">
        <f>SUMIF(View!J:J,View!B:B,B781)</f>
        <v>0</v>
      </c>
      <c r="I781" s="332">
        <f>sumifs('Hoa Hồng'!L:L,'Hoa Hồng'!A:A,B781)</f>
        <v>0</v>
      </c>
      <c r="J781" s="332">
        <v>0.0</v>
      </c>
      <c r="K781" s="333" t="s">
        <v>1211</v>
      </c>
      <c r="L781" s="334"/>
      <c r="M781" s="334"/>
      <c r="N781" s="334"/>
      <c r="O781" s="334"/>
      <c r="P781" s="334"/>
      <c r="Q781" s="334"/>
      <c r="R781" s="334"/>
      <c r="S781" s="334"/>
      <c r="T781" s="334"/>
      <c r="U781" s="334"/>
      <c r="V781" s="334"/>
      <c r="W781" s="334"/>
      <c r="X781" s="334"/>
      <c r="Y781" s="334"/>
      <c r="Z781" s="334"/>
      <c r="AA781" s="334"/>
      <c r="AB781" s="334"/>
      <c r="AC781" s="334"/>
      <c r="AD781" s="334"/>
    </row>
    <row r="782" ht="16.5" customHeight="1">
      <c r="A782" s="334"/>
      <c r="B782" s="329"/>
      <c r="C782" s="329" t="s">
        <v>585</v>
      </c>
      <c r="D782" s="331" t="s">
        <v>585</v>
      </c>
      <c r="E782" s="331" t="s">
        <v>585</v>
      </c>
      <c r="F782" s="331" t="s">
        <v>585</v>
      </c>
      <c r="G782" s="331">
        <f>iferror(sumifs('Hợp tác'!G:G,'Hợp tác'!A:A,B782,'Hợp tác'!H:H,$G$2,'Hợp tác'!I:I,$I$2),"")</f>
        <v>0</v>
      </c>
      <c r="H782" s="332">
        <f>SUMIF(View!J:J,View!B:B,B782)</f>
        <v>0</v>
      </c>
      <c r="I782" s="332">
        <f>sumifs('Hoa Hồng'!L:L,'Hoa Hồng'!A:A,B782)</f>
        <v>0</v>
      </c>
      <c r="J782" s="332">
        <v>0.0</v>
      </c>
      <c r="K782" s="333" t="s">
        <v>1211</v>
      </c>
      <c r="L782" s="334"/>
      <c r="M782" s="334"/>
      <c r="N782" s="334"/>
      <c r="O782" s="334"/>
      <c r="P782" s="334"/>
      <c r="Q782" s="334"/>
      <c r="R782" s="334"/>
      <c r="S782" s="334"/>
      <c r="T782" s="334"/>
      <c r="U782" s="334"/>
      <c r="V782" s="334"/>
      <c r="W782" s="334"/>
      <c r="X782" s="334"/>
      <c r="Y782" s="334"/>
      <c r="Z782" s="334"/>
      <c r="AA782" s="334"/>
      <c r="AB782" s="334"/>
      <c r="AC782" s="334"/>
      <c r="AD782" s="334"/>
    </row>
    <row r="783" ht="16.5" customHeight="1">
      <c r="A783" s="334"/>
      <c r="B783" s="329"/>
      <c r="C783" s="329" t="s">
        <v>585</v>
      </c>
      <c r="D783" s="331" t="s">
        <v>585</v>
      </c>
      <c r="E783" s="331" t="s">
        <v>585</v>
      </c>
      <c r="F783" s="331" t="s">
        <v>585</v>
      </c>
      <c r="G783" s="331">
        <f>iferror(sumifs('Hợp tác'!G:G,'Hợp tác'!A:A,B783,'Hợp tác'!H:H,$G$2,'Hợp tác'!I:I,$I$2),"")</f>
        <v>0</v>
      </c>
      <c r="H783" s="332">
        <f>SUMIF(View!J:J,View!B:B,B783)</f>
        <v>0</v>
      </c>
      <c r="I783" s="332">
        <f>sumifs('Hoa Hồng'!L:L,'Hoa Hồng'!A:A,B783)</f>
        <v>0</v>
      </c>
      <c r="J783" s="332">
        <v>0.0</v>
      </c>
      <c r="K783" s="333" t="s">
        <v>1211</v>
      </c>
      <c r="L783" s="334"/>
      <c r="M783" s="334"/>
      <c r="N783" s="334"/>
      <c r="O783" s="334"/>
      <c r="P783" s="334"/>
      <c r="Q783" s="334"/>
      <c r="R783" s="334"/>
      <c r="S783" s="334"/>
      <c r="T783" s="334"/>
      <c r="U783" s="334"/>
      <c r="V783" s="334"/>
      <c r="W783" s="334"/>
      <c r="X783" s="334"/>
      <c r="Y783" s="334"/>
      <c r="Z783" s="334"/>
      <c r="AA783" s="334"/>
      <c r="AB783" s="334"/>
      <c r="AC783" s="334"/>
      <c r="AD783" s="334"/>
    </row>
    <row r="784" ht="16.5" customHeight="1">
      <c r="A784" s="334"/>
      <c r="B784" s="329"/>
      <c r="C784" s="329" t="s">
        <v>585</v>
      </c>
      <c r="D784" s="331" t="s">
        <v>585</v>
      </c>
      <c r="E784" s="331" t="s">
        <v>585</v>
      </c>
      <c r="F784" s="331" t="s">
        <v>585</v>
      </c>
      <c r="G784" s="331">
        <f>iferror(sumifs('Hợp tác'!G:G,'Hợp tác'!A:A,B784,'Hợp tác'!H:H,$G$2,'Hợp tác'!I:I,$I$2),"")</f>
        <v>0</v>
      </c>
      <c r="H784" s="332">
        <f>SUMIF(View!J:J,View!B:B,B784)</f>
        <v>0</v>
      </c>
      <c r="I784" s="332">
        <f>sumifs('Hoa Hồng'!L:L,'Hoa Hồng'!A:A,B784)</f>
        <v>0</v>
      </c>
      <c r="J784" s="332">
        <v>0.0</v>
      </c>
      <c r="K784" s="333" t="s">
        <v>1211</v>
      </c>
      <c r="L784" s="334"/>
      <c r="M784" s="334"/>
      <c r="N784" s="334"/>
      <c r="O784" s="334"/>
      <c r="P784" s="334"/>
      <c r="Q784" s="334"/>
      <c r="R784" s="334"/>
      <c r="S784" s="334"/>
      <c r="T784" s="334"/>
      <c r="U784" s="334"/>
      <c r="V784" s="334"/>
      <c r="W784" s="334"/>
      <c r="X784" s="334"/>
      <c r="Y784" s="334"/>
      <c r="Z784" s="334"/>
      <c r="AA784" s="334"/>
      <c r="AB784" s="334"/>
      <c r="AC784" s="334"/>
      <c r="AD784" s="334"/>
    </row>
    <row r="785" ht="16.5" customHeight="1">
      <c r="A785" s="334"/>
      <c r="B785" s="329"/>
      <c r="C785" s="329" t="s">
        <v>585</v>
      </c>
      <c r="D785" s="331" t="s">
        <v>585</v>
      </c>
      <c r="E785" s="331" t="s">
        <v>585</v>
      </c>
      <c r="F785" s="331" t="s">
        <v>585</v>
      </c>
      <c r="G785" s="331">
        <f>iferror(sumifs('Hợp tác'!G:G,'Hợp tác'!A:A,B785,'Hợp tác'!H:H,$G$2,'Hợp tác'!I:I,$I$2),"")</f>
        <v>0</v>
      </c>
      <c r="H785" s="332">
        <f>SUMIF(View!J:J,View!B:B,B785)</f>
        <v>0</v>
      </c>
      <c r="I785" s="332">
        <f>sumifs('Hoa Hồng'!L:L,'Hoa Hồng'!A:A,B785)</f>
        <v>0</v>
      </c>
      <c r="J785" s="332">
        <v>0.0</v>
      </c>
      <c r="K785" s="333" t="s">
        <v>1211</v>
      </c>
      <c r="L785" s="334"/>
      <c r="M785" s="334"/>
      <c r="N785" s="334"/>
      <c r="O785" s="334"/>
      <c r="P785" s="334"/>
      <c r="Q785" s="334"/>
      <c r="R785" s="334"/>
      <c r="S785" s="334"/>
      <c r="T785" s="334"/>
      <c r="U785" s="334"/>
      <c r="V785" s="334"/>
      <c r="W785" s="334"/>
      <c r="X785" s="334"/>
      <c r="Y785" s="334"/>
      <c r="Z785" s="334"/>
      <c r="AA785" s="334"/>
      <c r="AB785" s="334"/>
      <c r="AC785" s="334"/>
      <c r="AD785" s="334"/>
    </row>
    <row r="786" ht="16.5" customHeight="1">
      <c r="A786" s="334"/>
      <c r="B786" s="329"/>
      <c r="C786" s="329" t="s">
        <v>585</v>
      </c>
      <c r="D786" s="331" t="s">
        <v>585</v>
      </c>
      <c r="E786" s="331" t="s">
        <v>585</v>
      </c>
      <c r="F786" s="331" t="s">
        <v>585</v>
      </c>
      <c r="G786" s="331">
        <f>iferror(sumifs('Hợp tác'!G:G,'Hợp tác'!A:A,B786,'Hợp tác'!H:H,$G$2,'Hợp tác'!I:I,$I$2),"")</f>
        <v>0</v>
      </c>
      <c r="H786" s="332">
        <f>SUMIF(View!J:J,View!B:B,B786)</f>
        <v>0</v>
      </c>
      <c r="I786" s="332">
        <f>sumifs('Hoa Hồng'!L:L,'Hoa Hồng'!A:A,B786)</f>
        <v>0</v>
      </c>
      <c r="J786" s="332">
        <v>0.0</v>
      </c>
      <c r="K786" s="333" t="s">
        <v>1211</v>
      </c>
      <c r="L786" s="334"/>
      <c r="M786" s="334"/>
      <c r="N786" s="334"/>
      <c r="O786" s="334"/>
      <c r="P786" s="334"/>
      <c r="Q786" s="334"/>
      <c r="R786" s="334"/>
      <c r="S786" s="334"/>
      <c r="T786" s="334"/>
      <c r="U786" s="334"/>
      <c r="V786" s="334"/>
      <c r="W786" s="334"/>
      <c r="X786" s="334"/>
      <c r="Y786" s="334"/>
      <c r="Z786" s="334"/>
      <c r="AA786" s="334"/>
      <c r="AB786" s="334"/>
      <c r="AC786" s="334"/>
      <c r="AD786" s="334"/>
    </row>
    <row r="787" ht="16.5" customHeight="1">
      <c r="A787" s="334"/>
      <c r="B787" s="329"/>
      <c r="C787" s="329" t="s">
        <v>585</v>
      </c>
      <c r="D787" s="331" t="s">
        <v>585</v>
      </c>
      <c r="E787" s="331" t="s">
        <v>585</v>
      </c>
      <c r="F787" s="331" t="s">
        <v>585</v>
      </c>
      <c r="G787" s="331">
        <f>iferror(sumifs('Hợp tác'!G:G,'Hợp tác'!A:A,B787,'Hợp tác'!H:H,$G$2,'Hợp tác'!I:I,$I$2),"")</f>
        <v>0</v>
      </c>
      <c r="H787" s="332">
        <f>SUMIF(View!J:J,View!B:B,B787)</f>
        <v>0</v>
      </c>
      <c r="I787" s="332">
        <f>sumifs('Hoa Hồng'!L:L,'Hoa Hồng'!A:A,B787)</f>
        <v>0</v>
      </c>
      <c r="J787" s="332">
        <v>0.0</v>
      </c>
      <c r="K787" s="333" t="s">
        <v>1211</v>
      </c>
      <c r="L787" s="334"/>
      <c r="M787" s="334"/>
      <c r="N787" s="334"/>
      <c r="O787" s="334"/>
      <c r="P787" s="334"/>
      <c r="Q787" s="334"/>
      <c r="R787" s="334"/>
      <c r="S787" s="334"/>
      <c r="T787" s="334"/>
      <c r="U787" s="334"/>
      <c r="V787" s="334"/>
      <c r="W787" s="334"/>
      <c r="X787" s="334"/>
      <c r="Y787" s="334"/>
      <c r="Z787" s="334"/>
      <c r="AA787" s="334"/>
      <c r="AB787" s="334"/>
      <c r="AC787" s="334"/>
      <c r="AD787" s="334"/>
    </row>
    <row r="788" ht="16.5" customHeight="1">
      <c r="A788" s="334"/>
      <c r="B788" s="329"/>
      <c r="C788" s="329" t="s">
        <v>585</v>
      </c>
      <c r="D788" s="331" t="s">
        <v>585</v>
      </c>
      <c r="E788" s="331" t="s">
        <v>585</v>
      </c>
      <c r="F788" s="331" t="s">
        <v>585</v>
      </c>
      <c r="G788" s="331">
        <f>iferror(sumifs('Hợp tác'!G:G,'Hợp tác'!A:A,B788,'Hợp tác'!H:H,$G$2,'Hợp tác'!I:I,$I$2),"")</f>
        <v>0</v>
      </c>
      <c r="H788" s="332">
        <f>SUMIF(View!J:J,View!B:B,B788)</f>
        <v>0</v>
      </c>
      <c r="I788" s="332">
        <f>sumifs('Hoa Hồng'!L:L,'Hoa Hồng'!A:A,B788)</f>
        <v>0</v>
      </c>
      <c r="J788" s="332">
        <v>0.0</v>
      </c>
      <c r="K788" s="333" t="s">
        <v>1211</v>
      </c>
      <c r="L788" s="334"/>
      <c r="M788" s="334"/>
      <c r="N788" s="334"/>
      <c r="O788" s="334"/>
      <c r="P788" s="334"/>
      <c r="Q788" s="334"/>
      <c r="R788" s="334"/>
      <c r="S788" s="334"/>
      <c r="T788" s="334"/>
      <c r="U788" s="334"/>
      <c r="V788" s="334"/>
      <c r="W788" s="334"/>
      <c r="X788" s="334"/>
      <c r="Y788" s="334"/>
      <c r="Z788" s="334"/>
      <c r="AA788" s="334"/>
      <c r="AB788" s="334"/>
      <c r="AC788" s="334"/>
      <c r="AD788" s="334"/>
    </row>
    <row r="789" ht="16.5" customHeight="1">
      <c r="A789" s="334"/>
      <c r="B789" s="329"/>
      <c r="C789" s="329" t="s">
        <v>585</v>
      </c>
      <c r="D789" s="331" t="s">
        <v>585</v>
      </c>
      <c r="E789" s="331" t="s">
        <v>585</v>
      </c>
      <c r="F789" s="331" t="s">
        <v>585</v>
      </c>
      <c r="G789" s="331">
        <f>iferror(sumifs('Hợp tác'!G:G,'Hợp tác'!A:A,B789,'Hợp tác'!H:H,$G$2,'Hợp tác'!I:I,$I$2),"")</f>
        <v>0</v>
      </c>
      <c r="H789" s="332">
        <f>SUMIF(View!J:J,View!B:B,B789)</f>
        <v>0</v>
      </c>
      <c r="I789" s="332">
        <f>sumifs('Hoa Hồng'!L:L,'Hoa Hồng'!A:A,B789)</f>
        <v>0</v>
      </c>
      <c r="J789" s="332">
        <v>0.0</v>
      </c>
      <c r="K789" s="333" t="s">
        <v>1211</v>
      </c>
      <c r="L789" s="334"/>
      <c r="M789" s="334"/>
      <c r="N789" s="334"/>
      <c r="O789" s="334"/>
      <c r="P789" s="334"/>
      <c r="Q789" s="334"/>
      <c r="R789" s="334"/>
      <c r="S789" s="334"/>
      <c r="T789" s="334"/>
      <c r="U789" s="334"/>
      <c r="V789" s="334"/>
      <c r="W789" s="334"/>
      <c r="X789" s="334"/>
      <c r="Y789" s="334"/>
      <c r="Z789" s="334"/>
      <c r="AA789" s="334"/>
      <c r="AB789" s="334"/>
      <c r="AC789" s="334"/>
      <c r="AD789" s="334"/>
    </row>
    <row r="790" ht="16.5" customHeight="1">
      <c r="A790" s="334"/>
      <c r="B790" s="329"/>
      <c r="C790" s="329" t="s">
        <v>585</v>
      </c>
      <c r="D790" s="331" t="s">
        <v>585</v>
      </c>
      <c r="E790" s="331" t="s">
        <v>585</v>
      </c>
      <c r="F790" s="331" t="s">
        <v>585</v>
      </c>
      <c r="G790" s="331">
        <f>iferror(sumifs('Hợp tác'!G:G,'Hợp tác'!A:A,B790,'Hợp tác'!H:H,$G$2,'Hợp tác'!I:I,$I$2),"")</f>
        <v>0</v>
      </c>
      <c r="H790" s="332">
        <f>SUMIF(View!J:J,View!B:B,B790)</f>
        <v>0</v>
      </c>
      <c r="I790" s="332">
        <f>sumifs('Hoa Hồng'!L:L,'Hoa Hồng'!A:A,B790)</f>
        <v>0</v>
      </c>
      <c r="J790" s="332">
        <v>0.0</v>
      </c>
      <c r="K790" s="333" t="s">
        <v>1211</v>
      </c>
      <c r="L790" s="334"/>
      <c r="M790" s="334"/>
      <c r="N790" s="334"/>
      <c r="O790" s="334"/>
      <c r="P790" s="334"/>
      <c r="Q790" s="334"/>
      <c r="R790" s="334"/>
      <c r="S790" s="334"/>
      <c r="T790" s="334"/>
      <c r="U790" s="334"/>
      <c r="V790" s="334"/>
      <c r="W790" s="334"/>
      <c r="X790" s="334"/>
      <c r="Y790" s="334"/>
      <c r="Z790" s="334"/>
      <c r="AA790" s="334"/>
      <c r="AB790" s="334"/>
      <c r="AC790" s="334"/>
      <c r="AD790" s="334"/>
    </row>
    <row r="791" ht="16.5" customHeight="1">
      <c r="A791" s="334"/>
      <c r="B791" s="329"/>
      <c r="C791" s="329" t="s">
        <v>585</v>
      </c>
      <c r="D791" s="331" t="s">
        <v>585</v>
      </c>
      <c r="E791" s="331" t="s">
        <v>585</v>
      </c>
      <c r="F791" s="331" t="s">
        <v>585</v>
      </c>
      <c r="G791" s="331">
        <f>iferror(sumifs('Hợp tác'!G:G,'Hợp tác'!A:A,B791,'Hợp tác'!H:H,$G$2,'Hợp tác'!I:I,$I$2),"")</f>
        <v>0</v>
      </c>
      <c r="H791" s="332">
        <f>SUMIF(View!J:J,View!B:B,B791)</f>
        <v>0</v>
      </c>
      <c r="I791" s="332">
        <f>sumifs('Hoa Hồng'!L:L,'Hoa Hồng'!A:A,B791)</f>
        <v>0</v>
      </c>
      <c r="J791" s="332">
        <v>0.0</v>
      </c>
      <c r="K791" s="333" t="s">
        <v>1211</v>
      </c>
      <c r="L791" s="334"/>
      <c r="M791" s="334"/>
      <c r="N791" s="334"/>
      <c r="O791" s="334"/>
      <c r="P791" s="334"/>
      <c r="Q791" s="334"/>
      <c r="R791" s="334"/>
      <c r="S791" s="334"/>
      <c r="T791" s="334"/>
      <c r="U791" s="334"/>
      <c r="V791" s="334"/>
      <c r="W791" s="334"/>
      <c r="X791" s="334"/>
      <c r="Y791" s="334"/>
      <c r="Z791" s="334"/>
      <c r="AA791" s="334"/>
      <c r="AB791" s="334"/>
      <c r="AC791" s="334"/>
      <c r="AD791" s="334"/>
    </row>
    <row r="792" ht="16.5" customHeight="1">
      <c r="A792" s="334"/>
      <c r="B792" s="329"/>
      <c r="C792" s="329" t="s">
        <v>585</v>
      </c>
      <c r="D792" s="331" t="s">
        <v>585</v>
      </c>
      <c r="E792" s="331" t="s">
        <v>585</v>
      </c>
      <c r="F792" s="331" t="s">
        <v>585</v>
      </c>
      <c r="G792" s="331">
        <f>iferror(sumifs('Hợp tác'!G:G,'Hợp tác'!A:A,B792,'Hợp tác'!H:H,$G$2,'Hợp tác'!I:I,$I$2),"")</f>
        <v>0</v>
      </c>
      <c r="H792" s="332">
        <f>SUMIF(View!J:J,View!B:B,B792)</f>
        <v>0</v>
      </c>
      <c r="I792" s="332">
        <f>sumifs('Hoa Hồng'!L:L,'Hoa Hồng'!A:A,B792)</f>
        <v>0</v>
      </c>
      <c r="J792" s="332">
        <v>0.0</v>
      </c>
      <c r="K792" s="333" t="s">
        <v>1211</v>
      </c>
      <c r="L792" s="334"/>
      <c r="M792" s="334"/>
      <c r="N792" s="334"/>
      <c r="O792" s="334"/>
      <c r="P792" s="334"/>
      <c r="Q792" s="334"/>
      <c r="R792" s="334"/>
      <c r="S792" s="334"/>
      <c r="T792" s="334"/>
      <c r="U792" s="334"/>
      <c r="V792" s="334"/>
      <c r="W792" s="334"/>
      <c r="X792" s="334"/>
      <c r="Y792" s="334"/>
      <c r="Z792" s="334"/>
      <c r="AA792" s="334"/>
      <c r="AB792" s="334"/>
      <c r="AC792" s="334"/>
      <c r="AD792" s="334"/>
    </row>
    <row r="793" ht="16.5" customHeight="1">
      <c r="A793" s="334"/>
      <c r="B793" s="329"/>
      <c r="C793" s="329" t="s">
        <v>585</v>
      </c>
      <c r="D793" s="331" t="s">
        <v>585</v>
      </c>
      <c r="E793" s="331" t="s">
        <v>585</v>
      </c>
      <c r="F793" s="331" t="s">
        <v>585</v>
      </c>
      <c r="G793" s="331">
        <f>iferror(sumifs('Hợp tác'!G:G,'Hợp tác'!A:A,B793,'Hợp tác'!H:H,$G$2,'Hợp tác'!I:I,$I$2),"")</f>
        <v>0</v>
      </c>
      <c r="H793" s="332">
        <f>SUMIF(View!J:J,View!B:B,B793)</f>
        <v>0</v>
      </c>
      <c r="I793" s="332">
        <f>sumifs('Hoa Hồng'!L:L,'Hoa Hồng'!A:A,B793)</f>
        <v>0</v>
      </c>
      <c r="J793" s="332">
        <v>0.0</v>
      </c>
      <c r="K793" s="333" t="s">
        <v>1211</v>
      </c>
      <c r="L793" s="334"/>
      <c r="M793" s="334"/>
      <c r="N793" s="334"/>
      <c r="O793" s="334"/>
      <c r="P793" s="334"/>
      <c r="Q793" s="334"/>
      <c r="R793" s="334"/>
      <c r="S793" s="334"/>
      <c r="T793" s="334"/>
      <c r="U793" s="334"/>
      <c r="V793" s="334"/>
      <c r="W793" s="334"/>
      <c r="X793" s="334"/>
      <c r="Y793" s="334"/>
      <c r="Z793" s="334"/>
      <c r="AA793" s="334"/>
      <c r="AB793" s="334"/>
      <c r="AC793" s="334"/>
      <c r="AD793" s="334"/>
    </row>
    <row r="794" ht="16.5" customHeight="1">
      <c r="A794" s="334"/>
      <c r="B794" s="329"/>
      <c r="C794" s="329" t="s">
        <v>585</v>
      </c>
      <c r="D794" s="331" t="s">
        <v>585</v>
      </c>
      <c r="E794" s="331" t="s">
        <v>585</v>
      </c>
      <c r="F794" s="331" t="s">
        <v>585</v>
      </c>
      <c r="G794" s="331">
        <f>iferror(sumifs('Hợp tác'!G:G,'Hợp tác'!A:A,B794,'Hợp tác'!H:H,$G$2,'Hợp tác'!I:I,$I$2),"")</f>
        <v>0</v>
      </c>
      <c r="H794" s="332">
        <f>SUMIF(View!J:J,View!B:B,B794)</f>
        <v>0</v>
      </c>
      <c r="I794" s="332">
        <f>sumifs('Hoa Hồng'!L:L,'Hoa Hồng'!A:A,B794)</f>
        <v>0</v>
      </c>
      <c r="J794" s="332">
        <v>0.0</v>
      </c>
      <c r="K794" s="333" t="s">
        <v>1211</v>
      </c>
      <c r="L794" s="334"/>
      <c r="M794" s="334"/>
      <c r="N794" s="334"/>
      <c r="O794" s="334"/>
      <c r="P794" s="334"/>
      <c r="Q794" s="334"/>
      <c r="R794" s="334"/>
      <c r="S794" s="334"/>
      <c r="T794" s="334"/>
      <c r="U794" s="334"/>
      <c r="V794" s="334"/>
      <c r="W794" s="334"/>
      <c r="X794" s="334"/>
      <c r="Y794" s="334"/>
      <c r="Z794" s="334"/>
      <c r="AA794" s="334"/>
      <c r="AB794" s="334"/>
      <c r="AC794" s="334"/>
      <c r="AD794" s="334"/>
    </row>
    <row r="795" ht="16.5" customHeight="1">
      <c r="A795" s="334"/>
      <c r="B795" s="329"/>
      <c r="C795" s="329" t="s">
        <v>585</v>
      </c>
      <c r="D795" s="331" t="s">
        <v>585</v>
      </c>
      <c r="E795" s="331" t="s">
        <v>585</v>
      </c>
      <c r="F795" s="331" t="s">
        <v>585</v>
      </c>
      <c r="G795" s="331">
        <f>iferror(sumifs('Hợp tác'!G:G,'Hợp tác'!A:A,B795,'Hợp tác'!H:H,$G$2,'Hợp tác'!I:I,$I$2),"")</f>
        <v>0</v>
      </c>
      <c r="H795" s="332">
        <f>SUMIF(View!J:J,View!B:B,B795)</f>
        <v>0</v>
      </c>
      <c r="I795" s="332">
        <f>sumifs('Hoa Hồng'!L:L,'Hoa Hồng'!A:A,B795)</f>
        <v>0</v>
      </c>
      <c r="J795" s="332">
        <v>0.0</v>
      </c>
      <c r="K795" s="333" t="s">
        <v>1211</v>
      </c>
      <c r="L795" s="334"/>
      <c r="M795" s="334"/>
      <c r="N795" s="334"/>
      <c r="O795" s="334"/>
      <c r="P795" s="334"/>
      <c r="Q795" s="334"/>
      <c r="R795" s="334"/>
      <c r="S795" s="334"/>
      <c r="T795" s="334"/>
      <c r="U795" s="334"/>
      <c r="V795" s="334"/>
      <c r="W795" s="334"/>
      <c r="X795" s="334"/>
      <c r="Y795" s="334"/>
      <c r="Z795" s="334"/>
      <c r="AA795" s="334"/>
      <c r="AB795" s="334"/>
      <c r="AC795" s="334"/>
      <c r="AD795" s="334"/>
    </row>
    <row r="796" ht="16.5" customHeight="1">
      <c r="A796" s="334"/>
      <c r="B796" s="329"/>
      <c r="C796" s="329" t="s">
        <v>585</v>
      </c>
      <c r="D796" s="331" t="s">
        <v>585</v>
      </c>
      <c r="E796" s="331" t="s">
        <v>585</v>
      </c>
      <c r="F796" s="331" t="s">
        <v>585</v>
      </c>
      <c r="G796" s="331">
        <f>iferror(sumifs('Hợp tác'!G:G,'Hợp tác'!A:A,B796,'Hợp tác'!H:H,$G$2,'Hợp tác'!I:I,$I$2),"")</f>
        <v>0</v>
      </c>
      <c r="H796" s="332">
        <f>SUMIF(View!J:J,View!B:B,B796)</f>
        <v>0</v>
      </c>
      <c r="I796" s="332">
        <f>sumifs('Hoa Hồng'!L:L,'Hoa Hồng'!A:A,B796)</f>
        <v>0</v>
      </c>
      <c r="J796" s="332">
        <v>0.0</v>
      </c>
      <c r="K796" s="333" t="s">
        <v>1211</v>
      </c>
      <c r="L796" s="334"/>
      <c r="M796" s="334"/>
      <c r="N796" s="334"/>
      <c r="O796" s="334"/>
      <c r="P796" s="334"/>
      <c r="Q796" s="334"/>
      <c r="R796" s="334"/>
      <c r="S796" s="334"/>
      <c r="T796" s="334"/>
      <c r="U796" s="334"/>
      <c r="V796" s="334"/>
      <c r="W796" s="334"/>
      <c r="X796" s="334"/>
      <c r="Y796" s="334"/>
      <c r="Z796" s="334"/>
      <c r="AA796" s="334"/>
      <c r="AB796" s="334"/>
      <c r="AC796" s="334"/>
      <c r="AD796" s="334"/>
    </row>
    <row r="797" ht="16.5" customHeight="1">
      <c r="A797" s="334"/>
      <c r="B797" s="329"/>
      <c r="C797" s="329" t="s">
        <v>585</v>
      </c>
      <c r="D797" s="331" t="s">
        <v>585</v>
      </c>
      <c r="E797" s="331" t="s">
        <v>585</v>
      </c>
      <c r="F797" s="331" t="s">
        <v>585</v>
      </c>
      <c r="G797" s="331">
        <f>iferror(sumifs('Hợp tác'!G:G,'Hợp tác'!A:A,B797,'Hợp tác'!H:H,$G$2,'Hợp tác'!I:I,$I$2),"")</f>
        <v>0</v>
      </c>
      <c r="H797" s="332">
        <f>SUMIF(View!J:J,View!B:B,B797)</f>
        <v>0</v>
      </c>
      <c r="I797" s="332">
        <f>sumifs('Hoa Hồng'!L:L,'Hoa Hồng'!A:A,B797)</f>
        <v>0</v>
      </c>
      <c r="J797" s="332">
        <v>0.0</v>
      </c>
      <c r="K797" s="333" t="s">
        <v>1211</v>
      </c>
      <c r="L797" s="334"/>
      <c r="M797" s="334"/>
      <c r="N797" s="334"/>
      <c r="O797" s="334"/>
      <c r="P797" s="334"/>
      <c r="Q797" s="334"/>
      <c r="R797" s="334"/>
      <c r="S797" s="334"/>
      <c r="T797" s="334"/>
      <c r="U797" s="334"/>
      <c r="V797" s="334"/>
      <c r="W797" s="334"/>
      <c r="X797" s="334"/>
      <c r="Y797" s="334"/>
      <c r="Z797" s="334"/>
      <c r="AA797" s="334"/>
      <c r="AB797" s="334"/>
      <c r="AC797" s="334"/>
      <c r="AD797" s="334"/>
    </row>
    <row r="798" ht="16.5" customHeight="1">
      <c r="A798" s="334"/>
      <c r="B798" s="329"/>
      <c r="C798" s="329" t="s">
        <v>585</v>
      </c>
      <c r="D798" s="331" t="s">
        <v>585</v>
      </c>
      <c r="E798" s="331" t="s">
        <v>585</v>
      </c>
      <c r="F798" s="331" t="s">
        <v>585</v>
      </c>
      <c r="G798" s="331">
        <f>iferror(sumifs('Hợp tác'!G:G,'Hợp tác'!A:A,B798,'Hợp tác'!H:H,$G$2,'Hợp tác'!I:I,$I$2),"")</f>
        <v>0</v>
      </c>
      <c r="H798" s="332">
        <f>SUMIF(View!J:J,View!B:B,B798)</f>
        <v>0</v>
      </c>
      <c r="I798" s="332">
        <f>sumifs('Hoa Hồng'!L:L,'Hoa Hồng'!A:A,B798)</f>
        <v>0</v>
      </c>
      <c r="J798" s="332">
        <v>0.0</v>
      </c>
      <c r="K798" s="333" t="s">
        <v>1211</v>
      </c>
      <c r="L798" s="334"/>
      <c r="M798" s="334"/>
      <c r="N798" s="334"/>
      <c r="O798" s="334"/>
      <c r="P798" s="334"/>
      <c r="Q798" s="334"/>
      <c r="R798" s="334"/>
      <c r="S798" s="334"/>
      <c r="T798" s="334"/>
      <c r="U798" s="334"/>
      <c r="V798" s="334"/>
      <c r="W798" s="334"/>
      <c r="X798" s="334"/>
      <c r="Y798" s="334"/>
      <c r="Z798" s="334"/>
      <c r="AA798" s="334"/>
      <c r="AB798" s="334"/>
      <c r="AC798" s="334"/>
      <c r="AD798" s="334"/>
    </row>
    <row r="799" ht="16.5" customHeight="1">
      <c r="A799" s="334"/>
      <c r="B799" s="329"/>
      <c r="C799" s="329" t="s">
        <v>585</v>
      </c>
      <c r="D799" s="331" t="s">
        <v>585</v>
      </c>
      <c r="E799" s="331" t="s">
        <v>585</v>
      </c>
      <c r="F799" s="331" t="s">
        <v>585</v>
      </c>
      <c r="G799" s="331">
        <f>iferror(sumifs('Hợp tác'!G:G,'Hợp tác'!A:A,B799,'Hợp tác'!H:H,$G$2,'Hợp tác'!I:I,$I$2),"")</f>
        <v>0</v>
      </c>
      <c r="H799" s="332">
        <f>SUMIF(View!J:J,View!B:B,B799)</f>
        <v>0</v>
      </c>
      <c r="I799" s="332">
        <f>sumifs('Hoa Hồng'!L:L,'Hoa Hồng'!A:A,B799)</f>
        <v>0</v>
      </c>
      <c r="J799" s="332">
        <v>0.0</v>
      </c>
      <c r="K799" s="333" t="s">
        <v>1211</v>
      </c>
      <c r="L799" s="334"/>
      <c r="M799" s="334"/>
      <c r="N799" s="334"/>
      <c r="O799" s="334"/>
      <c r="P799" s="334"/>
      <c r="Q799" s="334"/>
      <c r="R799" s="334"/>
      <c r="S799" s="334"/>
      <c r="T799" s="334"/>
      <c r="U799" s="334"/>
      <c r="V799" s="334"/>
      <c r="W799" s="334"/>
      <c r="X799" s="334"/>
      <c r="Y799" s="334"/>
      <c r="Z799" s="334"/>
      <c r="AA799" s="334"/>
      <c r="AB799" s="334"/>
      <c r="AC799" s="334"/>
      <c r="AD799" s="334"/>
    </row>
    <row r="800" ht="16.5" customHeight="1">
      <c r="A800" s="334"/>
      <c r="B800" s="329"/>
      <c r="C800" s="329" t="s">
        <v>585</v>
      </c>
      <c r="D800" s="331" t="s">
        <v>585</v>
      </c>
      <c r="E800" s="331" t="s">
        <v>585</v>
      </c>
      <c r="F800" s="331" t="s">
        <v>585</v>
      </c>
      <c r="G800" s="331">
        <f>iferror(sumifs('Hợp tác'!G:G,'Hợp tác'!A:A,B800,'Hợp tác'!H:H,$G$2,'Hợp tác'!I:I,$I$2),"")</f>
        <v>0</v>
      </c>
      <c r="H800" s="332">
        <f>SUMIF(View!J:J,View!B:B,B800)</f>
        <v>0</v>
      </c>
      <c r="I800" s="332">
        <f>sumifs('Hoa Hồng'!L:L,'Hoa Hồng'!A:A,B800)</f>
        <v>0</v>
      </c>
      <c r="J800" s="332">
        <v>0.0</v>
      </c>
      <c r="K800" s="333" t="s">
        <v>1211</v>
      </c>
      <c r="L800" s="334"/>
      <c r="M800" s="334"/>
      <c r="N800" s="334"/>
      <c r="O800" s="334"/>
      <c r="P800" s="334"/>
      <c r="Q800" s="334"/>
      <c r="R800" s="334"/>
      <c r="S800" s="334"/>
      <c r="T800" s="334"/>
      <c r="U800" s="334"/>
      <c r="V800" s="334"/>
      <c r="W800" s="334"/>
      <c r="X800" s="334"/>
      <c r="Y800" s="334"/>
      <c r="Z800" s="334"/>
      <c r="AA800" s="334"/>
      <c r="AB800" s="334"/>
      <c r="AC800" s="334"/>
      <c r="AD800" s="334"/>
    </row>
    <row r="801" ht="16.5" customHeight="1">
      <c r="A801" s="334"/>
      <c r="B801" s="329"/>
      <c r="C801" s="329" t="s">
        <v>585</v>
      </c>
      <c r="D801" s="331" t="s">
        <v>585</v>
      </c>
      <c r="E801" s="331" t="s">
        <v>585</v>
      </c>
      <c r="F801" s="331" t="s">
        <v>585</v>
      </c>
      <c r="G801" s="331">
        <f>iferror(sumifs('Hợp tác'!G:G,'Hợp tác'!A:A,B801,'Hợp tác'!H:H,$G$2,'Hợp tác'!I:I,$I$2),"")</f>
        <v>0</v>
      </c>
      <c r="H801" s="332">
        <f>SUMIF(View!J:J,View!B:B,B801)</f>
        <v>0</v>
      </c>
      <c r="I801" s="332">
        <f>sumifs('Hoa Hồng'!L:L,'Hoa Hồng'!A:A,B801)</f>
        <v>0</v>
      </c>
      <c r="J801" s="332">
        <v>0.0</v>
      </c>
      <c r="K801" s="333" t="s">
        <v>1211</v>
      </c>
      <c r="L801" s="334"/>
      <c r="M801" s="334"/>
      <c r="N801" s="334"/>
      <c r="O801" s="334"/>
      <c r="P801" s="334"/>
      <c r="Q801" s="334"/>
      <c r="R801" s="334"/>
      <c r="S801" s="334"/>
      <c r="T801" s="334"/>
      <c r="U801" s="334"/>
      <c r="V801" s="334"/>
      <c r="W801" s="334"/>
      <c r="X801" s="334"/>
      <c r="Y801" s="334"/>
      <c r="Z801" s="334"/>
      <c r="AA801" s="334"/>
      <c r="AB801" s="334"/>
      <c r="AC801" s="334"/>
      <c r="AD801" s="334"/>
    </row>
    <row r="802" ht="16.5" customHeight="1">
      <c r="A802" s="334"/>
      <c r="B802" s="329"/>
      <c r="C802" s="329" t="s">
        <v>585</v>
      </c>
      <c r="D802" s="331" t="s">
        <v>585</v>
      </c>
      <c r="E802" s="331" t="s">
        <v>585</v>
      </c>
      <c r="F802" s="331" t="s">
        <v>585</v>
      </c>
      <c r="G802" s="331">
        <f>iferror(sumifs('Hợp tác'!G:G,'Hợp tác'!A:A,B802,'Hợp tác'!H:H,$G$2,'Hợp tác'!I:I,$I$2),"")</f>
        <v>0</v>
      </c>
      <c r="H802" s="332">
        <f>SUMIF(View!J:J,View!B:B,B802)</f>
        <v>0</v>
      </c>
      <c r="I802" s="332">
        <f>sumifs('Hoa Hồng'!L:L,'Hoa Hồng'!A:A,B802)</f>
        <v>0</v>
      </c>
      <c r="J802" s="332">
        <v>0.0</v>
      </c>
      <c r="K802" s="333" t="s">
        <v>1211</v>
      </c>
      <c r="L802" s="334"/>
      <c r="M802" s="334"/>
      <c r="N802" s="334"/>
      <c r="O802" s="334"/>
      <c r="P802" s="334"/>
      <c r="Q802" s="334"/>
      <c r="R802" s="334"/>
      <c r="S802" s="334"/>
      <c r="T802" s="334"/>
      <c r="U802" s="334"/>
      <c r="V802" s="334"/>
      <c r="W802" s="334"/>
      <c r="X802" s="334"/>
      <c r="Y802" s="334"/>
      <c r="Z802" s="334"/>
      <c r="AA802" s="334"/>
      <c r="AB802" s="334"/>
      <c r="AC802" s="334"/>
      <c r="AD802" s="334"/>
    </row>
    <row r="803" ht="16.5" customHeight="1">
      <c r="A803" s="334"/>
      <c r="B803" s="329"/>
      <c r="C803" s="329" t="s">
        <v>585</v>
      </c>
      <c r="D803" s="331" t="s">
        <v>585</v>
      </c>
      <c r="E803" s="331" t="s">
        <v>585</v>
      </c>
      <c r="F803" s="331" t="s">
        <v>585</v>
      </c>
      <c r="G803" s="331">
        <f>iferror(sumifs('Hợp tác'!G:G,'Hợp tác'!A:A,B803,'Hợp tác'!H:H,$G$2,'Hợp tác'!I:I,$I$2),"")</f>
        <v>0</v>
      </c>
      <c r="H803" s="332">
        <f>SUMIF(View!J:J,View!B:B,B803)</f>
        <v>0</v>
      </c>
      <c r="I803" s="332">
        <f>sumifs('Hoa Hồng'!L:L,'Hoa Hồng'!A:A,B803)</f>
        <v>0</v>
      </c>
      <c r="J803" s="332">
        <v>0.0</v>
      </c>
      <c r="K803" s="333" t="s">
        <v>1211</v>
      </c>
      <c r="L803" s="334"/>
      <c r="M803" s="334"/>
      <c r="N803" s="334"/>
      <c r="O803" s="334"/>
      <c r="P803" s="334"/>
      <c r="Q803" s="334"/>
      <c r="R803" s="334"/>
      <c r="S803" s="334"/>
      <c r="T803" s="334"/>
      <c r="U803" s="334"/>
      <c r="V803" s="334"/>
      <c r="W803" s="334"/>
      <c r="X803" s="334"/>
      <c r="Y803" s="334"/>
      <c r="Z803" s="334"/>
      <c r="AA803" s="334"/>
      <c r="AB803" s="334"/>
      <c r="AC803" s="334"/>
      <c r="AD803" s="334"/>
    </row>
    <row r="804" ht="16.5" customHeight="1">
      <c r="A804" s="334"/>
      <c r="B804" s="329"/>
      <c r="C804" s="329" t="s">
        <v>585</v>
      </c>
      <c r="D804" s="331" t="s">
        <v>585</v>
      </c>
      <c r="E804" s="331" t="s">
        <v>585</v>
      </c>
      <c r="F804" s="331" t="s">
        <v>585</v>
      </c>
      <c r="G804" s="331">
        <f>iferror(sumifs('Hợp tác'!G:G,'Hợp tác'!A:A,B804,'Hợp tác'!H:H,$G$2,'Hợp tác'!I:I,$I$2),"")</f>
        <v>0</v>
      </c>
      <c r="H804" s="332">
        <f>SUMIF(View!J:J,View!B:B,B804)</f>
        <v>0</v>
      </c>
      <c r="I804" s="332">
        <f>sumifs('Hoa Hồng'!L:L,'Hoa Hồng'!A:A,B804)</f>
        <v>0</v>
      </c>
      <c r="J804" s="332">
        <v>0.0</v>
      </c>
      <c r="K804" s="333" t="s">
        <v>1211</v>
      </c>
      <c r="L804" s="334"/>
      <c r="M804" s="334"/>
      <c r="N804" s="334"/>
      <c r="O804" s="334"/>
      <c r="P804" s="334"/>
      <c r="Q804" s="334"/>
      <c r="R804" s="334"/>
      <c r="S804" s="334"/>
      <c r="T804" s="334"/>
      <c r="U804" s="334"/>
      <c r="V804" s="334"/>
      <c r="W804" s="334"/>
      <c r="X804" s="334"/>
      <c r="Y804" s="334"/>
      <c r="Z804" s="334"/>
      <c r="AA804" s="334"/>
      <c r="AB804" s="334"/>
      <c r="AC804" s="334"/>
      <c r="AD804" s="334"/>
    </row>
    <row r="805" ht="16.5" customHeight="1">
      <c r="A805" s="334"/>
      <c r="B805" s="329"/>
      <c r="C805" s="329" t="s">
        <v>585</v>
      </c>
      <c r="D805" s="331" t="s">
        <v>585</v>
      </c>
      <c r="E805" s="331" t="s">
        <v>585</v>
      </c>
      <c r="F805" s="331" t="s">
        <v>585</v>
      </c>
      <c r="G805" s="331">
        <f>iferror(sumifs('Hợp tác'!G:G,'Hợp tác'!A:A,B805,'Hợp tác'!H:H,$G$2,'Hợp tác'!I:I,$I$2),"")</f>
        <v>0</v>
      </c>
      <c r="H805" s="332">
        <f>SUMIF(View!J:J,View!B:B,B805)</f>
        <v>0</v>
      </c>
      <c r="I805" s="332">
        <f>sumifs('Hoa Hồng'!L:L,'Hoa Hồng'!A:A,B805)</f>
        <v>0</v>
      </c>
      <c r="J805" s="332">
        <v>0.0</v>
      </c>
      <c r="K805" s="333" t="s">
        <v>1211</v>
      </c>
      <c r="L805" s="334"/>
      <c r="M805" s="334"/>
      <c r="N805" s="334"/>
      <c r="O805" s="334"/>
      <c r="P805" s="334"/>
      <c r="Q805" s="334"/>
      <c r="R805" s="334"/>
      <c r="S805" s="334"/>
      <c r="T805" s="334"/>
      <c r="U805" s="334"/>
      <c r="V805" s="334"/>
      <c r="W805" s="334"/>
      <c r="X805" s="334"/>
      <c r="Y805" s="334"/>
      <c r="Z805" s="334"/>
      <c r="AA805" s="334"/>
      <c r="AB805" s="334"/>
      <c r="AC805" s="334"/>
      <c r="AD805" s="334"/>
    </row>
    <row r="806" ht="16.5" customHeight="1">
      <c r="A806" s="334"/>
      <c r="B806" s="329"/>
      <c r="C806" s="329" t="s">
        <v>585</v>
      </c>
      <c r="D806" s="331" t="s">
        <v>585</v>
      </c>
      <c r="E806" s="331" t="s">
        <v>585</v>
      </c>
      <c r="F806" s="331" t="s">
        <v>585</v>
      </c>
      <c r="G806" s="331">
        <f>iferror(sumifs('Hợp tác'!G:G,'Hợp tác'!A:A,B806,'Hợp tác'!H:H,$G$2,'Hợp tác'!I:I,$I$2),"")</f>
        <v>0</v>
      </c>
      <c r="H806" s="332">
        <f>SUMIF(View!J:J,View!B:B,B806)</f>
        <v>0</v>
      </c>
      <c r="I806" s="332">
        <f>sumifs('Hoa Hồng'!L:L,'Hoa Hồng'!A:A,B806)</f>
        <v>0</v>
      </c>
      <c r="J806" s="332">
        <v>0.0</v>
      </c>
      <c r="K806" s="333" t="s">
        <v>1211</v>
      </c>
      <c r="L806" s="334"/>
      <c r="M806" s="334"/>
      <c r="N806" s="334"/>
      <c r="O806" s="334"/>
      <c r="P806" s="334"/>
      <c r="Q806" s="334"/>
      <c r="R806" s="334"/>
      <c r="S806" s="334"/>
      <c r="T806" s="334"/>
      <c r="U806" s="334"/>
      <c r="V806" s="334"/>
      <c r="W806" s="334"/>
      <c r="X806" s="334"/>
      <c r="Y806" s="334"/>
      <c r="Z806" s="334"/>
      <c r="AA806" s="334"/>
      <c r="AB806" s="334"/>
      <c r="AC806" s="334"/>
      <c r="AD806" s="334"/>
    </row>
    <row r="807" ht="16.5" customHeight="1">
      <c r="A807" s="334"/>
      <c r="B807" s="329"/>
      <c r="C807" s="329" t="s">
        <v>585</v>
      </c>
      <c r="D807" s="331" t="s">
        <v>585</v>
      </c>
      <c r="E807" s="331" t="s">
        <v>585</v>
      </c>
      <c r="F807" s="331" t="s">
        <v>585</v>
      </c>
      <c r="G807" s="331">
        <f>iferror(sumifs('Hợp tác'!G:G,'Hợp tác'!A:A,B807,'Hợp tác'!H:H,$G$2,'Hợp tác'!I:I,$I$2),"")</f>
        <v>0</v>
      </c>
      <c r="H807" s="332">
        <f>SUMIF(View!J:J,View!B:B,B807)</f>
        <v>0</v>
      </c>
      <c r="I807" s="332">
        <f>sumifs('Hoa Hồng'!L:L,'Hoa Hồng'!A:A,B807)</f>
        <v>0</v>
      </c>
      <c r="J807" s="332">
        <v>0.0</v>
      </c>
      <c r="K807" s="333" t="s">
        <v>1211</v>
      </c>
      <c r="L807" s="334"/>
      <c r="M807" s="334"/>
      <c r="N807" s="334"/>
      <c r="O807" s="334"/>
      <c r="P807" s="334"/>
      <c r="Q807" s="334"/>
      <c r="R807" s="334"/>
      <c r="S807" s="334"/>
      <c r="T807" s="334"/>
      <c r="U807" s="334"/>
      <c r="V807" s="334"/>
      <c r="W807" s="334"/>
      <c r="X807" s="334"/>
      <c r="Y807" s="334"/>
      <c r="Z807" s="334"/>
      <c r="AA807" s="334"/>
      <c r="AB807" s="334"/>
      <c r="AC807" s="334"/>
      <c r="AD807" s="334"/>
    </row>
    <row r="808" ht="16.5" customHeight="1">
      <c r="A808" s="334"/>
      <c r="B808" s="329"/>
      <c r="C808" s="329" t="s">
        <v>585</v>
      </c>
      <c r="D808" s="331" t="s">
        <v>585</v>
      </c>
      <c r="E808" s="331" t="s">
        <v>585</v>
      </c>
      <c r="F808" s="331" t="s">
        <v>585</v>
      </c>
      <c r="G808" s="331">
        <f>iferror(sumifs('Hợp tác'!G:G,'Hợp tác'!A:A,B808,'Hợp tác'!H:H,$G$2,'Hợp tác'!I:I,$I$2),"")</f>
        <v>0</v>
      </c>
      <c r="H808" s="332">
        <f>SUMIF(View!J:J,View!B:B,B808)</f>
        <v>0</v>
      </c>
      <c r="I808" s="332">
        <f>sumifs('Hoa Hồng'!L:L,'Hoa Hồng'!A:A,B808)</f>
        <v>0</v>
      </c>
      <c r="J808" s="332">
        <v>0.0</v>
      </c>
      <c r="K808" s="333" t="s">
        <v>1211</v>
      </c>
      <c r="L808" s="334"/>
      <c r="M808" s="334"/>
      <c r="N808" s="334"/>
      <c r="O808" s="334"/>
      <c r="P808" s="334"/>
      <c r="Q808" s="334"/>
      <c r="R808" s="334"/>
      <c r="S808" s="334"/>
      <c r="T808" s="334"/>
      <c r="U808" s="334"/>
      <c r="V808" s="334"/>
      <c r="W808" s="334"/>
      <c r="X808" s="334"/>
      <c r="Y808" s="334"/>
      <c r="Z808" s="334"/>
      <c r="AA808" s="334"/>
      <c r="AB808" s="334"/>
      <c r="AC808" s="334"/>
      <c r="AD808" s="334"/>
    </row>
    <row r="809" ht="16.5" customHeight="1">
      <c r="A809" s="334"/>
      <c r="B809" s="329"/>
      <c r="C809" s="329" t="s">
        <v>585</v>
      </c>
      <c r="D809" s="331" t="s">
        <v>585</v>
      </c>
      <c r="E809" s="331" t="s">
        <v>585</v>
      </c>
      <c r="F809" s="331" t="s">
        <v>585</v>
      </c>
      <c r="G809" s="331">
        <f>iferror(sumifs('Hợp tác'!G:G,'Hợp tác'!A:A,B809,'Hợp tác'!H:H,$G$2,'Hợp tác'!I:I,$I$2),"")</f>
        <v>0</v>
      </c>
      <c r="H809" s="332">
        <f>SUMIF(View!J:J,View!B:B,B809)</f>
        <v>0</v>
      </c>
      <c r="I809" s="332">
        <f>sumifs('Hoa Hồng'!L:L,'Hoa Hồng'!A:A,B809)</f>
        <v>0</v>
      </c>
      <c r="J809" s="332">
        <v>0.0</v>
      </c>
      <c r="K809" s="333" t="s">
        <v>1211</v>
      </c>
      <c r="L809" s="334"/>
      <c r="M809" s="334"/>
      <c r="N809" s="334"/>
      <c r="O809" s="334"/>
      <c r="P809" s="334"/>
      <c r="Q809" s="334"/>
      <c r="R809" s="334"/>
      <c r="S809" s="334"/>
      <c r="T809" s="334"/>
      <c r="U809" s="334"/>
      <c r="V809" s="334"/>
      <c r="W809" s="334"/>
      <c r="X809" s="334"/>
      <c r="Y809" s="334"/>
      <c r="Z809" s="334"/>
      <c r="AA809" s="334"/>
      <c r="AB809" s="334"/>
      <c r="AC809" s="334"/>
      <c r="AD809" s="334"/>
    </row>
    <row r="810" ht="16.5" customHeight="1">
      <c r="A810" s="334"/>
      <c r="B810" s="329"/>
      <c r="C810" s="329" t="s">
        <v>585</v>
      </c>
      <c r="D810" s="331" t="s">
        <v>585</v>
      </c>
      <c r="E810" s="331" t="s">
        <v>585</v>
      </c>
      <c r="F810" s="331" t="s">
        <v>585</v>
      </c>
      <c r="G810" s="331">
        <f>iferror(sumifs('Hợp tác'!G:G,'Hợp tác'!A:A,B810,'Hợp tác'!H:H,$G$2,'Hợp tác'!I:I,$I$2),"")</f>
        <v>0</v>
      </c>
      <c r="H810" s="332">
        <f>SUMIF(View!J:J,View!B:B,B810)</f>
        <v>0</v>
      </c>
      <c r="I810" s="332">
        <f>sumifs('Hoa Hồng'!L:L,'Hoa Hồng'!A:A,B810)</f>
        <v>0</v>
      </c>
      <c r="J810" s="332">
        <v>0.0</v>
      </c>
      <c r="K810" s="333" t="s">
        <v>1211</v>
      </c>
      <c r="L810" s="334"/>
      <c r="M810" s="334"/>
      <c r="N810" s="334"/>
      <c r="O810" s="334"/>
      <c r="P810" s="334"/>
      <c r="Q810" s="334"/>
      <c r="R810" s="334"/>
      <c r="S810" s="334"/>
      <c r="T810" s="334"/>
      <c r="U810" s="334"/>
      <c r="V810" s="334"/>
      <c r="W810" s="334"/>
      <c r="X810" s="334"/>
      <c r="Y810" s="334"/>
      <c r="Z810" s="334"/>
      <c r="AA810" s="334"/>
      <c r="AB810" s="334"/>
      <c r="AC810" s="334"/>
      <c r="AD810" s="334"/>
    </row>
    <row r="811" ht="16.5" customHeight="1">
      <c r="A811" s="334"/>
      <c r="B811" s="329"/>
      <c r="C811" s="329" t="s">
        <v>585</v>
      </c>
      <c r="D811" s="331" t="s">
        <v>585</v>
      </c>
      <c r="E811" s="331" t="s">
        <v>585</v>
      </c>
      <c r="F811" s="331" t="s">
        <v>585</v>
      </c>
      <c r="G811" s="331">
        <f>iferror(sumifs('Hợp tác'!G:G,'Hợp tác'!A:A,B811,'Hợp tác'!H:H,$G$2,'Hợp tác'!I:I,$I$2),"")</f>
        <v>0</v>
      </c>
      <c r="H811" s="332">
        <f>SUMIF(View!J:J,View!B:B,B811)</f>
        <v>0</v>
      </c>
      <c r="I811" s="332">
        <f>sumifs('Hoa Hồng'!L:L,'Hoa Hồng'!A:A,B811)</f>
        <v>0</v>
      </c>
      <c r="J811" s="332">
        <v>0.0</v>
      </c>
      <c r="K811" s="333" t="s">
        <v>1211</v>
      </c>
      <c r="L811" s="334"/>
      <c r="M811" s="334"/>
      <c r="N811" s="334"/>
      <c r="O811" s="334"/>
      <c r="P811" s="334"/>
      <c r="Q811" s="334"/>
      <c r="R811" s="334"/>
      <c r="S811" s="334"/>
      <c r="T811" s="334"/>
      <c r="U811" s="334"/>
      <c r="V811" s="334"/>
      <c r="W811" s="334"/>
      <c r="X811" s="334"/>
      <c r="Y811" s="334"/>
      <c r="Z811" s="334"/>
      <c r="AA811" s="334"/>
      <c r="AB811" s="334"/>
      <c r="AC811" s="334"/>
      <c r="AD811" s="334"/>
    </row>
    <row r="812" ht="16.5" customHeight="1">
      <c r="A812" s="334"/>
      <c r="B812" s="329"/>
      <c r="C812" s="329" t="s">
        <v>585</v>
      </c>
      <c r="D812" s="331" t="s">
        <v>585</v>
      </c>
      <c r="E812" s="331" t="s">
        <v>585</v>
      </c>
      <c r="F812" s="331" t="s">
        <v>585</v>
      </c>
      <c r="G812" s="331">
        <f>iferror(sumifs('Hợp tác'!G:G,'Hợp tác'!A:A,B812,'Hợp tác'!H:H,$G$2,'Hợp tác'!I:I,$I$2),"")</f>
        <v>0</v>
      </c>
      <c r="H812" s="332">
        <f>SUMIF(View!J:J,View!B:B,B812)</f>
        <v>0</v>
      </c>
      <c r="I812" s="332">
        <f>sumifs('Hoa Hồng'!L:L,'Hoa Hồng'!A:A,B812)</f>
        <v>0</v>
      </c>
      <c r="J812" s="332">
        <v>0.0</v>
      </c>
      <c r="K812" s="333" t="s">
        <v>1211</v>
      </c>
      <c r="L812" s="334"/>
      <c r="M812" s="334"/>
      <c r="N812" s="334"/>
      <c r="O812" s="334"/>
      <c r="P812" s="334"/>
      <c r="Q812" s="334"/>
      <c r="R812" s="334"/>
      <c r="S812" s="334"/>
      <c r="T812" s="334"/>
      <c r="U812" s="334"/>
      <c r="V812" s="334"/>
      <c r="W812" s="334"/>
      <c r="X812" s="334"/>
      <c r="Y812" s="334"/>
      <c r="Z812" s="334"/>
      <c r="AA812" s="334"/>
      <c r="AB812" s="334"/>
      <c r="AC812" s="334"/>
      <c r="AD812" s="334"/>
    </row>
    <row r="813" ht="16.5" customHeight="1">
      <c r="A813" s="334"/>
      <c r="B813" s="329"/>
      <c r="C813" s="329" t="s">
        <v>585</v>
      </c>
      <c r="D813" s="331" t="s">
        <v>585</v>
      </c>
      <c r="E813" s="331" t="s">
        <v>585</v>
      </c>
      <c r="F813" s="331" t="s">
        <v>585</v>
      </c>
      <c r="G813" s="331">
        <f>iferror(sumifs('Hợp tác'!G:G,'Hợp tác'!A:A,B813,'Hợp tác'!H:H,$G$2,'Hợp tác'!I:I,$I$2),"")</f>
        <v>0</v>
      </c>
      <c r="H813" s="332">
        <f>SUMIF(View!J:J,View!B:B,B813)</f>
        <v>0</v>
      </c>
      <c r="I813" s="332">
        <f>sumifs('Hoa Hồng'!L:L,'Hoa Hồng'!A:A,B813)</f>
        <v>0</v>
      </c>
      <c r="J813" s="332">
        <v>0.0</v>
      </c>
      <c r="K813" s="333" t="s">
        <v>1211</v>
      </c>
      <c r="L813" s="334"/>
      <c r="M813" s="334"/>
      <c r="N813" s="334"/>
      <c r="O813" s="334"/>
      <c r="P813" s="334"/>
      <c r="Q813" s="334"/>
      <c r="R813" s="334"/>
      <c r="S813" s="334"/>
      <c r="T813" s="334"/>
      <c r="U813" s="334"/>
      <c r="V813" s="334"/>
      <c r="W813" s="334"/>
      <c r="X813" s="334"/>
      <c r="Y813" s="334"/>
      <c r="Z813" s="334"/>
      <c r="AA813" s="334"/>
      <c r="AB813" s="334"/>
      <c r="AC813" s="334"/>
      <c r="AD813" s="334"/>
    </row>
    <row r="814" ht="16.5" customHeight="1">
      <c r="A814" s="334"/>
      <c r="B814" s="329"/>
      <c r="C814" s="329" t="s">
        <v>585</v>
      </c>
      <c r="D814" s="331" t="s">
        <v>585</v>
      </c>
      <c r="E814" s="331" t="s">
        <v>585</v>
      </c>
      <c r="F814" s="331" t="s">
        <v>585</v>
      </c>
      <c r="G814" s="331">
        <f>iferror(sumifs('Hợp tác'!G:G,'Hợp tác'!A:A,B814,'Hợp tác'!H:H,$G$2,'Hợp tác'!I:I,$I$2),"")</f>
        <v>0</v>
      </c>
      <c r="H814" s="332">
        <f>SUMIF(View!J:J,View!B:B,B814)</f>
        <v>0</v>
      </c>
      <c r="I814" s="332">
        <f>sumifs('Hoa Hồng'!L:L,'Hoa Hồng'!A:A,B814)</f>
        <v>0</v>
      </c>
      <c r="J814" s="332">
        <v>0.0</v>
      </c>
      <c r="K814" s="333" t="s">
        <v>1211</v>
      </c>
      <c r="L814" s="334"/>
      <c r="M814" s="334"/>
      <c r="N814" s="334"/>
      <c r="O814" s="334"/>
      <c r="P814" s="334"/>
      <c r="Q814" s="334"/>
      <c r="R814" s="334"/>
      <c r="S814" s="334"/>
      <c r="T814" s="334"/>
      <c r="U814" s="334"/>
      <c r="V814" s="334"/>
      <c r="W814" s="334"/>
      <c r="X814" s="334"/>
      <c r="Y814" s="334"/>
      <c r="Z814" s="334"/>
      <c r="AA814" s="334"/>
      <c r="AB814" s="334"/>
      <c r="AC814" s="334"/>
      <c r="AD814" s="334"/>
    </row>
    <row r="815" ht="16.5" customHeight="1">
      <c r="A815" s="334"/>
      <c r="B815" s="329"/>
      <c r="C815" s="329" t="s">
        <v>585</v>
      </c>
      <c r="D815" s="331" t="s">
        <v>585</v>
      </c>
      <c r="E815" s="331" t="s">
        <v>585</v>
      </c>
      <c r="F815" s="331" t="s">
        <v>585</v>
      </c>
      <c r="G815" s="331">
        <f>iferror(sumifs('Hợp tác'!G:G,'Hợp tác'!A:A,B815,'Hợp tác'!H:H,$G$2,'Hợp tác'!I:I,$I$2),"")</f>
        <v>0</v>
      </c>
      <c r="H815" s="332">
        <f>SUMIF(View!J:J,View!B:B,B815)</f>
        <v>0</v>
      </c>
      <c r="I815" s="332">
        <f>sumifs('Hoa Hồng'!L:L,'Hoa Hồng'!A:A,B815)</f>
        <v>0</v>
      </c>
      <c r="J815" s="332">
        <v>0.0</v>
      </c>
      <c r="K815" s="333" t="s">
        <v>1211</v>
      </c>
      <c r="L815" s="334"/>
      <c r="M815" s="334"/>
      <c r="N815" s="334"/>
      <c r="O815" s="334"/>
      <c r="P815" s="334"/>
      <c r="Q815" s="334"/>
      <c r="R815" s="334"/>
      <c r="S815" s="334"/>
      <c r="T815" s="334"/>
      <c r="U815" s="334"/>
      <c r="V815" s="334"/>
      <c r="W815" s="334"/>
      <c r="X815" s="334"/>
      <c r="Y815" s="334"/>
      <c r="Z815" s="334"/>
      <c r="AA815" s="334"/>
      <c r="AB815" s="334"/>
      <c r="AC815" s="334"/>
      <c r="AD815" s="334"/>
    </row>
    <row r="816" ht="16.5" customHeight="1">
      <c r="A816" s="334"/>
      <c r="B816" s="329"/>
      <c r="C816" s="329" t="s">
        <v>585</v>
      </c>
      <c r="D816" s="331" t="s">
        <v>585</v>
      </c>
      <c r="E816" s="331" t="s">
        <v>585</v>
      </c>
      <c r="F816" s="331" t="s">
        <v>585</v>
      </c>
      <c r="G816" s="331">
        <f>iferror(sumifs('Hợp tác'!G:G,'Hợp tác'!A:A,B816,'Hợp tác'!H:H,$G$2,'Hợp tác'!I:I,$I$2),"")</f>
        <v>0</v>
      </c>
      <c r="H816" s="332">
        <f>SUMIF(View!J:J,View!B:B,B816)</f>
        <v>0</v>
      </c>
      <c r="I816" s="332">
        <f>sumifs('Hoa Hồng'!L:L,'Hoa Hồng'!A:A,B816)</f>
        <v>0</v>
      </c>
      <c r="J816" s="332">
        <v>0.0</v>
      </c>
      <c r="K816" s="333" t="s">
        <v>1211</v>
      </c>
      <c r="L816" s="334"/>
      <c r="M816" s="334"/>
      <c r="N816" s="334"/>
      <c r="O816" s="334"/>
      <c r="P816" s="334"/>
      <c r="Q816" s="334"/>
      <c r="R816" s="334"/>
      <c r="S816" s="334"/>
      <c r="T816" s="334"/>
      <c r="U816" s="334"/>
      <c r="V816" s="334"/>
      <c r="W816" s="334"/>
      <c r="X816" s="334"/>
      <c r="Y816" s="334"/>
      <c r="Z816" s="334"/>
      <c r="AA816" s="334"/>
      <c r="AB816" s="334"/>
      <c r="AC816" s="334"/>
      <c r="AD816" s="334"/>
    </row>
    <row r="817" ht="16.5" customHeight="1">
      <c r="A817" s="334"/>
      <c r="B817" s="329"/>
      <c r="C817" s="329" t="s">
        <v>585</v>
      </c>
      <c r="D817" s="331" t="s">
        <v>585</v>
      </c>
      <c r="E817" s="331" t="s">
        <v>585</v>
      </c>
      <c r="F817" s="331" t="s">
        <v>585</v>
      </c>
      <c r="G817" s="331">
        <f>iferror(sumifs('Hợp tác'!G:G,'Hợp tác'!A:A,B817,'Hợp tác'!H:H,$G$2,'Hợp tác'!I:I,$I$2),"")</f>
        <v>0</v>
      </c>
      <c r="H817" s="332">
        <f>SUMIF(View!J:J,View!B:B,B817)</f>
        <v>0</v>
      </c>
      <c r="I817" s="332">
        <f>sumifs('Hoa Hồng'!L:L,'Hoa Hồng'!A:A,B817)</f>
        <v>0</v>
      </c>
      <c r="J817" s="332">
        <v>0.0</v>
      </c>
      <c r="K817" s="333" t="s">
        <v>1211</v>
      </c>
      <c r="L817" s="334"/>
      <c r="M817" s="334"/>
      <c r="N817" s="334"/>
      <c r="O817" s="334"/>
      <c r="P817" s="334"/>
      <c r="Q817" s="334"/>
      <c r="R817" s="334"/>
      <c r="S817" s="334"/>
      <c r="T817" s="334"/>
      <c r="U817" s="334"/>
      <c r="V817" s="334"/>
      <c r="W817" s="334"/>
      <c r="X817" s="334"/>
      <c r="Y817" s="334"/>
      <c r="Z817" s="334"/>
      <c r="AA817" s="334"/>
      <c r="AB817" s="334"/>
      <c r="AC817" s="334"/>
      <c r="AD817" s="334"/>
    </row>
    <row r="818" ht="16.5" customHeight="1">
      <c r="A818" s="334"/>
      <c r="B818" s="329"/>
      <c r="C818" s="329" t="s">
        <v>585</v>
      </c>
      <c r="D818" s="331" t="s">
        <v>585</v>
      </c>
      <c r="E818" s="331" t="s">
        <v>585</v>
      </c>
      <c r="F818" s="331" t="s">
        <v>585</v>
      </c>
      <c r="G818" s="331">
        <f>iferror(sumifs('Hợp tác'!G:G,'Hợp tác'!A:A,B818,'Hợp tác'!H:H,$G$2,'Hợp tác'!I:I,$I$2),"")</f>
        <v>0</v>
      </c>
      <c r="H818" s="332">
        <f>SUMIF(View!J:J,View!B:B,B818)</f>
        <v>0</v>
      </c>
      <c r="I818" s="332">
        <f>sumifs('Hoa Hồng'!L:L,'Hoa Hồng'!A:A,B818)</f>
        <v>0</v>
      </c>
      <c r="J818" s="332">
        <v>0.0</v>
      </c>
      <c r="K818" s="333" t="s">
        <v>1211</v>
      </c>
      <c r="L818" s="334"/>
      <c r="M818" s="334"/>
      <c r="N818" s="334"/>
      <c r="O818" s="334"/>
      <c r="P818" s="334"/>
      <c r="Q818" s="334"/>
      <c r="R818" s="334"/>
      <c r="S818" s="334"/>
      <c r="T818" s="334"/>
      <c r="U818" s="334"/>
      <c r="V818" s="334"/>
      <c r="W818" s="334"/>
      <c r="X818" s="334"/>
      <c r="Y818" s="334"/>
      <c r="Z818" s="334"/>
      <c r="AA818" s="334"/>
      <c r="AB818" s="334"/>
      <c r="AC818" s="334"/>
      <c r="AD818" s="334"/>
    </row>
    <row r="819" ht="16.5" customHeight="1">
      <c r="A819" s="334"/>
      <c r="B819" s="329"/>
      <c r="C819" s="329" t="s">
        <v>585</v>
      </c>
      <c r="D819" s="331" t="s">
        <v>585</v>
      </c>
      <c r="E819" s="331" t="s">
        <v>585</v>
      </c>
      <c r="F819" s="331" t="s">
        <v>585</v>
      </c>
      <c r="G819" s="331">
        <f>iferror(sumifs('Hợp tác'!G:G,'Hợp tác'!A:A,B819,'Hợp tác'!H:H,$G$2,'Hợp tác'!I:I,$I$2),"")</f>
        <v>0</v>
      </c>
      <c r="H819" s="332">
        <f>SUMIF(View!J:J,View!B:B,B819)</f>
        <v>0</v>
      </c>
      <c r="I819" s="332">
        <f>sumifs('Hoa Hồng'!L:L,'Hoa Hồng'!A:A,B819)</f>
        <v>0</v>
      </c>
      <c r="J819" s="332">
        <v>0.0</v>
      </c>
      <c r="K819" s="333" t="s">
        <v>1211</v>
      </c>
      <c r="L819" s="334"/>
      <c r="M819" s="334"/>
      <c r="N819" s="334"/>
      <c r="O819" s="334"/>
      <c r="P819" s="334"/>
      <c r="Q819" s="334"/>
      <c r="R819" s="334"/>
      <c r="S819" s="334"/>
      <c r="T819" s="334"/>
      <c r="U819" s="334"/>
      <c r="V819" s="334"/>
      <c r="W819" s="334"/>
      <c r="X819" s="334"/>
      <c r="Y819" s="334"/>
      <c r="Z819" s="334"/>
      <c r="AA819" s="334"/>
      <c r="AB819" s="334"/>
      <c r="AC819" s="334"/>
      <c r="AD819" s="334"/>
    </row>
    <row r="820" ht="16.5" customHeight="1">
      <c r="A820" s="334"/>
      <c r="B820" s="329"/>
      <c r="C820" s="329" t="s">
        <v>585</v>
      </c>
      <c r="D820" s="331" t="s">
        <v>585</v>
      </c>
      <c r="E820" s="331" t="s">
        <v>585</v>
      </c>
      <c r="F820" s="331" t="s">
        <v>585</v>
      </c>
      <c r="G820" s="331">
        <f>iferror(sumifs('Hợp tác'!G:G,'Hợp tác'!A:A,B820,'Hợp tác'!H:H,$G$2,'Hợp tác'!I:I,$I$2),"")</f>
        <v>0</v>
      </c>
      <c r="H820" s="332">
        <f>SUMIF(View!J:J,View!B:B,B820)</f>
        <v>0</v>
      </c>
      <c r="I820" s="332">
        <f>sumifs('Hoa Hồng'!L:L,'Hoa Hồng'!A:A,B820)</f>
        <v>0</v>
      </c>
      <c r="J820" s="332">
        <v>0.0</v>
      </c>
      <c r="K820" s="333" t="s">
        <v>1211</v>
      </c>
      <c r="L820" s="334"/>
      <c r="M820" s="334"/>
      <c r="N820" s="334"/>
      <c r="O820" s="334"/>
      <c r="P820" s="334"/>
      <c r="Q820" s="334"/>
      <c r="R820" s="334"/>
      <c r="S820" s="334"/>
      <c r="T820" s="334"/>
      <c r="U820" s="334"/>
      <c r="V820" s="334"/>
      <c r="W820" s="334"/>
      <c r="X820" s="334"/>
      <c r="Y820" s="334"/>
      <c r="Z820" s="334"/>
      <c r="AA820" s="334"/>
      <c r="AB820" s="334"/>
      <c r="AC820" s="334"/>
      <c r="AD820" s="334"/>
    </row>
    <row r="821" ht="16.5" customHeight="1">
      <c r="A821" s="334"/>
      <c r="B821" s="329"/>
      <c r="C821" s="329" t="s">
        <v>585</v>
      </c>
      <c r="D821" s="331" t="s">
        <v>585</v>
      </c>
      <c r="E821" s="331" t="s">
        <v>585</v>
      </c>
      <c r="F821" s="331" t="s">
        <v>585</v>
      </c>
      <c r="G821" s="331">
        <f>iferror(sumifs('Hợp tác'!G:G,'Hợp tác'!A:A,B821,'Hợp tác'!H:H,$G$2,'Hợp tác'!I:I,$I$2),"")</f>
        <v>0</v>
      </c>
      <c r="H821" s="332">
        <f>SUMIF(View!J:J,View!B:B,B821)</f>
        <v>0</v>
      </c>
      <c r="I821" s="332">
        <f>sumifs('Hoa Hồng'!L:L,'Hoa Hồng'!A:A,B821)</f>
        <v>0</v>
      </c>
      <c r="J821" s="332">
        <v>0.0</v>
      </c>
      <c r="K821" s="333" t="s">
        <v>1211</v>
      </c>
      <c r="L821" s="334"/>
      <c r="M821" s="334"/>
      <c r="N821" s="334"/>
      <c r="O821" s="334"/>
      <c r="P821" s="334"/>
      <c r="Q821" s="334"/>
      <c r="R821" s="334"/>
      <c r="S821" s="334"/>
      <c r="T821" s="334"/>
      <c r="U821" s="334"/>
      <c r="V821" s="334"/>
      <c r="W821" s="334"/>
      <c r="X821" s="334"/>
      <c r="Y821" s="334"/>
      <c r="Z821" s="334"/>
      <c r="AA821" s="334"/>
      <c r="AB821" s="334"/>
      <c r="AC821" s="334"/>
      <c r="AD821" s="334"/>
    </row>
    <row r="822" ht="16.5" customHeight="1">
      <c r="A822" s="334"/>
      <c r="B822" s="329"/>
      <c r="C822" s="329" t="s">
        <v>585</v>
      </c>
      <c r="D822" s="331" t="s">
        <v>585</v>
      </c>
      <c r="E822" s="331" t="s">
        <v>585</v>
      </c>
      <c r="F822" s="331" t="s">
        <v>585</v>
      </c>
      <c r="G822" s="331">
        <f>iferror(sumifs('Hợp tác'!G:G,'Hợp tác'!A:A,B822,'Hợp tác'!H:H,$G$2,'Hợp tác'!I:I,$I$2),"")</f>
        <v>0</v>
      </c>
      <c r="H822" s="332">
        <f>SUMIF(View!J:J,View!B:B,B822)</f>
        <v>0</v>
      </c>
      <c r="I822" s="332">
        <f>sumifs('Hoa Hồng'!L:L,'Hoa Hồng'!A:A,B822)</f>
        <v>0</v>
      </c>
      <c r="J822" s="332">
        <v>0.0</v>
      </c>
      <c r="K822" s="333" t="s">
        <v>1211</v>
      </c>
      <c r="L822" s="334"/>
      <c r="M822" s="334"/>
      <c r="N822" s="334"/>
      <c r="O822" s="334"/>
      <c r="P822" s="334"/>
      <c r="Q822" s="334"/>
      <c r="R822" s="334"/>
      <c r="S822" s="334"/>
      <c r="T822" s="334"/>
      <c r="U822" s="334"/>
      <c r="V822" s="334"/>
      <c r="W822" s="334"/>
      <c r="X822" s="334"/>
      <c r="Y822" s="334"/>
      <c r="Z822" s="334"/>
      <c r="AA822" s="334"/>
      <c r="AB822" s="334"/>
      <c r="AC822" s="334"/>
      <c r="AD822" s="334"/>
    </row>
    <row r="823" ht="16.5" customHeight="1">
      <c r="A823" s="334"/>
      <c r="B823" s="329"/>
      <c r="C823" s="329" t="s">
        <v>585</v>
      </c>
      <c r="D823" s="331" t="s">
        <v>585</v>
      </c>
      <c r="E823" s="331" t="s">
        <v>585</v>
      </c>
      <c r="F823" s="331" t="s">
        <v>585</v>
      </c>
      <c r="G823" s="331">
        <f>iferror(sumifs('Hợp tác'!G:G,'Hợp tác'!A:A,B823,'Hợp tác'!H:H,$G$2,'Hợp tác'!I:I,$I$2),"")</f>
        <v>0</v>
      </c>
      <c r="H823" s="332">
        <f>SUMIF(View!J:J,View!B:B,B823)</f>
        <v>0</v>
      </c>
      <c r="I823" s="332">
        <f>sumifs('Hoa Hồng'!L:L,'Hoa Hồng'!A:A,B823)</f>
        <v>0</v>
      </c>
      <c r="J823" s="332">
        <v>0.0</v>
      </c>
      <c r="K823" s="333" t="s">
        <v>1211</v>
      </c>
      <c r="L823" s="334"/>
      <c r="M823" s="334"/>
      <c r="N823" s="334"/>
      <c r="O823" s="334"/>
      <c r="P823" s="334"/>
      <c r="Q823" s="334"/>
      <c r="R823" s="334"/>
      <c r="S823" s="334"/>
      <c r="T823" s="334"/>
      <c r="U823" s="334"/>
      <c r="V823" s="334"/>
      <c r="W823" s="334"/>
      <c r="X823" s="334"/>
      <c r="Y823" s="334"/>
      <c r="Z823" s="334"/>
      <c r="AA823" s="334"/>
      <c r="AB823" s="334"/>
      <c r="AC823" s="334"/>
      <c r="AD823" s="334"/>
    </row>
    <row r="824" ht="16.5" customHeight="1">
      <c r="A824" s="334"/>
      <c r="B824" s="329"/>
      <c r="C824" s="329" t="s">
        <v>585</v>
      </c>
      <c r="D824" s="331" t="s">
        <v>585</v>
      </c>
      <c r="E824" s="331" t="s">
        <v>585</v>
      </c>
      <c r="F824" s="331" t="s">
        <v>585</v>
      </c>
      <c r="G824" s="331">
        <f>iferror(sumifs('Hợp tác'!G:G,'Hợp tác'!A:A,B824,'Hợp tác'!H:H,$G$2,'Hợp tác'!I:I,$I$2),"")</f>
        <v>0</v>
      </c>
      <c r="H824" s="332">
        <f>SUMIF(View!J:J,View!B:B,B824)</f>
        <v>0</v>
      </c>
      <c r="I824" s="332">
        <f>sumifs('Hoa Hồng'!L:L,'Hoa Hồng'!A:A,B824)</f>
        <v>0</v>
      </c>
      <c r="J824" s="332">
        <v>0.0</v>
      </c>
      <c r="K824" s="333" t="s">
        <v>1211</v>
      </c>
      <c r="L824" s="334"/>
      <c r="M824" s="334"/>
      <c r="N824" s="334"/>
      <c r="O824" s="334"/>
      <c r="P824" s="334"/>
      <c r="Q824" s="334"/>
      <c r="R824" s="334"/>
      <c r="S824" s="334"/>
      <c r="T824" s="334"/>
      <c r="U824" s="334"/>
      <c r="V824" s="334"/>
      <c r="W824" s="334"/>
      <c r="X824" s="334"/>
      <c r="Y824" s="334"/>
      <c r="Z824" s="334"/>
      <c r="AA824" s="334"/>
      <c r="AB824" s="334"/>
      <c r="AC824" s="334"/>
      <c r="AD824" s="334"/>
    </row>
    <row r="825" ht="16.5" customHeight="1">
      <c r="A825" s="334"/>
      <c r="B825" s="329"/>
      <c r="C825" s="329" t="s">
        <v>585</v>
      </c>
      <c r="D825" s="331" t="s">
        <v>585</v>
      </c>
      <c r="E825" s="331" t="s">
        <v>585</v>
      </c>
      <c r="F825" s="331" t="s">
        <v>585</v>
      </c>
      <c r="G825" s="331">
        <f>iferror(sumifs('Hợp tác'!G:G,'Hợp tác'!A:A,B825,'Hợp tác'!H:H,$G$2,'Hợp tác'!I:I,$I$2),"")</f>
        <v>0</v>
      </c>
      <c r="H825" s="332">
        <f>SUMIF(View!J:J,View!B:B,B825)</f>
        <v>0</v>
      </c>
      <c r="I825" s="332">
        <f>sumifs('Hoa Hồng'!L:L,'Hoa Hồng'!A:A,B825)</f>
        <v>0</v>
      </c>
      <c r="J825" s="332">
        <v>0.0</v>
      </c>
      <c r="K825" s="333" t="s">
        <v>1211</v>
      </c>
      <c r="L825" s="334"/>
      <c r="M825" s="334"/>
      <c r="N825" s="334"/>
      <c r="O825" s="334"/>
      <c r="P825" s="334"/>
      <c r="Q825" s="334"/>
      <c r="R825" s="334"/>
      <c r="S825" s="334"/>
      <c r="T825" s="334"/>
      <c r="U825" s="334"/>
      <c r="V825" s="334"/>
      <c r="W825" s="334"/>
      <c r="X825" s="334"/>
      <c r="Y825" s="334"/>
      <c r="Z825" s="334"/>
      <c r="AA825" s="334"/>
      <c r="AB825" s="334"/>
      <c r="AC825" s="334"/>
      <c r="AD825" s="334"/>
    </row>
    <row r="826" ht="16.5" customHeight="1">
      <c r="A826" s="334"/>
      <c r="B826" s="329"/>
      <c r="C826" s="329" t="s">
        <v>585</v>
      </c>
      <c r="D826" s="331" t="s">
        <v>585</v>
      </c>
      <c r="E826" s="331" t="s">
        <v>585</v>
      </c>
      <c r="F826" s="331" t="s">
        <v>585</v>
      </c>
      <c r="G826" s="331">
        <f>iferror(sumifs('Hợp tác'!G:G,'Hợp tác'!A:A,B826,'Hợp tác'!H:H,$G$2,'Hợp tác'!I:I,$I$2),"")</f>
        <v>0</v>
      </c>
      <c r="H826" s="332">
        <f>SUMIF(View!J:J,View!B:B,B826)</f>
        <v>0</v>
      </c>
      <c r="I826" s="332">
        <f>sumifs('Hoa Hồng'!L:L,'Hoa Hồng'!A:A,B826)</f>
        <v>0</v>
      </c>
      <c r="J826" s="332">
        <v>0.0</v>
      </c>
      <c r="K826" s="333" t="s">
        <v>1211</v>
      </c>
      <c r="L826" s="334"/>
      <c r="M826" s="334"/>
      <c r="N826" s="334"/>
      <c r="O826" s="334"/>
      <c r="P826" s="334"/>
      <c r="Q826" s="334"/>
      <c r="R826" s="334"/>
      <c r="S826" s="334"/>
      <c r="T826" s="334"/>
      <c r="U826" s="334"/>
      <c r="V826" s="334"/>
      <c r="W826" s="334"/>
      <c r="X826" s="334"/>
      <c r="Y826" s="334"/>
      <c r="Z826" s="334"/>
      <c r="AA826" s="334"/>
      <c r="AB826" s="334"/>
      <c r="AC826" s="334"/>
      <c r="AD826" s="334"/>
    </row>
    <row r="827" ht="16.5" customHeight="1">
      <c r="A827" s="334"/>
      <c r="B827" s="329"/>
      <c r="C827" s="329" t="s">
        <v>585</v>
      </c>
      <c r="D827" s="331" t="s">
        <v>585</v>
      </c>
      <c r="E827" s="331" t="s">
        <v>585</v>
      </c>
      <c r="F827" s="331" t="s">
        <v>585</v>
      </c>
      <c r="G827" s="331">
        <f>iferror(sumifs('Hợp tác'!G:G,'Hợp tác'!A:A,B827,'Hợp tác'!H:H,$G$2,'Hợp tác'!I:I,$I$2),"")</f>
        <v>0</v>
      </c>
      <c r="H827" s="332">
        <f>SUMIF(View!J:J,View!B:B,B827)</f>
        <v>0</v>
      </c>
      <c r="I827" s="332">
        <f>sumifs('Hoa Hồng'!L:L,'Hoa Hồng'!A:A,B827)</f>
        <v>0</v>
      </c>
      <c r="J827" s="332">
        <v>0.0</v>
      </c>
      <c r="K827" s="333" t="s">
        <v>1211</v>
      </c>
      <c r="L827" s="334"/>
      <c r="M827" s="334"/>
      <c r="N827" s="334"/>
      <c r="O827" s="334"/>
      <c r="P827" s="334"/>
      <c r="Q827" s="334"/>
      <c r="R827" s="334"/>
      <c r="S827" s="334"/>
      <c r="T827" s="334"/>
      <c r="U827" s="334"/>
      <c r="V827" s="334"/>
      <c r="W827" s="334"/>
      <c r="X827" s="334"/>
      <c r="Y827" s="334"/>
      <c r="Z827" s="334"/>
      <c r="AA827" s="334"/>
      <c r="AB827" s="334"/>
      <c r="AC827" s="334"/>
      <c r="AD827" s="334"/>
    </row>
    <row r="828" ht="16.5" customHeight="1">
      <c r="A828" s="334"/>
      <c r="B828" s="329"/>
      <c r="C828" s="329" t="s">
        <v>585</v>
      </c>
      <c r="D828" s="331" t="s">
        <v>585</v>
      </c>
      <c r="E828" s="331" t="s">
        <v>585</v>
      </c>
      <c r="F828" s="331" t="s">
        <v>585</v>
      </c>
      <c r="G828" s="331">
        <f>iferror(sumifs('Hợp tác'!G:G,'Hợp tác'!A:A,B828,'Hợp tác'!H:H,$G$2,'Hợp tác'!I:I,$I$2),"")</f>
        <v>0</v>
      </c>
      <c r="H828" s="332">
        <f>SUMIF(View!J:J,View!B:B,B828)</f>
        <v>0</v>
      </c>
      <c r="I828" s="332">
        <f>sumifs('Hoa Hồng'!L:L,'Hoa Hồng'!A:A,B828)</f>
        <v>0</v>
      </c>
      <c r="J828" s="332">
        <v>0.0</v>
      </c>
      <c r="K828" s="333" t="s">
        <v>1211</v>
      </c>
      <c r="L828" s="334"/>
      <c r="M828" s="334"/>
      <c r="N828" s="334"/>
      <c r="O828" s="334"/>
      <c r="P828" s="334"/>
      <c r="Q828" s="334"/>
      <c r="R828" s="334"/>
      <c r="S828" s="334"/>
      <c r="T828" s="334"/>
      <c r="U828" s="334"/>
      <c r="V828" s="334"/>
      <c r="W828" s="334"/>
      <c r="X828" s="334"/>
      <c r="Y828" s="334"/>
      <c r="Z828" s="334"/>
      <c r="AA828" s="334"/>
      <c r="AB828" s="334"/>
      <c r="AC828" s="334"/>
      <c r="AD828" s="334"/>
    </row>
    <row r="829" ht="16.5" customHeight="1">
      <c r="A829" s="334"/>
      <c r="B829" s="329"/>
      <c r="C829" s="329" t="s">
        <v>585</v>
      </c>
      <c r="D829" s="331" t="s">
        <v>585</v>
      </c>
      <c r="E829" s="331" t="s">
        <v>585</v>
      </c>
      <c r="F829" s="331" t="s">
        <v>585</v>
      </c>
      <c r="G829" s="331">
        <f>iferror(sumifs('Hợp tác'!G:G,'Hợp tác'!A:A,B829,'Hợp tác'!H:H,$G$2,'Hợp tác'!I:I,$I$2),"")</f>
        <v>0</v>
      </c>
      <c r="H829" s="332">
        <f>SUMIF(View!J:J,View!B:B,B829)</f>
        <v>0</v>
      </c>
      <c r="I829" s="332">
        <f>sumifs('Hoa Hồng'!L:L,'Hoa Hồng'!A:A,B829)</f>
        <v>0</v>
      </c>
      <c r="J829" s="332">
        <v>0.0</v>
      </c>
      <c r="K829" s="333" t="s">
        <v>1211</v>
      </c>
      <c r="L829" s="334"/>
      <c r="M829" s="334"/>
      <c r="N829" s="334"/>
      <c r="O829" s="334"/>
      <c r="P829" s="334"/>
      <c r="Q829" s="334"/>
      <c r="R829" s="334"/>
      <c r="S829" s="334"/>
      <c r="T829" s="334"/>
      <c r="U829" s="334"/>
      <c r="V829" s="334"/>
      <c r="W829" s="334"/>
      <c r="X829" s="334"/>
      <c r="Y829" s="334"/>
      <c r="Z829" s="334"/>
      <c r="AA829" s="334"/>
      <c r="AB829" s="334"/>
      <c r="AC829" s="334"/>
      <c r="AD829" s="334"/>
    </row>
    <row r="830" ht="16.5" customHeight="1">
      <c r="A830" s="334"/>
      <c r="B830" s="329"/>
      <c r="C830" s="329" t="s">
        <v>585</v>
      </c>
      <c r="D830" s="331" t="s">
        <v>585</v>
      </c>
      <c r="E830" s="331" t="s">
        <v>585</v>
      </c>
      <c r="F830" s="331" t="s">
        <v>585</v>
      </c>
      <c r="G830" s="331">
        <f>iferror(sumifs('Hợp tác'!G:G,'Hợp tác'!A:A,B830,'Hợp tác'!H:H,$G$2,'Hợp tác'!I:I,$I$2),"")</f>
        <v>0</v>
      </c>
      <c r="H830" s="332">
        <f>SUMIF(View!J:J,View!B:B,B830)</f>
        <v>0</v>
      </c>
      <c r="I830" s="332">
        <f>sumifs('Hoa Hồng'!L:L,'Hoa Hồng'!A:A,B830)</f>
        <v>0</v>
      </c>
      <c r="J830" s="332">
        <v>0.0</v>
      </c>
      <c r="K830" s="333" t="s">
        <v>1211</v>
      </c>
      <c r="L830" s="334"/>
      <c r="M830" s="334"/>
      <c r="N830" s="334"/>
      <c r="O830" s="334"/>
      <c r="P830" s="334"/>
      <c r="Q830" s="334"/>
      <c r="R830" s="334"/>
      <c r="S830" s="334"/>
      <c r="T830" s="334"/>
      <c r="U830" s="334"/>
      <c r="V830" s="334"/>
      <c r="W830" s="334"/>
      <c r="X830" s="334"/>
      <c r="Y830" s="334"/>
      <c r="Z830" s="334"/>
      <c r="AA830" s="334"/>
      <c r="AB830" s="334"/>
      <c r="AC830" s="334"/>
      <c r="AD830" s="334"/>
    </row>
    <row r="831" ht="16.5" customHeight="1">
      <c r="A831" s="334"/>
      <c r="B831" s="329"/>
      <c r="C831" s="329" t="s">
        <v>585</v>
      </c>
      <c r="D831" s="331" t="s">
        <v>585</v>
      </c>
      <c r="E831" s="331" t="s">
        <v>585</v>
      </c>
      <c r="F831" s="331" t="s">
        <v>585</v>
      </c>
      <c r="G831" s="331">
        <f>iferror(sumifs('Hợp tác'!G:G,'Hợp tác'!A:A,B831,'Hợp tác'!H:H,$G$2,'Hợp tác'!I:I,$I$2),"")</f>
        <v>0</v>
      </c>
      <c r="H831" s="332">
        <f>SUMIF(View!J:J,View!B:B,B831)</f>
        <v>0</v>
      </c>
      <c r="I831" s="332">
        <f>sumifs('Hoa Hồng'!L:L,'Hoa Hồng'!A:A,B831)</f>
        <v>0</v>
      </c>
      <c r="J831" s="332">
        <v>0.0</v>
      </c>
      <c r="K831" s="333" t="s">
        <v>1211</v>
      </c>
      <c r="L831" s="334"/>
      <c r="M831" s="334"/>
      <c r="N831" s="334"/>
      <c r="O831" s="334"/>
      <c r="P831" s="334"/>
      <c r="Q831" s="334"/>
      <c r="R831" s="334"/>
      <c r="S831" s="334"/>
      <c r="T831" s="334"/>
      <c r="U831" s="334"/>
      <c r="V831" s="334"/>
      <c r="W831" s="334"/>
      <c r="X831" s="334"/>
      <c r="Y831" s="334"/>
      <c r="Z831" s="334"/>
      <c r="AA831" s="334"/>
      <c r="AB831" s="334"/>
      <c r="AC831" s="334"/>
      <c r="AD831" s="334"/>
    </row>
    <row r="832" ht="16.5" customHeight="1">
      <c r="A832" s="334"/>
      <c r="B832" s="329"/>
      <c r="C832" s="329" t="s">
        <v>585</v>
      </c>
      <c r="D832" s="331" t="s">
        <v>585</v>
      </c>
      <c r="E832" s="331" t="s">
        <v>585</v>
      </c>
      <c r="F832" s="331" t="s">
        <v>585</v>
      </c>
      <c r="G832" s="331">
        <f>iferror(sumifs('Hợp tác'!G:G,'Hợp tác'!A:A,B832,'Hợp tác'!H:H,$G$2,'Hợp tác'!I:I,$I$2),"")</f>
        <v>0</v>
      </c>
      <c r="H832" s="332">
        <f>SUMIF(View!J:J,View!B:B,B832)</f>
        <v>0</v>
      </c>
      <c r="I832" s="332">
        <f>sumifs('Hoa Hồng'!L:L,'Hoa Hồng'!A:A,B832)</f>
        <v>0</v>
      </c>
      <c r="J832" s="332">
        <v>0.0</v>
      </c>
      <c r="K832" s="333" t="s">
        <v>1211</v>
      </c>
      <c r="L832" s="334"/>
      <c r="M832" s="334"/>
      <c r="N832" s="334"/>
      <c r="O832" s="334"/>
      <c r="P832" s="334"/>
      <c r="Q832" s="334"/>
      <c r="R832" s="334"/>
      <c r="S832" s="334"/>
      <c r="T832" s="334"/>
      <c r="U832" s="334"/>
      <c r="V832" s="334"/>
      <c r="W832" s="334"/>
      <c r="X832" s="334"/>
      <c r="Y832" s="334"/>
      <c r="Z832" s="334"/>
      <c r="AA832" s="334"/>
      <c r="AB832" s="334"/>
      <c r="AC832" s="334"/>
      <c r="AD832" s="334"/>
    </row>
    <row r="833" ht="16.5" customHeight="1">
      <c r="A833" s="334"/>
      <c r="B833" s="329"/>
      <c r="C833" s="329" t="s">
        <v>585</v>
      </c>
      <c r="D833" s="331" t="s">
        <v>585</v>
      </c>
      <c r="E833" s="331" t="s">
        <v>585</v>
      </c>
      <c r="F833" s="331" t="s">
        <v>585</v>
      </c>
      <c r="G833" s="331">
        <f>iferror(sumifs('Hợp tác'!G:G,'Hợp tác'!A:A,B833,'Hợp tác'!H:H,$G$2,'Hợp tác'!I:I,$I$2),"")</f>
        <v>0</v>
      </c>
      <c r="H833" s="332">
        <f>SUMIF(View!J:J,View!B:B,B833)</f>
        <v>0</v>
      </c>
      <c r="I833" s="332">
        <f>sumifs('Hoa Hồng'!L:L,'Hoa Hồng'!A:A,B833)</f>
        <v>0</v>
      </c>
      <c r="J833" s="332">
        <v>0.0</v>
      </c>
      <c r="K833" s="333" t="s">
        <v>1211</v>
      </c>
      <c r="L833" s="334"/>
      <c r="M833" s="334"/>
      <c r="N833" s="334"/>
      <c r="O833" s="334"/>
      <c r="P833" s="334"/>
      <c r="Q833" s="334"/>
      <c r="R833" s="334"/>
      <c r="S833" s="334"/>
      <c r="T833" s="334"/>
      <c r="U833" s="334"/>
      <c r="V833" s="334"/>
      <c r="W833" s="334"/>
      <c r="X833" s="334"/>
      <c r="Y833" s="334"/>
      <c r="Z833" s="334"/>
      <c r="AA833" s="334"/>
      <c r="AB833" s="334"/>
      <c r="AC833" s="334"/>
      <c r="AD833" s="334"/>
    </row>
    <row r="834" ht="16.5" customHeight="1">
      <c r="A834" s="334"/>
      <c r="B834" s="329"/>
      <c r="C834" s="329" t="s">
        <v>585</v>
      </c>
      <c r="D834" s="331" t="s">
        <v>585</v>
      </c>
      <c r="E834" s="331" t="s">
        <v>585</v>
      </c>
      <c r="F834" s="331" t="s">
        <v>585</v>
      </c>
      <c r="G834" s="331">
        <f>iferror(sumifs('Hợp tác'!G:G,'Hợp tác'!A:A,B834,'Hợp tác'!H:H,$G$2,'Hợp tác'!I:I,$I$2),"")</f>
        <v>0</v>
      </c>
      <c r="H834" s="332">
        <f>SUMIF(View!J:J,View!B:B,B834)</f>
        <v>0</v>
      </c>
      <c r="I834" s="332">
        <f>sumifs('Hoa Hồng'!L:L,'Hoa Hồng'!A:A,B834)</f>
        <v>0</v>
      </c>
      <c r="J834" s="332">
        <v>0.0</v>
      </c>
      <c r="K834" s="333" t="s">
        <v>1211</v>
      </c>
      <c r="L834" s="334"/>
      <c r="M834" s="334"/>
      <c r="N834" s="334"/>
      <c r="O834" s="334"/>
      <c r="P834" s="334"/>
      <c r="Q834" s="334"/>
      <c r="R834" s="334"/>
      <c r="S834" s="334"/>
      <c r="T834" s="334"/>
      <c r="U834" s="334"/>
      <c r="V834" s="334"/>
      <c r="W834" s="334"/>
      <c r="X834" s="334"/>
      <c r="Y834" s="334"/>
      <c r="Z834" s="334"/>
      <c r="AA834" s="334"/>
      <c r="AB834" s="334"/>
      <c r="AC834" s="334"/>
      <c r="AD834" s="334"/>
    </row>
    <row r="835" ht="16.5" customHeight="1">
      <c r="A835" s="334"/>
      <c r="B835" s="329"/>
      <c r="C835" s="329" t="s">
        <v>585</v>
      </c>
      <c r="D835" s="331" t="s">
        <v>585</v>
      </c>
      <c r="E835" s="331" t="s">
        <v>585</v>
      </c>
      <c r="F835" s="331" t="s">
        <v>585</v>
      </c>
      <c r="G835" s="331">
        <f>iferror(sumifs('Hợp tác'!G:G,'Hợp tác'!A:A,B835,'Hợp tác'!H:H,$G$2,'Hợp tác'!I:I,$I$2),"")</f>
        <v>0</v>
      </c>
      <c r="H835" s="332">
        <f>SUMIF(View!J:J,View!B:B,B835)</f>
        <v>0</v>
      </c>
      <c r="I835" s="332">
        <f>sumifs('Hoa Hồng'!L:L,'Hoa Hồng'!A:A,B835)</f>
        <v>0</v>
      </c>
      <c r="J835" s="332">
        <v>0.0</v>
      </c>
      <c r="K835" s="333" t="s">
        <v>1211</v>
      </c>
      <c r="L835" s="334"/>
      <c r="M835" s="334"/>
      <c r="N835" s="334"/>
      <c r="O835" s="334"/>
      <c r="P835" s="334"/>
      <c r="Q835" s="334"/>
      <c r="R835" s="334"/>
      <c r="S835" s="334"/>
      <c r="T835" s="334"/>
      <c r="U835" s="334"/>
      <c r="V835" s="334"/>
      <c r="W835" s="334"/>
      <c r="X835" s="334"/>
      <c r="Y835" s="334"/>
      <c r="Z835" s="334"/>
      <c r="AA835" s="334"/>
      <c r="AB835" s="334"/>
      <c r="AC835" s="334"/>
      <c r="AD835" s="334"/>
    </row>
    <row r="836" ht="16.5" customHeight="1">
      <c r="A836" s="334"/>
      <c r="B836" s="329"/>
      <c r="C836" s="329" t="s">
        <v>585</v>
      </c>
      <c r="D836" s="331" t="s">
        <v>585</v>
      </c>
      <c r="E836" s="331" t="s">
        <v>585</v>
      </c>
      <c r="F836" s="331" t="s">
        <v>585</v>
      </c>
      <c r="G836" s="331">
        <f>iferror(sumifs('Hợp tác'!G:G,'Hợp tác'!A:A,B836,'Hợp tác'!H:H,$G$2,'Hợp tác'!I:I,$I$2),"")</f>
        <v>0</v>
      </c>
      <c r="H836" s="332">
        <f>SUMIF(View!J:J,View!B:B,B836)</f>
        <v>0</v>
      </c>
      <c r="I836" s="332">
        <f>sumifs('Hoa Hồng'!L:L,'Hoa Hồng'!A:A,B836)</f>
        <v>0</v>
      </c>
      <c r="J836" s="332">
        <v>0.0</v>
      </c>
      <c r="K836" s="333" t="s">
        <v>1211</v>
      </c>
      <c r="L836" s="334"/>
      <c r="M836" s="334"/>
      <c r="N836" s="334"/>
      <c r="O836" s="334"/>
      <c r="P836" s="334"/>
      <c r="Q836" s="334"/>
      <c r="R836" s="334"/>
      <c r="S836" s="334"/>
      <c r="T836" s="334"/>
      <c r="U836" s="334"/>
      <c r="V836" s="334"/>
      <c r="W836" s="334"/>
      <c r="X836" s="334"/>
      <c r="Y836" s="334"/>
      <c r="Z836" s="334"/>
      <c r="AA836" s="334"/>
      <c r="AB836" s="334"/>
      <c r="AC836" s="334"/>
      <c r="AD836" s="334"/>
    </row>
    <row r="837" ht="16.5" customHeight="1">
      <c r="A837" s="334"/>
      <c r="B837" s="329"/>
      <c r="C837" s="329" t="s">
        <v>585</v>
      </c>
      <c r="D837" s="331" t="s">
        <v>585</v>
      </c>
      <c r="E837" s="331" t="s">
        <v>585</v>
      </c>
      <c r="F837" s="331" t="s">
        <v>585</v>
      </c>
      <c r="G837" s="331">
        <f>iferror(sumifs('Hợp tác'!G:G,'Hợp tác'!A:A,B837,'Hợp tác'!H:H,$G$2,'Hợp tác'!I:I,$I$2),"")</f>
        <v>0</v>
      </c>
      <c r="H837" s="332">
        <f>SUMIF(View!J:J,View!B:B,B837)</f>
        <v>0</v>
      </c>
      <c r="I837" s="332">
        <f>sumifs('Hoa Hồng'!L:L,'Hoa Hồng'!A:A,B837)</f>
        <v>0</v>
      </c>
      <c r="J837" s="332">
        <v>0.0</v>
      </c>
      <c r="K837" s="333" t="s">
        <v>1211</v>
      </c>
      <c r="L837" s="334"/>
      <c r="M837" s="334"/>
      <c r="N837" s="334"/>
      <c r="O837" s="334"/>
      <c r="P837" s="334"/>
      <c r="Q837" s="334"/>
      <c r="R837" s="334"/>
      <c r="S837" s="334"/>
      <c r="T837" s="334"/>
      <c r="U837" s="334"/>
      <c r="V837" s="334"/>
      <c r="W837" s="334"/>
      <c r="X837" s="334"/>
      <c r="Y837" s="334"/>
      <c r="Z837" s="334"/>
      <c r="AA837" s="334"/>
      <c r="AB837" s="334"/>
      <c r="AC837" s="334"/>
      <c r="AD837" s="334"/>
    </row>
    <row r="838" ht="16.5" customHeight="1">
      <c r="A838" s="334"/>
      <c r="B838" s="329"/>
      <c r="C838" s="329" t="s">
        <v>585</v>
      </c>
      <c r="D838" s="331" t="s">
        <v>585</v>
      </c>
      <c r="E838" s="331" t="s">
        <v>585</v>
      </c>
      <c r="F838" s="331" t="s">
        <v>585</v>
      </c>
      <c r="G838" s="331">
        <f>iferror(sumifs('Hợp tác'!G:G,'Hợp tác'!A:A,B838,'Hợp tác'!H:H,$G$2,'Hợp tác'!I:I,$I$2),"")</f>
        <v>0</v>
      </c>
      <c r="H838" s="332">
        <f>SUMIF(View!J:J,View!B:B,B838)</f>
        <v>0</v>
      </c>
      <c r="I838" s="332">
        <f>sumifs('Hoa Hồng'!L:L,'Hoa Hồng'!A:A,B838)</f>
        <v>0</v>
      </c>
      <c r="J838" s="332">
        <v>0.0</v>
      </c>
      <c r="K838" s="333" t="s">
        <v>1211</v>
      </c>
      <c r="L838" s="334"/>
      <c r="M838" s="334"/>
      <c r="N838" s="334"/>
      <c r="O838" s="334"/>
      <c r="P838" s="334"/>
      <c r="Q838" s="334"/>
      <c r="R838" s="334"/>
      <c r="S838" s="334"/>
      <c r="T838" s="334"/>
      <c r="U838" s="334"/>
      <c r="V838" s="334"/>
      <c r="W838" s="334"/>
      <c r="X838" s="334"/>
      <c r="Y838" s="334"/>
      <c r="Z838" s="334"/>
      <c r="AA838" s="334"/>
      <c r="AB838" s="334"/>
      <c r="AC838" s="334"/>
      <c r="AD838" s="334"/>
    </row>
    <row r="839" ht="16.5" customHeight="1">
      <c r="A839" s="334"/>
      <c r="B839" s="329"/>
      <c r="C839" s="329" t="s">
        <v>585</v>
      </c>
      <c r="D839" s="331" t="s">
        <v>585</v>
      </c>
      <c r="E839" s="331" t="s">
        <v>585</v>
      </c>
      <c r="F839" s="331" t="s">
        <v>585</v>
      </c>
      <c r="G839" s="331">
        <f>iferror(sumifs('Hợp tác'!G:G,'Hợp tác'!A:A,B839,'Hợp tác'!H:H,$G$2,'Hợp tác'!I:I,$I$2),"")</f>
        <v>0</v>
      </c>
      <c r="H839" s="332">
        <f>SUMIF(View!J:J,View!B:B,B839)</f>
        <v>0</v>
      </c>
      <c r="I839" s="332">
        <f>sumifs('Hoa Hồng'!L:L,'Hoa Hồng'!A:A,B839)</f>
        <v>0</v>
      </c>
      <c r="J839" s="332">
        <v>0.0</v>
      </c>
      <c r="K839" s="333" t="s">
        <v>1211</v>
      </c>
      <c r="L839" s="334"/>
      <c r="M839" s="334"/>
      <c r="N839" s="334"/>
      <c r="O839" s="334"/>
      <c r="P839" s="334"/>
      <c r="Q839" s="334"/>
      <c r="R839" s="334"/>
      <c r="S839" s="334"/>
      <c r="T839" s="334"/>
      <c r="U839" s="334"/>
      <c r="V839" s="334"/>
      <c r="W839" s="334"/>
      <c r="X839" s="334"/>
      <c r="Y839" s="334"/>
      <c r="Z839" s="334"/>
      <c r="AA839" s="334"/>
      <c r="AB839" s="334"/>
      <c r="AC839" s="334"/>
      <c r="AD839" s="334"/>
    </row>
    <row r="840" ht="16.5" customHeight="1">
      <c r="A840" s="334"/>
      <c r="B840" s="329"/>
      <c r="C840" s="329" t="s">
        <v>585</v>
      </c>
      <c r="D840" s="331" t="s">
        <v>585</v>
      </c>
      <c r="E840" s="331" t="s">
        <v>585</v>
      </c>
      <c r="F840" s="331" t="s">
        <v>585</v>
      </c>
      <c r="G840" s="331">
        <f>iferror(sumifs('Hợp tác'!G:G,'Hợp tác'!A:A,B840,'Hợp tác'!H:H,$G$2,'Hợp tác'!I:I,$I$2),"")</f>
        <v>0</v>
      </c>
      <c r="H840" s="332">
        <f>SUMIF(View!J:J,View!B:B,B840)</f>
        <v>0</v>
      </c>
      <c r="I840" s="332">
        <f>sumifs('Hoa Hồng'!L:L,'Hoa Hồng'!A:A,B840)</f>
        <v>0</v>
      </c>
      <c r="J840" s="332">
        <v>0.0</v>
      </c>
      <c r="K840" s="333" t="s">
        <v>1211</v>
      </c>
      <c r="L840" s="334"/>
      <c r="M840" s="334"/>
      <c r="N840" s="334"/>
      <c r="O840" s="334"/>
      <c r="P840" s="334"/>
      <c r="Q840" s="334"/>
      <c r="R840" s="334"/>
      <c r="S840" s="334"/>
      <c r="T840" s="334"/>
      <c r="U840" s="334"/>
      <c r="V840" s="334"/>
      <c r="W840" s="334"/>
      <c r="X840" s="334"/>
      <c r="Y840" s="334"/>
      <c r="Z840" s="334"/>
      <c r="AA840" s="334"/>
      <c r="AB840" s="334"/>
      <c r="AC840" s="334"/>
      <c r="AD840" s="334"/>
    </row>
    <row r="841" ht="16.5" customHeight="1">
      <c r="A841" s="334"/>
      <c r="B841" s="329"/>
      <c r="C841" s="329" t="s">
        <v>585</v>
      </c>
      <c r="D841" s="331" t="s">
        <v>585</v>
      </c>
      <c r="E841" s="331" t="s">
        <v>585</v>
      </c>
      <c r="F841" s="331" t="s">
        <v>585</v>
      </c>
      <c r="G841" s="331">
        <f>iferror(sumifs('Hợp tác'!G:G,'Hợp tác'!A:A,B841,'Hợp tác'!H:H,$G$2,'Hợp tác'!I:I,$I$2),"")</f>
        <v>0</v>
      </c>
      <c r="H841" s="332">
        <f>SUMIF(View!J:J,View!B:B,B841)</f>
        <v>0</v>
      </c>
      <c r="I841" s="332">
        <f>sumifs('Hoa Hồng'!L:L,'Hoa Hồng'!A:A,B841)</f>
        <v>0</v>
      </c>
      <c r="J841" s="332">
        <v>0.0</v>
      </c>
      <c r="K841" s="333" t="s">
        <v>1211</v>
      </c>
      <c r="L841" s="334"/>
      <c r="M841" s="334"/>
      <c r="N841" s="334"/>
      <c r="O841" s="334"/>
      <c r="P841" s="334"/>
      <c r="Q841" s="334"/>
      <c r="R841" s="334"/>
      <c r="S841" s="334"/>
      <c r="T841" s="334"/>
      <c r="U841" s="334"/>
      <c r="V841" s="334"/>
      <c r="W841" s="334"/>
      <c r="X841" s="334"/>
      <c r="Y841" s="334"/>
      <c r="Z841" s="334"/>
      <c r="AA841" s="334"/>
      <c r="AB841" s="334"/>
      <c r="AC841" s="334"/>
      <c r="AD841" s="334"/>
    </row>
    <row r="842" ht="16.5" customHeight="1">
      <c r="A842" s="334"/>
      <c r="B842" s="329"/>
      <c r="C842" s="329" t="s">
        <v>585</v>
      </c>
      <c r="D842" s="331" t="s">
        <v>585</v>
      </c>
      <c r="E842" s="331" t="s">
        <v>585</v>
      </c>
      <c r="F842" s="331" t="s">
        <v>585</v>
      </c>
      <c r="G842" s="331">
        <f>iferror(sumifs('Hợp tác'!G:G,'Hợp tác'!A:A,B842,'Hợp tác'!H:H,$G$2,'Hợp tác'!I:I,$I$2),"")</f>
        <v>0</v>
      </c>
      <c r="H842" s="332">
        <f>SUMIF(View!J:J,View!B:B,B842)</f>
        <v>0</v>
      </c>
      <c r="I842" s="332">
        <f>sumifs('Hoa Hồng'!L:L,'Hoa Hồng'!A:A,B842)</f>
        <v>0</v>
      </c>
      <c r="J842" s="332">
        <v>0.0</v>
      </c>
      <c r="K842" s="333" t="s">
        <v>1211</v>
      </c>
      <c r="L842" s="334"/>
      <c r="M842" s="334"/>
      <c r="N842" s="334"/>
      <c r="O842" s="334"/>
      <c r="P842" s="334"/>
      <c r="Q842" s="334"/>
      <c r="R842" s="334"/>
      <c r="S842" s="334"/>
      <c r="T842" s="334"/>
      <c r="U842" s="334"/>
      <c r="V842" s="334"/>
      <c r="W842" s="334"/>
      <c r="X842" s="334"/>
      <c r="Y842" s="334"/>
      <c r="Z842" s="334"/>
      <c r="AA842" s="334"/>
      <c r="AB842" s="334"/>
      <c r="AC842" s="334"/>
      <c r="AD842" s="334"/>
    </row>
    <row r="843" ht="16.5" customHeight="1">
      <c r="A843" s="334"/>
      <c r="B843" s="329"/>
      <c r="C843" s="329" t="s">
        <v>585</v>
      </c>
      <c r="D843" s="331" t="s">
        <v>585</v>
      </c>
      <c r="E843" s="331" t="s">
        <v>585</v>
      </c>
      <c r="F843" s="331" t="s">
        <v>585</v>
      </c>
      <c r="G843" s="331">
        <f>iferror(sumifs('Hợp tác'!G:G,'Hợp tác'!A:A,B843,'Hợp tác'!H:H,$G$2,'Hợp tác'!I:I,$I$2),"")</f>
        <v>0</v>
      </c>
      <c r="H843" s="332">
        <f>SUMIF(View!J:J,View!B:B,B843)</f>
        <v>0</v>
      </c>
      <c r="I843" s="332">
        <f>sumifs('Hoa Hồng'!L:L,'Hoa Hồng'!A:A,B843)</f>
        <v>0</v>
      </c>
      <c r="J843" s="332">
        <v>0.0</v>
      </c>
      <c r="K843" s="333" t="s">
        <v>1211</v>
      </c>
      <c r="L843" s="334"/>
      <c r="M843" s="334"/>
      <c r="N843" s="334"/>
      <c r="O843" s="334"/>
      <c r="P843" s="334"/>
      <c r="Q843" s="334"/>
      <c r="R843" s="334"/>
      <c r="S843" s="334"/>
      <c r="T843" s="334"/>
      <c r="U843" s="334"/>
      <c r="V843" s="334"/>
      <c r="W843" s="334"/>
      <c r="X843" s="334"/>
      <c r="Y843" s="334"/>
      <c r="Z843" s="334"/>
      <c r="AA843" s="334"/>
      <c r="AB843" s="334"/>
      <c r="AC843" s="334"/>
      <c r="AD843" s="334"/>
    </row>
    <row r="844" ht="16.5" customHeight="1">
      <c r="A844" s="334"/>
      <c r="B844" s="329"/>
      <c r="C844" s="329" t="s">
        <v>585</v>
      </c>
      <c r="D844" s="331" t="s">
        <v>585</v>
      </c>
      <c r="E844" s="331" t="s">
        <v>585</v>
      </c>
      <c r="F844" s="331" t="s">
        <v>585</v>
      </c>
      <c r="G844" s="331">
        <f>iferror(sumifs('Hợp tác'!G:G,'Hợp tác'!A:A,B844,'Hợp tác'!H:H,$G$2,'Hợp tác'!I:I,$I$2),"")</f>
        <v>0</v>
      </c>
      <c r="H844" s="332">
        <f>SUMIF(View!J:J,View!B:B,B844)</f>
        <v>0</v>
      </c>
      <c r="I844" s="332">
        <f>sumifs('Hoa Hồng'!L:L,'Hoa Hồng'!A:A,B844)</f>
        <v>0</v>
      </c>
      <c r="J844" s="332">
        <v>0.0</v>
      </c>
      <c r="K844" s="333" t="s">
        <v>1211</v>
      </c>
      <c r="L844" s="334"/>
      <c r="M844" s="334"/>
      <c r="N844" s="334"/>
      <c r="O844" s="334"/>
      <c r="P844" s="334"/>
      <c r="Q844" s="334"/>
      <c r="R844" s="334"/>
      <c r="S844" s="334"/>
      <c r="T844" s="334"/>
      <c r="U844" s="334"/>
      <c r="V844" s="334"/>
      <c r="W844" s="334"/>
      <c r="X844" s="334"/>
      <c r="Y844" s="334"/>
      <c r="Z844" s="334"/>
      <c r="AA844" s="334"/>
      <c r="AB844" s="334"/>
      <c r="AC844" s="334"/>
      <c r="AD844" s="334"/>
    </row>
    <row r="845" ht="16.5" customHeight="1">
      <c r="A845" s="334"/>
      <c r="B845" s="329"/>
      <c r="C845" s="329" t="s">
        <v>585</v>
      </c>
      <c r="D845" s="331" t="s">
        <v>585</v>
      </c>
      <c r="E845" s="331" t="s">
        <v>585</v>
      </c>
      <c r="F845" s="331" t="s">
        <v>585</v>
      </c>
      <c r="G845" s="331">
        <f>iferror(sumifs('Hợp tác'!G:G,'Hợp tác'!A:A,B845,'Hợp tác'!H:H,$G$2,'Hợp tác'!I:I,$I$2),"")</f>
        <v>0</v>
      </c>
      <c r="H845" s="332">
        <f>SUMIF(View!J:J,View!B:B,B845)</f>
        <v>0</v>
      </c>
      <c r="I845" s="332">
        <f>sumifs('Hoa Hồng'!L:L,'Hoa Hồng'!A:A,B845)</f>
        <v>0</v>
      </c>
      <c r="J845" s="332">
        <v>0.0</v>
      </c>
      <c r="K845" s="333" t="s">
        <v>1211</v>
      </c>
      <c r="L845" s="334"/>
      <c r="M845" s="334"/>
      <c r="N845" s="334"/>
      <c r="O845" s="334"/>
      <c r="P845" s="334"/>
      <c r="Q845" s="334"/>
      <c r="R845" s="334"/>
      <c r="S845" s="334"/>
      <c r="T845" s="334"/>
      <c r="U845" s="334"/>
      <c r="V845" s="334"/>
      <c r="W845" s="334"/>
      <c r="X845" s="334"/>
      <c r="Y845" s="334"/>
      <c r="Z845" s="334"/>
      <c r="AA845" s="334"/>
      <c r="AB845" s="334"/>
      <c r="AC845" s="334"/>
      <c r="AD845" s="334"/>
    </row>
    <row r="846" ht="16.5" customHeight="1">
      <c r="A846" s="334"/>
      <c r="B846" s="329"/>
      <c r="C846" s="329" t="s">
        <v>585</v>
      </c>
      <c r="D846" s="331" t="s">
        <v>585</v>
      </c>
      <c r="E846" s="331" t="s">
        <v>585</v>
      </c>
      <c r="F846" s="331" t="s">
        <v>585</v>
      </c>
      <c r="G846" s="331">
        <f>iferror(sumifs('Hợp tác'!G:G,'Hợp tác'!A:A,B846,'Hợp tác'!H:H,$G$2,'Hợp tác'!I:I,$I$2),"")</f>
        <v>0</v>
      </c>
      <c r="H846" s="332">
        <f>SUMIF(View!J:J,View!B:B,B846)</f>
        <v>0</v>
      </c>
      <c r="I846" s="332">
        <f>sumifs('Hoa Hồng'!L:L,'Hoa Hồng'!A:A,B846)</f>
        <v>0</v>
      </c>
      <c r="J846" s="332">
        <v>0.0</v>
      </c>
      <c r="K846" s="333" t="s">
        <v>1211</v>
      </c>
      <c r="L846" s="334"/>
      <c r="M846" s="334"/>
      <c r="N846" s="334"/>
      <c r="O846" s="334"/>
      <c r="P846" s="334"/>
      <c r="Q846" s="334"/>
      <c r="R846" s="334"/>
      <c r="S846" s="334"/>
      <c r="T846" s="334"/>
      <c r="U846" s="334"/>
      <c r="V846" s="334"/>
      <c r="W846" s="334"/>
      <c r="X846" s="334"/>
      <c r="Y846" s="334"/>
      <c r="Z846" s="334"/>
      <c r="AA846" s="334"/>
      <c r="AB846" s="334"/>
      <c r="AC846" s="334"/>
      <c r="AD846" s="334"/>
    </row>
    <row r="847" ht="16.5" customHeight="1">
      <c r="A847" s="334"/>
      <c r="B847" s="329"/>
      <c r="C847" s="329" t="s">
        <v>585</v>
      </c>
      <c r="D847" s="331" t="s">
        <v>585</v>
      </c>
      <c r="E847" s="331" t="s">
        <v>585</v>
      </c>
      <c r="F847" s="331" t="s">
        <v>585</v>
      </c>
      <c r="G847" s="331">
        <f>iferror(sumifs('Hợp tác'!G:G,'Hợp tác'!A:A,B847,'Hợp tác'!H:H,$G$2,'Hợp tác'!I:I,$I$2),"")</f>
        <v>0</v>
      </c>
      <c r="H847" s="332">
        <f>SUMIF(View!J:J,View!B:B,B847)</f>
        <v>0</v>
      </c>
      <c r="I847" s="332">
        <f>sumifs('Hoa Hồng'!L:L,'Hoa Hồng'!A:A,B847)</f>
        <v>0</v>
      </c>
      <c r="J847" s="332">
        <v>0.0</v>
      </c>
      <c r="K847" s="333" t="s">
        <v>1211</v>
      </c>
      <c r="L847" s="334"/>
      <c r="M847" s="334"/>
      <c r="N847" s="334"/>
      <c r="O847" s="334"/>
      <c r="P847" s="334"/>
      <c r="Q847" s="334"/>
      <c r="R847" s="334"/>
      <c r="S847" s="334"/>
      <c r="T847" s="334"/>
      <c r="U847" s="334"/>
      <c r="V847" s="334"/>
      <c r="W847" s="334"/>
      <c r="X847" s="334"/>
      <c r="Y847" s="334"/>
      <c r="Z847" s="334"/>
      <c r="AA847" s="334"/>
      <c r="AB847" s="334"/>
      <c r="AC847" s="334"/>
      <c r="AD847" s="334"/>
    </row>
    <row r="848" ht="16.5" customHeight="1">
      <c r="A848" s="334"/>
      <c r="B848" s="329"/>
      <c r="C848" s="329" t="s">
        <v>585</v>
      </c>
      <c r="D848" s="331" t="s">
        <v>585</v>
      </c>
      <c r="E848" s="331" t="s">
        <v>585</v>
      </c>
      <c r="F848" s="331" t="s">
        <v>585</v>
      </c>
      <c r="G848" s="331">
        <f>iferror(sumifs('Hợp tác'!G:G,'Hợp tác'!A:A,B848,'Hợp tác'!H:H,$G$2,'Hợp tác'!I:I,$I$2),"")</f>
        <v>0</v>
      </c>
      <c r="H848" s="332">
        <f>SUMIF(View!J:J,View!B:B,B848)</f>
        <v>0</v>
      </c>
      <c r="I848" s="332">
        <f>sumifs('Hoa Hồng'!L:L,'Hoa Hồng'!A:A,B848)</f>
        <v>0</v>
      </c>
      <c r="J848" s="332">
        <v>0.0</v>
      </c>
      <c r="K848" s="333" t="s">
        <v>1211</v>
      </c>
      <c r="L848" s="334"/>
      <c r="M848" s="334"/>
      <c r="N848" s="334"/>
      <c r="O848" s="334"/>
      <c r="P848" s="334"/>
      <c r="Q848" s="334"/>
      <c r="R848" s="334"/>
      <c r="S848" s="334"/>
      <c r="T848" s="334"/>
      <c r="U848" s="334"/>
      <c r="V848" s="334"/>
      <c r="W848" s="334"/>
      <c r="X848" s="334"/>
      <c r="Y848" s="334"/>
      <c r="Z848" s="334"/>
      <c r="AA848" s="334"/>
      <c r="AB848" s="334"/>
      <c r="AC848" s="334"/>
      <c r="AD848" s="334"/>
    </row>
    <row r="849" ht="16.5" customHeight="1">
      <c r="A849" s="334"/>
      <c r="B849" s="329"/>
      <c r="C849" s="329" t="s">
        <v>585</v>
      </c>
      <c r="D849" s="331" t="s">
        <v>585</v>
      </c>
      <c r="E849" s="331" t="s">
        <v>585</v>
      </c>
      <c r="F849" s="331" t="s">
        <v>585</v>
      </c>
      <c r="G849" s="331">
        <f>iferror(sumifs('Hợp tác'!G:G,'Hợp tác'!A:A,B849,'Hợp tác'!H:H,$G$2,'Hợp tác'!I:I,$I$2),"")</f>
        <v>0</v>
      </c>
      <c r="H849" s="332">
        <f>SUMIF(View!J:J,View!B:B,B849)</f>
        <v>0</v>
      </c>
      <c r="I849" s="332">
        <f>sumifs('Hoa Hồng'!L:L,'Hoa Hồng'!A:A,B849)</f>
        <v>0</v>
      </c>
      <c r="J849" s="332">
        <v>0.0</v>
      </c>
      <c r="K849" s="333" t="s">
        <v>1211</v>
      </c>
      <c r="L849" s="334"/>
      <c r="M849" s="334"/>
      <c r="N849" s="334"/>
      <c r="O849" s="334"/>
      <c r="P849" s="334"/>
      <c r="Q849" s="334"/>
      <c r="R849" s="334"/>
      <c r="S849" s="334"/>
      <c r="T849" s="334"/>
      <c r="U849" s="334"/>
      <c r="V849" s="334"/>
      <c r="W849" s="334"/>
      <c r="X849" s="334"/>
      <c r="Y849" s="334"/>
      <c r="Z849" s="334"/>
      <c r="AA849" s="334"/>
      <c r="AB849" s="334"/>
      <c r="AC849" s="334"/>
      <c r="AD849" s="334"/>
    </row>
    <row r="850" ht="16.5" customHeight="1">
      <c r="A850" s="334"/>
      <c r="B850" s="329"/>
      <c r="C850" s="329" t="s">
        <v>585</v>
      </c>
      <c r="D850" s="331" t="s">
        <v>585</v>
      </c>
      <c r="E850" s="331" t="s">
        <v>585</v>
      </c>
      <c r="F850" s="331" t="s">
        <v>585</v>
      </c>
      <c r="G850" s="331">
        <f>iferror(sumifs('Hợp tác'!G:G,'Hợp tác'!A:A,B850,'Hợp tác'!H:H,$G$2,'Hợp tác'!I:I,$I$2),"")</f>
        <v>0</v>
      </c>
      <c r="H850" s="332">
        <f>SUMIF(View!J:J,View!B:B,B850)</f>
        <v>0</v>
      </c>
      <c r="I850" s="332">
        <f>sumifs('Hoa Hồng'!L:L,'Hoa Hồng'!A:A,B850)</f>
        <v>0</v>
      </c>
      <c r="J850" s="332">
        <v>0.0</v>
      </c>
      <c r="K850" s="333" t="s">
        <v>1211</v>
      </c>
      <c r="L850" s="334"/>
      <c r="M850" s="334"/>
      <c r="N850" s="334"/>
      <c r="O850" s="334"/>
      <c r="P850" s="334"/>
      <c r="Q850" s="334"/>
      <c r="R850" s="334"/>
      <c r="S850" s="334"/>
      <c r="T850" s="334"/>
      <c r="U850" s="334"/>
      <c r="V850" s="334"/>
      <c r="W850" s="334"/>
      <c r="X850" s="334"/>
      <c r="Y850" s="334"/>
      <c r="Z850" s="334"/>
      <c r="AA850" s="334"/>
      <c r="AB850" s="334"/>
      <c r="AC850" s="334"/>
      <c r="AD850" s="334"/>
    </row>
    <row r="851" ht="16.5" customHeight="1">
      <c r="A851" s="334"/>
      <c r="B851" s="329"/>
      <c r="C851" s="329" t="s">
        <v>585</v>
      </c>
      <c r="D851" s="331" t="s">
        <v>585</v>
      </c>
      <c r="E851" s="331" t="s">
        <v>585</v>
      </c>
      <c r="F851" s="331" t="s">
        <v>585</v>
      </c>
      <c r="G851" s="331">
        <f>iferror(sumifs('Hợp tác'!G:G,'Hợp tác'!A:A,B851,'Hợp tác'!H:H,$G$2,'Hợp tác'!I:I,$I$2),"")</f>
        <v>0</v>
      </c>
      <c r="H851" s="332">
        <f>SUMIF(View!J:J,View!B:B,B851)</f>
        <v>0</v>
      </c>
      <c r="I851" s="332">
        <f>sumifs('Hoa Hồng'!L:L,'Hoa Hồng'!A:A,B851)</f>
        <v>0</v>
      </c>
      <c r="J851" s="332">
        <v>0.0</v>
      </c>
      <c r="K851" s="333" t="s">
        <v>1211</v>
      </c>
      <c r="L851" s="334"/>
      <c r="M851" s="334"/>
      <c r="N851" s="334"/>
      <c r="O851" s="334"/>
      <c r="P851" s="334"/>
      <c r="Q851" s="334"/>
      <c r="R851" s="334"/>
      <c r="S851" s="334"/>
      <c r="T851" s="334"/>
      <c r="U851" s="334"/>
      <c r="V851" s="334"/>
      <c r="W851" s="334"/>
      <c r="X851" s="334"/>
      <c r="Y851" s="334"/>
      <c r="Z851" s="334"/>
      <c r="AA851" s="334"/>
      <c r="AB851" s="334"/>
      <c r="AC851" s="334"/>
      <c r="AD851" s="334"/>
    </row>
    <row r="852" ht="16.5" customHeight="1">
      <c r="A852" s="334"/>
      <c r="B852" s="329"/>
      <c r="C852" s="329" t="s">
        <v>585</v>
      </c>
      <c r="D852" s="331" t="s">
        <v>585</v>
      </c>
      <c r="E852" s="331" t="s">
        <v>585</v>
      </c>
      <c r="F852" s="331" t="s">
        <v>585</v>
      </c>
      <c r="G852" s="331">
        <f>iferror(sumifs('Hợp tác'!G:G,'Hợp tác'!A:A,B852,'Hợp tác'!H:H,$G$2,'Hợp tác'!I:I,$I$2),"")</f>
        <v>0</v>
      </c>
      <c r="H852" s="332">
        <f>SUMIF(View!J:J,View!B:B,B852)</f>
        <v>0</v>
      </c>
      <c r="I852" s="332">
        <f>sumifs('Hoa Hồng'!L:L,'Hoa Hồng'!A:A,B852)</f>
        <v>0</v>
      </c>
      <c r="J852" s="332">
        <v>0.0</v>
      </c>
      <c r="K852" s="333" t="s">
        <v>1211</v>
      </c>
      <c r="L852" s="334"/>
      <c r="M852" s="334"/>
      <c r="N852" s="334"/>
      <c r="O852" s="334"/>
      <c r="P852" s="334"/>
      <c r="Q852" s="334"/>
      <c r="R852" s="334"/>
      <c r="S852" s="334"/>
      <c r="T852" s="334"/>
      <c r="U852" s="334"/>
      <c r="V852" s="334"/>
      <c r="W852" s="334"/>
      <c r="X852" s="334"/>
      <c r="Y852" s="334"/>
      <c r="Z852" s="334"/>
      <c r="AA852" s="334"/>
      <c r="AB852" s="334"/>
      <c r="AC852" s="334"/>
      <c r="AD852" s="334"/>
    </row>
    <row r="853" ht="16.5" customHeight="1">
      <c r="A853" s="334"/>
      <c r="B853" s="329"/>
      <c r="C853" s="329" t="s">
        <v>585</v>
      </c>
      <c r="D853" s="331" t="s">
        <v>585</v>
      </c>
      <c r="E853" s="331" t="s">
        <v>585</v>
      </c>
      <c r="F853" s="331" t="s">
        <v>585</v>
      </c>
      <c r="G853" s="331">
        <f>iferror(sumifs('Hợp tác'!G:G,'Hợp tác'!A:A,B853,'Hợp tác'!H:H,$G$2,'Hợp tác'!I:I,$I$2),"")</f>
        <v>0</v>
      </c>
      <c r="H853" s="332">
        <f>SUMIF(View!J:J,View!B:B,B853)</f>
        <v>0</v>
      </c>
      <c r="I853" s="332">
        <f>sumifs('Hoa Hồng'!L:L,'Hoa Hồng'!A:A,B853)</f>
        <v>0</v>
      </c>
      <c r="J853" s="332">
        <v>0.0</v>
      </c>
      <c r="K853" s="333" t="s">
        <v>1211</v>
      </c>
      <c r="L853" s="334"/>
      <c r="M853" s="334"/>
      <c r="N853" s="334"/>
      <c r="O853" s="334"/>
      <c r="P853" s="334"/>
      <c r="Q853" s="334"/>
      <c r="R853" s="334"/>
      <c r="S853" s="334"/>
      <c r="T853" s="334"/>
      <c r="U853" s="334"/>
      <c r="V853" s="334"/>
      <c r="W853" s="334"/>
      <c r="X853" s="334"/>
      <c r="Y853" s="334"/>
      <c r="Z853" s="334"/>
      <c r="AA853" s="334"/>
      <c r="AB853" s="334"/>
      <c r="AC853" s="334"/>
      <c r="AD853" s="334"/>
    </row>
    <row r="854" ht="16.5" customHeight="1">
      <c r="A854" s="334"/>
      <c r="B854" s="329"/>
      <c r="C854" s="329" t="s">
        <v>585</v>
      </c>
      <c r="D854" s="331" t="s">
        <v>585</v>
      </c>
      <c r="E854" s="331" t="s">
        <v>585</v>
      </c>
      <c r="F854" s="331" t="s">
        <v>585</v>
      </c>
      <c r="G854" s="331">
        <f>iferror(sumifs('Hợp tác'!G:G,'Hợp tác'!A:A,B854,'Hợp tác'!H:H,$G$2,'Hợp tác'!I:I,$I$2),"")</f>
        <v>0</v>
      </c>
      <c r="H854" s="332">
        <f>SUMIF(View!J:J,View!B:B,B854)</f>
        <v>0</v>
      </c>
      <c r="I854" s="332">
        <f>sumifs('Hoa Hồng'!L:L,'Hoa Hồng'!A:A,B854)</f>
        <v>0</v>
      </c>
      <c r="J854" s="332">
        <v>0.0</v>
      </c>
      <c r="K854" s="333" t="s">
        <v>1211</v>
      </c>
      <c r="L854" s="334"/>
      <c r="M854" s="334"/>
      <c r="N854" s="334"/>
      <c r="O854" s="334"/>
      <c r="P854" s="334"/>
      <c r="Q854" s="334"/>
      <c r="R854" s="334"/>
      <c r="S854" s="334"/>
      <c r="T854" s="334"/>
      <c r="U854" s="334"/>
      <c r="V854" s="334"/>
      <c r="W854" s="334"/>
      <c r="X854" s="334"/>
      <c r="Y854" s="334"/>
      <c r="Z854" s="334"/>
      <c r="AA854" s="334"/>
      <c r="AB854" s="334"/>
      <c r="AC854" s="334"/>
      <c r="AD854" s="334"/>
    </row>
    <row r="855" ht="16.5" customHeight="1">
      <c r="A855" s="334"/>
      <c r="B855" s="329"/>
      <c r="C855" s="329" t="s">
        <v>585</v>
      </c>
      <c r="D855" s="331" t="s">
        <v>585</v>
      </c>
      <c r="E855" s="331" t="s">
        <v>585</v>
      </c>
      <c r="F855" s="331" t="s">
        <v>585</v>
      </c>
      <c r="G855" s="331">
        <f>iferror(sumifs('Hợp tác'!G:G,'Hợp tác'!A:A,B855,'Hợp tác'!H:H,$G$2,'Hợp tác'!I:I,$I$2),"")</f>
        <v>0</v>
      </c>
      <c r="H855" s="332">
        <f>SUMIF(View!J:J,View!B:B,B855)</f>
        <v>0</v>
      </c>
      <c r="I855" s="332">
        <f>sumifs('Hoa Hồng'!L:L,'Hoa Hồng'!A:A,B855)</f>
        <v>0</v>
      </c>
      <c r="J855" s="332">
        <v>0.0</v>
      </c>
      <c r="K855" s="333" t="s">
        <v>1211</v>
      </c>
      <c r="L855" s="334"/>
      <c r="M855" s="334"/>
      <c r="N855" s="334"/>
      <c r="O855" s="334"/>
      <c r="P855" s="334"/>
      <c r="Q855" s="334"/>
      <c r="R855" s="334"/>
      <c r="S855" s="334"/>
      <c r="T855" s="334"/>
      <c r="U855" s="334"/>
      <c r="V855" s="334"/>
      <c r="W855" s="334"/>
      <c r="X855" s="334"/>
      <c r="Y855" s="334"/>
      <c r="Z855" s="334"/>
      <c r="AA855" s="334"/>
      <c r="AB855" s="334"/>
      <c r="AC855" s="334"/>
      <c r="AD855" s="334"/>
    </row>
    <row r="856" ht="16.5" customHeight="1">
      <c r="A856" s="334"/>
      <c r="B856" s="329"/>
      <c r="C856" s="329" t="s">
        <v>585</v>
      </c>
      <c r="D856" s="331" t="s">
        <v>585</v>
      </c>
      <c r="E856" s="331" t="s">
        <v>585</v>
      </c>
      <c r="F856" s="331" t="s">
        <v>585</v>
      </c>
      <c r="G856" s="331">
        <f>iferror(sumifs('Hợp tác'!G:G,'Hợp tác'!A:A,B856,'Hợp tác'!H:H,$G$2,'Hợp tác'!I:I,$I$2),"")</f>
        <v>0</v>
      </c>
      <c r="H856" s="332">
        <f>SUMIF(View!J:J,View!B:B,B856)</f>
        <v>0</v>
      </c>
      <c r="I856" s="332">
        <f>sumifs('Hoa Hồng'!L:L,'Hoa Hồng'!A:A,B856)</f>
        <v>0</v>
      </c>
      <c r="J856" s="332">
        <v>0.0</v>
      </c>
      <c r="K856" s="333" t="s">
        <v>1211</v>
      </c>
      <c r="L856" s="334"/>
      <c r="M856" s="334"/>
      <c r="N856" s="334"/>
      <c r="O856" s="334"/>
      <c r="P856" s="334"/>
      <c r="Q856" s="334"/>
      <c r="R856" s="334"/>
      <c r="S856" s="334"/>
      <c r="T856" s="334"/>
      <c r="U856" s="334"/>
      <c r="V856" s="334"/>
      <c r="W856" s="334"/>
      <c r="X856" s="334"/>
      <c r="Y856" s="334"/>
      <c r="Z856" s="334"/>
      <c r="AA856" s="334"/>
      <c r="AB856" s="334"/>
      <c r="AC856" s="334"/>
      <c r="AD856" s="334"/>
    </row>
    <row r="857" ht="16.5" customHeight="1">
      <c r="A857" s="334"/>
      <c r="B857" s="329"/>
      <c r="C857" s="329" t="s">
        <v>585</v>
      </c>
      <c r="D857" s="331" t="s">
        <v>585</v>
      </c>
      <c r="E857" s="331" t="s">
        <v>585</v>
      </c>
      <c r="F857" s="331" t="s">
        <v>585</v>
      </c>
      <c r="G857" s="331">
        <f>iferror(sumifs('Hợp tác'!G:G,'Hợp tác'!A:A,B857,'Hợp tác'!H:H,$G$2,'Hợp tác'!I:I,$I$2),"")</f>
        <v>0</v>
      </c>
      <c r="H857" s="332">
        <f>SUMIF(View!J:J,View!B:B,B857)</f>
        <v>0</v>
      </c>
      <c r="I857" s="332">
        <f>sumifs('Hoa Hồng'!L:L,'Hoa Hồng'!A:A,B857)</f>
        <v>0</v>
      </c>
      <c r="J857" s="332">
        <v>0.0</v>
      </c>
      <c r="K857" s="333" t="s">
        <v>1211</v>
      </c>
      <c r="L857" s="334"/>
      <c r="M857" s="334"/>
      <c r="N857" s="334"/>
      <c r="O857" s="334"/>
      <c r="P857" s="334"/>
      <c r="Q857" s="334"/>
      <c r="R857" s="334"/>
      <c r="S857" s="334"/>
      <c r="T857" s="334"/>
      <c r="U857" s="334"/>
      <c r="V857" s="334"/>
      <c r="W857" s="334"/>
      <c r="X857" s="334"/>
      <c r="Y857" s="334"/>
      <c r="Z857" s="334"/>
      <c r="AA857" s="334"/>
      <c r="AB857" s="334"/>
      <c r="AC857" s="334"/>
      <c r="AD857" s="334"/>
    </row>
    <row r="858" ht="16.5" customHeight="1">
      <c r="A858" s="334"/>
      <c r="B858" s="329"/>
      <c r="C858" s="329" t="s">
        <v>585</v>
      </c>
      <c r="D858" s="331" t="s">
        <v>585</v>
      </c>
      <c r="E858" s="331" t="s">
        <v>585</v>
      </c>
      <c r="F858" s="331" t="s">
        <v>585</v>
      </c>
      <c r="G858" s="331">
        <f>iferror(sumifs('Hợp tác'!G:G,'Hợp tác'!A:A,B858,'Hợp tác'!H:H,$G$2,'Hợp tác'!I:I,$I$2),"")</f>
        <v>0</v>
      </c>
      <c r="H858" s="332">
        <f>SUMIF(View!J:J,View!B:B,B858)</f>
        <v>0</v>
      </c>
      <c r="I858" s="332">
        <f>sumifs('Hoa Hồng'!L:L,'Hoa Hồng'!A:A,B858)</f>
        <v>0</v>
      </c>
      <c r="J858" s="332">
        <v>0.0</v>
      </c>
      <c r="K858" s="333" t="s">
        <v>1211</v>
      </c>
      <c r="L858" s="334"/>
      <c r="M858" s="334"/>
      <c r="N858" s="334"/>
      <c r="O858" s="334"/>
      <c r="P858" s="334"/>
      <c r="Q858" s="334"/>
      <c r="R858" s="334"/>
      <c r="S858" s="334"/>
      <c r="T858" s="334"/>
      <c r="U858" s="334"/>
      <c r="V858" s="334"/>
      <c r="W858" s="334"/>
      <c r="X858" s="334"/>
      <c r="Y858" s="334"/>
      <c r="Z858" s="334"/>
      <c r="AA858" s="334"/>
      <c r="AB858" s="334"/>
      <c r="AC858" s="334"/>
      <c r="AD858" s="334"/>
    </row>
    <row r="859" ht="16.5" customHeight="1">
      <c r="A859" s="334"/>
      <c r="B859" s="329"/>
      <c r="C859" s="329" t="s">
        <v>585</v>
      </c>
      <c r="D859" s="331" t="s">
        <v>585</v>
      </c>
      <c r="E859" s="331" t="s">
        <v>585</v>
      </c>
      <c r="F859" s="331" t="s">
        <v>585</v>
      </c>
      <c r="G859" s="331">
        <f>iferror(sumifs('Hợp tác'!G:G,'Hợp tác'!A:A,B859,'Hợp tác'!H:H,$G$2,'Hợp tác'!I:I,$I$2),"")</f>
        <v>0</v>
      </c>
      <c r="H859" s="332">
        <f>SUMIF(View!J:J,View!B:B,B859)</f>
        <v>0</v>
      </c>
      <c r="I859" s="332">
        <f>sumifs('Hoa Hồng'!L:L,'Hoa Hồng'!A:A,B859)</f>
        <v>0</v>
      </c>
      <c r="J859" s="332">
        <v>0.0</v>
      </c>
      <c r="K859" s="333" t="s">
        <v>1211</v>
      </c>
      <c r="L859" s="334"/>
      <c r="M859" s="334"/>
      <c r="N859" s="334"/>
      <c r="O859" s="334"/>
      <c r="P859" s="334"/>
      <c r="Q859" s="334"/>
      <c r="R859" s="334"/>
      <c r="S859" s="334"/>
      <c r="T859" s="334"/>
      <c r="U859" s="334"/>
      <c r="V859" s="334"/>
      <c r="W859" s="334"/>
      <c r="X859" s="334"/>
      <c r="Y859" s="334"/>
      <c r="Z859" s="334"/>
      <c r="AA859" s="334"/>
      <c r="AB859" s="334"/>
      <c r="AC859" s="334"/>
      <c r="AD859" s="334"/>
    </row>
    <row r="860" ht="16.5" customHeight="1">
      <c r="A860" s="334"/>
      <c r="B860" s="329"/>
      <c r="C860" s="329" t="s">
        <v>585</v>
      </c>
      <c r="D860" s="331" t="s">
        <v>585</v>
      </c>
      <c r="E860" s="331" t="s">
        <v>585</v>
      </c>
      <c r="F860" s="331" t="s">
        <v>585</v>
      </c>
      <c r="G860" s="331">
        <f>iferror(sumifs('Hợp tác'!G:G,'Hợp tác'!A:A,B860,'Hợp tác'!H:H,$G$2,'Hợp tác'!I:I,$I$2),"")</f>
        <v>0</v>
      </c>
      <c r="H860" s="332">
        <f>SUMIF(View!J:J,View!B:B,B860)</f>
        <v>0</v>
      </c>
      <c r="I860" s="332">
        <f>sumifs('Hoa Hồng'!L:L,'Hoa Hồng'!A:A,B860)</f>
        <v>0</v>
      </c>
      <c r="J860" s="332">
        <v>0.0</v>
      </c>
      <c r="K860" s="333" t="s">
        <v>1211</v>
      </c>
      <c r="L860" s="334"/>
      <c r="M860" s="334"/>
      <c r="N860" s="334"/>
      <c r="O860" s="334"/>
      <c r="P860" s="334"/>
      <c r="Q860" s="334"/>
      <c r="R860" s="334"/>
      <c r="S860" s="334"/>
      <c r="T860" s="334"/>
      <c r="U860" s="334"/>
      <c r="V860" s="334"/>
      <c r="W860" s="334"/>
      <c r="X860" s="334"/>
      <c r="Y860" s="334"/>
      <c r="Z860" s="334"/>
      <c r="AA860" s="334"/>
      <c r="AB860" s="334"/>
      <c r="AC860" s="334"/>
      <c r="AD860" s="334"/>
    </row>
    <row r="861" ht="16.5" customHeight="1">
      <c r="A861" s="334"/>
      <c r="B861" s="329"/>
      <c r="C861" s="329" t="s">
        <v>585</v>
      </c>
      <c r="D861" s="331" t="s">
        <v>585</v>
      </c>
      <c r="E861" s="331" t="s">
        <v>585</v>
      </c>
      <c r="F861" s="331" t="s">
        <v>585</v>
      </c>
      <c r="G861" s="331">
        <f>iferror(sumifs('Hợp tác'!G:G,'Hợp tác'!A:A,B861,'Hợp tác'!H:H,$G$2,'Hợp tác'!I:I,$I$2),"")</f>
        <v>0</v>
      </c>
      <c r="H861" s="332">
        <f>SUMIF(View!J:J,View!B:B,B861)</f>
        <v>0</v>
      </c>
      <c r="I861" s="332">
        <f>sumifs('Hoa Hồng'!L:L,'Hoa Hồng'!A:A,B861)</f>
        <v>0</v>
      </c>
      <c r="J861" s="332">
        <v>0.0</v>
      </c>
      <c r="K861" s="333" t="s">
        <v>1211</v>
      </c>
      <c r="L861" s="334"/>
      <c r="M861" s="334"/>
      <c r="N861" s="334"/>
      <c r="O861" s="334"/>
      <c r="P861" s="334"/>
      <c r="Q861" s="334"/>
      <c r="R861" s="334"/>
      <c r="S861" s="334"/>
      <c r="T861" s="334"/>
      <c r="U861" s="334"/>
      <c r="V861" s="334"/>
      <c r="W861" s="334"/>
      <c r="X861" s="334"/>
      <c r="Y861" s="334"/>
      <c r="Z861" s="334"/>
      <c r="AA861" s="334"/>
      <c r="AB861" s="334"/>
      <c r="AC861" s="334"/>
      <c r="AD861" s="334"/>
    </row>
    <row r="862" ht="16.5" customHeight="1">
      <c r="A862" s="334"/>
      <c r="B862" s="329"/>
      <c r="C862" s="329" t="s">
        <v>585</v>
      </c>
      <c r="D862" s="331" t="s">
        <v>585</v>
      </c>
      <c r="E862" s="331" t="s">
        <v>585</v>
      </c>
      <c r="F862" s="331" t="s">
        <v>585</v>
      </c>
      <c r="G862" s="331">
        <f>iferror(sumifs('Hợp tác'!G:G,'Hợp tác'!A:A,B862,'Hợp tác'!H:H,$G$2,'Hợp tác'!I:I,$I$2),"")</f>
        <v>0</v>
      </c>
      <c r="H862" s="332">
        <f>SUMIF(View!J:J,View!B:B,B862)</f>
        <v>0</v>
      </c>
      <c r="I862" s="332">
        <f>sumifs('Hoa Hồng'!L:L,'Hoa Hồng'!A:A,B862)</f>
        <v>0</v>
      </c>
      <c r="J862" s="332">
        <v>0.0</v>
      </c>
      <c r="K862" s="333" t="s">
        <v>1211</v>
      </c>
      <c r="L862" s="334"/>
      <c r="M862" s="334"/>
      <c r="N862" s="334"/>
      <c r="O862" s="334"/>
      <c r="P862" s="334"/>
      <c r="Q862" s="334"/>
      <c r="R862" s="334"/>
      <c r="S862" s="334"/>
      <c r="T862" s="334"/>
      <c r="U862" s="334"/>
      <c r="V862" s="334"/>
      <c r="W862" s="334"/>
      <c r="X862" s="334"/>
      <c r="Y862" s="334"/>
      <c r="Z862" s="334"/>
      <c r="AA862" s="334"/>
      <c r="AB862" s="334"/>
      <c r="AC862" s="334"/>
      <c r="AD862" s="334"/>
    </row>
    <row r="863" ht="16.5" customHeight="1">
      <c r="A863" s="334"/>
      <c r="B863" s="329"/>
      <c r="C863" s="329" t="s">
        <v>585</v>
      </c>
      <c r="D863" s="331" t="s">
        <v>585</v>
      </c>
      <c r="E863" s="331" t="s">
        <v>585</v>
      </c>
      <c r="F863" s="331" t="s">
        <v>585</v>
      </c>
      <c r="G863" s="331">
        <f>iferror(sumifs('Hợp tác'!G:G,'Hợp tác'!A:A,B863,'Hợp tác'!H:H,$G$2,'Hợp tác'!I:I,$I$2),"")</f>
        <v>0</v>
      </c>
      <c r="H863" s="332">
        <f>SUMIF(View!J:J,View!B:B,B863)</f>
        <v>0</v>
      </c>
      <c r="I863" s="332">
        <f>sumifs('Hoa Hồng'!L:L,'Hoa Hồng'!A:A,B863)</f>
        <v>0</v>
      </c>
      <c r="J863" s="332">
        <v>0.0</v>
      </c>
      <c r="K863" s="333" t="s">
        <v>1211</v>
      </c>
      <c r="L863" s="334"/>
      <c r="M863" s="334"/>
      <c r="N863" s="334"/>
      <c r="O863" s="334"/>
      <c r="P863" s="334"/>
      <c r="Q863" s="334"/>
      <c r="R863" s="334"/>
      <c r="S863" s="334"/>
      <c r="T863" s="334"/>
      <c r="U863" s="334"/>
      <c r="V863" s="334"/>
      <c r="W863" s="334"/>
      <c r="X863" s="334"/>
      <c r="Y863" s="334"/>
      <c r="Z863" s="334"/>
      <c r="AA863" s="334"/>
      <c r="AB863" s="334"/>
      <c r="AC863" s="334"/>
      <c r="AD863" s="334"/>
    </row>
    <row r="864" ht="16.5" customHeight="1">
      <c r="A864" s="334"/>
      <c r="B864" s="329"/>
      <c r="C864" s="329" t="s">
        <v>585</v>
      </c>
      <c r="D864" s="331" t="s">
        <v>585</v>
      </c>
      <c r="E864" s="331" t="s">
        <v>585</v>
      </c>
      <c r="F864" s="331" t="s">
        <v>585</v>
      </c>
      <c r="G864" s="331">
        <f>iferror(sumifs('Hợp tác'!G:G,'Hợp tác'!A:A,B864,'Hợp tác'!H:H,$G$2,'Hợp tác'!I:I,$I$2),"")</f>
        <v>0</v>
      </c>
      <c r="H864" s="332">
        <f>SUMIF(View!J:J,View!B:B,B864)</f>
        <v>0</v>
      </c>
      <c r="I864" s="332">
        <f>sumifs('Hoa Hồng'!L:L,'Hoa Hồng'!A:A,B864)</f>
        <v>0</v>
      </c>
      <c r="J864" s="332">
        <v>0.0</v>
      </c>
      <c r="K864" s="333" t="s">
        <v>1211</v>
      </c>
      <c r="L864" s="334"/>
      <c r="M864" s="334"/>
      <c r="N864" s="334"/>
      <c r="O864" s="334"/>
      <c r="P864" s="334"/>
      <c r="Q864" s="334"/>
      <c r="R864" s="334"/>
      <c r="S864" s="334"/>
      <c r="T864" s="334"/>
      <c r="U864" s="334"/>
      <c r="V864" s="334"/>
      <c r="W864" s="334"/>
      <c r="X864" s="334"/>
      <c r="Y864" s="334"/>
      <c r="Z864" s="334"/>
      <c r="AA864" s="334"/>
      <c r="AB864" s="334"/>
      <c r="AC864" s="334"/>
      <c r="AD864" s="334"/>
    </row>
    <row r="865" ht="16.5" customHeight="1">
      <c r="A865" s="334"/>
      <c r="B865" s="329"/>
      <c r="C865" s="329" t="s">
        <v>585</v>
      </c>
      <c r="D865" s="331" t="s">
        <v>585</v>
      </c>
      <c r="E865" s="331" t="s">
        <v>585</v>
      </c>
      <c r="F865" s="331" t="s">
        <v>585</v>
      </c>
      <c r="G865" s="331">
        <f>iferror(sumifs('Hợp tác'!G:G,'Hợp tác'!A:A,B865,'Hợp tác'!H:H,$G$2,'Hợp tác'!I:I,$I$2),"")</f>
        <v>0</v>
      </c>
      <c r="H865" s="332">
        <f>SUMIF(View!J:J,View!B:B,B865)</f>
        <v>0</v>
      </c>
      <c r="I865" s="332">
        <f>sumifs('Hoa Hồng'!L:L,'Hoa Hồng'!A:A,B865)</f>
        <v>0</v>
      </c>
      <c r="J865" s="332">
        <v>0.0</v>
      </c>
      <c r="K865" s="333" t="s">
        <v>1211</v>
      </c>
      <c r="L865" s="334"/>
      <c r="M865" s="334"/>
      <c r="N865" s="334"/>
      <c r="O865" s="334"/>
      <c r="P865" s="334"/>
      <c r="Q865" s="334"/>
      <c r="R865" s="334"/>
      <c r="S865" s="334"/>
      <c r="T865" s="334"/>
      <c r="U865" s="334"/>
      <c r="V865" s="334"/>
      <c r="W865" s="334"/>
      <c r="X865" s="334"/>
      <c r="Y865" s="334"/>
      <c r="Z865" s="334"/>
      <c r="AA865" s="334"/>
      <c r="AB865" s="334"/>
      <c r="AC865" s="334"/>
      <c r="AD865" s="334"/>
    </row>
    <row r="866" ht="16.5" customHeight="1">
      <c r="A866" s="334"/>
      <c r="B866" s="329"/>
      <c r="C866" s="329" t="s">
        <v>585</v>
      </c>
      <c r="D866" s="331" t="s">
        <v>585</v>
      </c>
      <c r="E866" s="331" t="s">
        <v>585</v>
      </c>
      <c r="F866" s="331" t="s">
        <v>585</v>
      </c>
      <c r="G866" s="331">
        <f>iferror(sumifs('Hợp tác'!G:G,'Hợp tác'!A:A,B866,'Hợp tác'!H:H,$G$2,'Hợp tác'!I:I,$I$2),"")</f>
        <v>0</v>
      </c>
      <c r="H866" s="332">
        <f>SUMIF(View!J:J,View!B:B,B866)</f>
        <v>0</v>
      </c>
      <c r="I866" s="332">
        <f>sumifs('Hoa Hồng'!L:L,'Hoa Hồng'!A:A,B866)</f>
        <v>0</v>
      </c>
      <c r="J866" s="332">
        <v>0.0</v>
      </c>
      <c r="K866" s="333" t="s">
        <v>1211</v>
      </c>
      <c r="L866" s="334"/>
      <c r="M866" s="334"/>
      <c r="N866" s="334"/>
      <c r="O866" s="334"/>
      <c r="P866" s="334"/>
      <c r="Q866" s="334"/>
      <c r="R866" s="334"/>
      <c r="S866" s="334"/>
      <c r="T866" s="334"/>
      <c r="U866" s="334"/>
      <c r="V866" s="334"/>
      <c r="W866" s="334"/>
      <c r="X866" s="334"/>
      <c r="Y866" s="334"/>
      <c r="Z866" s="334"/>
      <c r="AA866" s="334"/>
      <c r="AB866" s="334"/>
      <c r="AC866" s="334"/>
      <c r="AD866" s="334"/>
    </row>
    <row r="867" ht="16.5" customHeight="1">
      <c r="A867" s="334"/>
      <c r="B867" s="329"/>
      <c r="C867" s="329" t="s">
        <v>585</v>
      </c>
      <c r="D867" s="331" t="s">
        <v>585</v>
      </c>
      <c r="E867" s="331" t="s">
        <v>585</v>
      </c>
      <c r="F867" s="331" t="s">
        <v>585</v>
      </c>
      <c r="G867" s="331">
        <f>iferror(sumifs('Hợp tác'!G:G,'Hợp tác'!A:A,B867,'Hợp tác'!H:H,$G$2,'Hợp tác'!I:I,$I$2),"")</f>
        <v>0</v>
      </c>
      <c r="H867" s="332">
        <f>SUMIF(View!J:J,View!B:B,B867)</f>
        <v>0</v>
      </c>
      <c r="I867" s="332">
        <f>sumifs('Hoa Hồng'!L:L,'Hoa Hồng'!A:A,B867)</f>
        <v>0</v>
      </c>
      <c r="J867" s="332">
        <v>0.0</v>
      </c>
      <c r="K867" s="333" t="s">
        <v>1211</v>
      </c>
      <c r="L867" s="334"/>
      <c r="M867" s="334"/>
      <c r="N867" s="334"/>
      <c r="O867" s="334"/>
      <c r="P867" s="334"/>
      <c r="Q867" s="334"/>
      <c r="R867" s="334"/>
      <c r="S867" s="334"/>
      <c r="T867" s="334"/>
      <c r="U867" s="334"/>
      <c r="V867" s="334"/>
      <c r="W867" s="334"/>
      <c r="X867" s="334"/>
      <c r="Y867" s="334"/>
      <c r="Z867" s="334"/>
      <c r="AA867" s="334"/>
      <c r="AB867" s="334"/>
      <c r="AC867" s="334"/>
      <c r="AD867" s="334"/>
    </row>
    <row r="868" ht="16.5" customHeight="1">
      <c r="A868" s="334"/>
      <c r="B868" s="329"/>
      <c r="C868" s="329" t="s">
        <v>585</v>
      </c>
      <c r="D868" s="331" t="s">
        <v>585</v>
      </c>
      <c r="E868" s="331" t="s">
        <v>585</v>
      </c>
      <c r="F868" s="331" t="s">
        <v>585</v>
      </c>
      <c r="G868" s="331">
        <f>iferror(sumifs('Hợp tác'!G:G,'Hợp tác'!A:A,B868,'Hợp tác'!H:H,$G$2,'Hợp tác'!I:I,$I$2),"")</f>
        <v>0</v>
      </c>
      <c r="H868" s="332">
        <f>SUMIF(View!J:J,View!B:B,B868)</f>
        <v>0</v>
      </c>
      <c r="I868" s="332">
        <f>sumifs('Hoa Hồng'!L:L,'Hoa Hồng'!A:A,B868)</f>
        <v>0</v>
      </c>
      <c r="J868" s="332">
        <v>0.0</v>
      </c>
      <c r="K868" s="333" t="s">
        <v>1211</v>
      </c>
      <c r="L868" s="334"/>
      <c r="M868" s="334"/>
      <c r="N868" s="334"/>
      <c r="O868" s="334"/>
      <c r="P868" s="334"/>
      <c r="Q868" s="334"/>
      <c r="R868" s="334"/>
      <c r="S868" s="334"/>
      <c r="T868" s="334"/>
      <c r="U868" s="334"/>
      <c r="V868" s="334"/>
      <c r="W868" s="334"/>
      <c r="X868" s="334"/>
      <c r="Y868" s="334"/>
      <c r="Z868" s="334"/>
      <c r="AA868" s="334"/>
      <c r="AB868" s="334"/>
      <c r="AC868" s="334"/>
      <c r="AD868" s="334"/>
    </row>
    <row r="869" ht="16.5" customHeight="1">
      <c r="A869" s="334"/>
      <c r="B869" s="329"/>
      <c r="C869" s="329" t="s">
        <v>585</v>
      </c>
      <c r="D869" s="331" t="s">
        <v>585</v>
      </c>
      <c r="E869" s="331" t="s">
        <v>585</v>
      </c>
      <c r="F869" s="331" t="s">
        <v>585</v>
      </c>
      <c r="G869" s="331">
        <f>iferror(sumifs('Hợp tác'!G:G,'Hợp tác'!A:A,B869,'Hợp tác'!H:H,$G$2,'Hợp tác'!I:I,$I$2),"")</f>
        <v>0</v>
      </c>
      <c r="H869" s="332">
        <f>SUMIF(View!J:J,View!B:B,B869)</f>
        <v>0</v>
      </c>
      <c r="I869" s="332">
        <f>sumifs('Hoa Hồng'!L:L,'Hoa Hồng'!A:A,B869)</f>
        <v>0</v>
      </c>
      <c r="J869" s="332">
        <v>0.0</v>
      </c>
      <c r="K869" s="333" t="s">
        <v>1211</v>
      </c>
      <c r="L869" s="334"/>
      <c r="M869" s="334"/>
      <c r="N869" s="334"/>
      <c r="O869" s="334"/>
      <c r="P869" s="334"/>
      <c r="Q869" s="334"/>
      <c r="R869" s="334"/>
      <c r="S869" s="334"/>
      <c r="T869" s="334"/>
      <c r="U869" s="334"/>
      <c r="V869" s="334"/>
      <c r="W869" s="334"/>
      <c r="X869" s="334"/>
      <c r="Y869" s="334"/>
      <c r="Z869" s="334"/>
      <c r="AA869" s="334"/>
      <c r="AB869" s="334"/>
      <c r="AC869" s="334"/>
      <c r="AD869" s="334"/>
    </row>
    <row r="870" ht="16.5" customHeight="1">
      <c r="A870" s="334"/>
      <c r="B870" s="329"/>
      <c r="C870" s="329" t="s">
        <v>585</v>
      </c>
      <c r="D870" s="331" t="s">
        <v>585</v>
      </c>
      <c r="E870" s="331" t="s">
        <v>585</v>
      </c>
      <c r="F870" s="331" t="s">
        <v>585</v>
      </c>
      <c r="G870" s="331">
        <f>iferror(sumifs('Hợp tác'!G:G,'Hợp tác'!A:A,B870,'Hợp tác'!H:H,$G$2,'Hợp tác'!I:I,$I$2),"")</f>
        <v>0</v>
      </c>
      <c r="H870" s="332">
        <f>SUMIF(View!J:J,View!B:B,B870)</f>
        <v>0</v>
      </c>
      <c r="I870" s="332">
        <f>sumifs('Hoa Hồng'!L:L,'Hoa Hồng'!A:A,B870)</f>
        <v>0</v>
      </c>
      <c r="J870" s="332">
        <v>0.0</v>
      </c>
      <c r="K870" s="333" t="s">
        <v>1211</v>
      </c>
      <c r="L870" s="334"/>
      <c r="M870" s="334"/>
      <c r="N870" s="334"/>
      <c r="O870" s="334"/>
      <c r="P870" s="334"/>
      <c r="Q870" s="334"/>
      <c r="R870" s="334"/>
      <c r="S870" s="334"/>
      <c r="T870" s="334"/>
      <c r="U870" s="334"/>
      <c r="V870" s="334"/>
      <c r="W870" s="334"/>
      <c r="X870" s="334"/>
      <c r="Y870" s="334"/>
      <c r="Z870" s="334"/>
      <c r="AA870" s="334"/>
      <c r="AB870" s="334"/>
      <c r="AC870" s="334"/>
      <c r="AD870" s="334"/>
    </row>
    <row r="871" ht="16.5" customHeight="1">
      <c r="A871" s="334"/>
      <c r="B871" s="329"/>
      <c r="C871" s="329" t="s">
        <v>585</v>
      </c>
      <c r="D871" s="331" t="s">
        <v>585</v>
      </c>
      <c r="E871" s="331" t="s">
        <v>585</v>
      </c>
      <c r="F871" s="331" t="s">
        <v>585</v>
      </c>
      <c r="G871" s="331">
        <f>iferror(sumifs('Hợp tác'!G:G,'Hợp tác'!A:A,B871,'Hợp tác'!H:H,$G$2,'Hợp tác'!I:I,$I$2),"")</f>
        <v>0</v>
      </c>
      <c r="H871" s="332">
        <f>SUMIF(View!J:J,View!B:B,B871)</f>
        <v>0</v>
      </c>
      <c r="I871" s="332">
        <f>sumifs('Hoa Hồng'!L:L,'Hoa Hồng'!A:A,B871)</f>
        <v>0</v>
      </c>
      <c r="J871" s="332">
        <v>0.0</v>
      </c>
      <c r="K871" s="333" t="s">
        <v>1211</v>
      </c>
      <c r="L871" s="334"/>
      <c r="M871" s="334"/>
      <c r="N871" s="334"/>
      <c r="O871" s="334"/>
      <c r="P871" s="334"/>
      <c r="Q871" s="334"/>
      <c r="R871" s="334"/>
      <c r="S871" s="334"/>
      <c r="T871" s="334"/>
      <c r="U871" s="334"/>
      <c r="V871" s="334"/>
      <c r="W871" s="334"/>
      <c r="X871" s="334"/>
      <c r="Y871" s="334"/>
      <c r="Z871" s="334"/>
      <c r="AA871" s="334"/>
      <c r="AB871" s="334"/>
      <c r="AC871" s="334"/>
      <c r="AD871" s="334"/>
    </row>
    <row r="872" ht="16.5" customHeight="1">
      <c r="A872" s="334"/>
      <c r="B872" s="329"/>
      <c r="C872" s="329" t="s">
        <v>585</v>
      </c>
      <c r="D872" s="331" t="s">
        <v>585</v>
      </c>
      <c r="E872" s="331" t="s">
        <v>585</v>
      </c>
      <c r="F872" s="331" t="s">
        <v>585</v>
      </c>
      <c r="G872" s="331">
        <f>iferror(sumifs('Hợp tác'!G:G,'Hợp tác'!A:A,B872,'Hợp tác'!H:H,$G$2,'Hợp tác'!I:I,$I$2),"")</f>
        <v>0</v>
      </c>
      <c r="H872" s="332">
        <f>SUMIF(View!J:J,View!B:B,B872)</f>
        <v>0</v>
      </c>
      <c r="I872" s="332">
        <f>sumifs('Hoa Hồng'!L:L,'Hoa Hồng'!A:A,B872)</f>
        <v>0</v>
      </c>
      <c r="J872" s="332">
        <v>0.0</v>
      </c>
      <c r="K872" s="333" t="s">
        <v>1211</v>
      </c>
      <c r="L872" s="334"/>
      <c r="M872" s="334"/>
      <c r="N872" s="334"/>
      <c r="O872" s="334"/>
      <c r="P872" s="334"/>
      <c r="Q872" s="334"/>
      <c r="R872" s="334"/>
      <c r="S872" s="334"/>
      <c r="T872" s="334"/>
      <c r="U872" s="334"/>
      <c r="V872" s="334"/>
      <c r="W872" s="334"/>
      <c r="X872" s="334"/>
      <c r="Y872" s="334"/>
      <c r="Z872" s="334"/>
      <c r="AA872" s="334"/>
      <c r="AB872" s="334"/>
      <c r="AC872" s="334"/>
      <c r="AD872" s="334"/>
    </row>
    <row r="873" ht="16.5" customHeight="1">
      <c r="A873" s="334"/>
      <c r="B873" s="329"/>
      <c r="C873" s="329" t="s">
        <v>585</v>
      </c>
      <c r="D873" s="331" t="s">
        <v>585</v>
      </c>
      <c r="E873" s="331" t="s">
        <v>585</v>
      </c>
      <c r="F873" s="331" t="s">
        <v>585</v>
      </c>
      <c r="G873" s="331">
        <f>iferror(sumifs('Hợp tác'!G:G,'Hợp tác'!A:A,B873,'Hợp tác'!H:H,$G$2,'Hợp tác'!I:I,$I$2),"")</f>
        <v>0</v>
      </c>
      <c r="H873" s="332">
        <f>SUMIF(View!J:J,View!B:B,B873)</f>
        <v>0</v>
      </c>
      <c r="I873" s="332">
        <f>sumifs('Hoa Hồng'!L:L,'Hoa Hồng'!A:A,B873)</f>
        <v>0</v>
      </c>
      <c r="J873" s="332">
        <v>0.0</v>
      </c>
      <c r="K873" s="333" t="s">
        <v>1211</v>
      </c>
      <c r="L873" s="334"/>
      <c r="M873" s="334"/>
      <c r="N873" s="334"/>
      <c r="O873" s="334"/>
      <c r="P873" s="334"/>
      <c r="Q873" s="334"/>
      <c r="R873" s="334"/>
      <c r="S873" s="334"/>
      <c r="T873" s="334"/>
      <c r="U873" s="334"/>
      <c r="V873" s="334"/>
      <c r="W873" s="334"/>
      <c r="X873" s="334"/>
      <c r="Y873" s="334"/>
      <c r="Z873" s="334"/>
      <c r="AA873" s="334"/>
      <c r="AB873" s="334"/>
      <c r="AC873" s="334"/>
      <c r="AD873" s="334"/>
    </row>
    <row r="874" ht="16.5" customHeight="1">
      <c r="A874" s="334"/>
      <c r="B874" s="329"/>
      <c r="C874" s="329" t="s">
        <v>585</v>
      </c>
      <c r="D874" s="331" t="s">
        <v>585</v>
      </c>
      <c r="E874" s="331" t="s">
        <v>585</v>
      </c>
      <c r="F874" s="331" t="s">
        <v>585</v>
      </c>
      <c r="G874" s="331">
        <f>iferror(sumifs('Hợp tác'!G:G,'Hợp tác'!A:A,B874,'Hợp tác'!H:H,$G$2,'Hợp tác'!I:I,$I$2),"")</f>
        <v>0</v>
      </c>
      <c r="H874" s="332">
        <f>SUMIF(View!J:J,View!B:B,B874)</f>
        <v>0</v>
      </c>
      <c r="I874" s="332">
        <f>sumifs('Hoa Hồng'!L:L,'Hoa Hồng'!A:A,B874)</f>
        <v>0</v>
      </c>
      <c r="J874" s="332">
        <v>0.0</v>
      </c>
      <c r="K874" s="333" t="s">
        <v>1211</v>
      </c>
      <c r="L874" s="334"/>
      <c r="M874" s="334"/>
      <c r="N874" s="334"/>
      <c r="O874" s="334"/>
      <c r="P874" s="334"/>
      <c r="Q874" s="334"/>
      <c r="R874" s="334"/>
      <c r="S874" s="334"/>
      <c r="T874" s="334"/>
      <c r="U874" s="334"/>
      <c r="V874" s="334"/>
      <c r="W874" s="334"/>
      <c r="X874" s="334"/>
      <c r="Y874" s="334"/>
      <c r="Z874" s="334"/>
      <c r="AA874" s="334"/>
      <c r="AB874" s="334"/>
      <c r="AC874" s="334"/>
      <c r="AD874" s="334"/>
    </row>
    <row r="875" ht="16.5" customHeight="1">
      <c r="A875" s="334"/>
      <c r="B875" s="329"/>
      <c r="C875" s="329" t="s">
        <v>585</v>
      </c>
      <c r="D875" s="331" t="s">
        <v>585</v>
      </c>
      <c r="E875" s="331" t="s">
        <v>585</v>
      </c>
      <c r="F875" s="331" t="s">
        <v>585</v>
      </c>
      <c r="G875" s="331">
        <f>iferror(sumifs('Hợp tác'!G:G,'Hợp tác'!A:A,B875,'Hợp tác'!H:H,$G$2,'Hợp tác'!I:I,$I$2),"")</f>
        <v>0</v>
      </c>
      <c r="H875" s="332">
        <f>SUMIF(View!J:J,View!B:B,B875)</f>
        <v>0</v>
      </c>
      <c r="I875" s="332">
        <f>sumifs('Hoa Hồng'!L:L,'Hoa Hồng'!A:A,B875)</f>
        <v>0</v>
      </c>
      <c r="J875" s="332">
        <v>0.0</v>
      </c>
      <c r="K875" s="333" t="s">
        <v>1211</v>
      </c>
      <c r="L875" s="334"/>
      <c r="M875" s="334"/>
      <c r="N875" s="334"/>
      <c r="O875" s="334"/>
      <c r="P875" s="334"/>
      <c r="Q875" s="334"/>
      <c r="R875" s="334"/>
      <c r="S875" s="334"/>
      <c r="T875" s="334"/>
      <c r="U875" s="334"/>
      <c r="V875" s="334"/>
      <c r="W875" s="334"/>
      <c r="X875" s="334"/>
      <c r="Y875" s="334"/>
      <c r="Z875" s="334"/>
      <c r="AA875" s="334"/>
      <c r="AB875" s="334"/>
      <c r="AC875" s="334"/>
      <c r="AD875" s="334"/>
    </row>
    <row r="876" ht="16.5" customHeight="1">
      <c r="A876" s="334"/>
      <c r="B876" s="329"/>
      <c r="C876" s="329" t="s">
        <v>585</v>
      </c>
      <c r="D876" s="331" t="s">
        <v>585</v>
      </c>
      <c r="E876" s="331" t="s">
        <v>585</v>
      </c>
      <c r="F876" s="331" t="s">
        <v>585</v>
      </c>
      <c r="G876" s="331">
        <f>iferror(sumifs('Hợp tác'!G:G,'Hợp tác'!A:A,B876,'Hợp tác'!H:H,$G$2,'Hợp tác'!I:I,$I$2),"")</f>
        <v>0</v>
      </c>
      <c r="H876" s="332">
        <f>SUMIF(View!J:J,View!B:B,B876)</f>
        <v>0</v>
      </c>
      <c r="I876" s="332">
        <f>sumifs('Hoa Hồng'!L:L,'Hoa Hồng'!A:A,B876)</f>
        <v>0</v>
      </c>
      <c r="J876" s="332">
        <v>0.0</v>
      </c>
      <c r="K876" s="333" t="s">
        <v>1211</v>
      </c>
      <c r="L876" s="334"/>
      <c r="M876" s="334"/>
      <c r="N876" s="334"/>
      <c r="O876" s="334"/>
      <c r="P876" s="334"/>
      <c r="Q876" s="334"/>
      <c r="R876" s="334"/>
      <c r="S876" s="334"/>
      <c r="T876" s="334"/>
      <c r="U876" s="334"/>
      <c r="V876" s="334"/>
      <c r="W876" s="334"/>
      <c r="X876" s="334"/>
      <c r="Y876" s="334"/>
      <c r="Z876" s="334"/>
      <c r="AA876" s="334"/>
      <c r="AB876" s="334"/>
      <c r="AC876" s="334"/>
      <c r="AD876" s="334"/>
    </row>
    <row r="877" ht="16.5" customHeight="1">
      <c r="A877" s="334"/>
      <c r="B877" s="329"/>
      <c r="C877" s="329" t="s">
        <v>585</v>
      </c>
      <c r="D877" s="331" t="s">
        <v>585</v>
      </c>
      <c r="E877" s="331" t="s">
        <v>585</v>
      </c>
      <c r="F877" s="331" t="s">
        <v>585</v>
      </c>
      <c r="G877" s="331">
        <f>iferror(sumifs('Hợp tác'!G:G,'Hợp tác'!A:A,B877,'Hợp tác'!H:H,$G$2,'Hợp tác'!I:I,$I$2),"")</f>
        <v>0</v>
      </c>
      <c r="H877" s="332">
        <f>SUMIF(View!J:J,View!B:B,B877)</f>
        <v>0</v>
      </c>
      <c r="I877" s="332">
        <f>sumifs('Hoa Hồng'!L:L,'Hoa Hồng'!A:A,B877)</f>
        <v>0</v>
      </c>
      <c r="J877" s="332">
        <v>0.0</v>
      </c>
      <c r="K877" s="333" t="s">
        <v>1211</v>
      </c>
      <c r="L877" s="334"/>
      <c r="M877" s="334"/>
      <c r="N877" s="334"/>
      <c r="O877" s="334"/>
      <c r="P877" s="334"/>
      <c r="Q877" s="334"/>
      <c r="R877" s="334"/>
      <c r="S877" s="334"/>
      <c r="T877" s="334"/>
      <c r="U877" s="334"/>
      <c r="V877" s="334"/>
      <c r="W877" s="334"/>
      <c r="X877" s="334"/>
      <c r="Y877" s="334"/>
      <c r="Z877" s="334"/>
      <c r="AA877" s="334"/>
      <c r="AB877" s="334"/>
      <c r="AC877" s="334"/>
      <c r="AD877" s="334"/>
    </row>
    <row r="878" ht="16.5" customHeight="1">
      <c r="A878" s="334"/>
      <c r="B878" s="329"/>
      <c r="C878" s="329" t="s">
        <v>585</v>
      </c>
      <c r="D878" s="331" t="s">
        <v>585</v>
      </c>
      <c r="E878" s="331" t="s">
        <v>585</v>
      </c>
      <c r="F878" s="331" t="s">
        <v>585</v>
      </c>
      <c r="G878" s="331">
        <f>iferror(sumifs('Hợp tác'!G:G,'Hợp tác'!A:A,B878,'Hợp tác'!H:H,$G$2,'Hợp tác'!I:I,$I$2),"")</f>
        <v>0</v>
      </c>
      <c r="H878" s="332">
        <f>SUMIF(View!J:J,View!B:B,B878)</f>
        <v>0</v>
      </c>
      <c r="I878" s="332">
        <f>sumifs('Hoa Hồng'!L:L,'Hoa Hồng'!A:A,B878)</f>
        <v>0</v>
      </c>
      <c r="J878" s="332">
        <v>0.0</v>
      </c>
      <c r="K878" s="333" t="s">
        <v>1211</v>
      </c>
      <c r="L878" s="334"/>
      <c r="M878" s="334"/>
      <c r="N878" s="334"/>
      <c r="O878" s="334"/>
      <c r="P878" s="334"/>
      <c r="Q878" s="334"/>
      <c r="R878" s="334"/>
      <c r="S878" s="334"/>
      <c r="T878" s="334"/>
      <c r="U878" s="334"/>
      <c r="V878" s="334"/>
      <c r="W878" s="334"/>
      <c r="X878" s="334"/>
      <c r="Y878" s="334"/>
      <c r="Z878" s="334"/>
      <c r="AA878" s="334"/>
      <c r="AB878" s="334"/>
      <c r="AC878" s="334"/>
      <c r="AD878" s="334"/>
    </row>
    <row r="879" ht="16.5" customHeight="1">
      <c r="A879" s="334"/>
      <c r="B879" s="329"/>
      <c r="C879" s="329" t="s">
        <v>585</v>
      </c>
      <c r="D879" s="331" t="s">
        <v>585</v>
      </c>
      <c r="E879" s="331" t="s">
        <v>585</v>
      </c>
      <c r="F879" s="331" t="s">
        <v>585</v>
      </c>
      <c r="G879" s="331">
        <f>iferror(sumifs('Hợp tác'!G:G,'Hợp tác'!A:A,B879,'Hợp tác'!H:H,$G$2,'Hợp tác'!I:I,$I$2),"")</f>
        <v>0</v>
      </c>
      <c r="H879" s="332">
        <f>SUMIF(View!J:J,View!B:B,B879)</f>
        <v>0</v>
      </c>
      <c r="I879" s="332">
        <f>sumifs('Hoa Hồng'!L:L,'Hoa Hồng'!A:A,B879)</f>
        <v>0</v>
      </c>
      <c r="J879" s="332">
        <v>0.0</v>
      </c>
      <c r="K879" s="333" t="s">
        <v>1211</v>
      </c>
      <c r="L879" s="334"/>
      <c r="M879" s="334"/>
      <c r="N879" s="334"/>
      <c r="O879" s="334"/>
      <c r="P879" s="334"/>
      <c r="Q879" s="334"/>
      <c r="R879" s="334"/>
      <c r="S879" s="334"/>
      <c r="T879" s="334"/>
      <c r="U879" s="334"/>
      <c r="V879" s="334"/>
      <c r="W879" s="334"/>
      <c r="X879" s="334"/>
      <c r="Y879" s="334"/>
      <c r="Z879" s="334"/>
      <c r="AA879" s="334"/>
      <c r="AB879" s="334"/>
      <c r="AC879" s="334"/>
      <c r="AD879" s="334"/>
    </row>
    <row r="880" ht="16.5" customHeight="1">
      <c r="A880" s="334"/>
      <c r="B880" s="329"/>
      <c r="C880" s="329" t="s">
        <v>585</v>
      </c>
      <c r="D880" s="331" t="s">
        <v>585</v>
      </c>
      <c r="E880" s="331" t="s">
        <v>585</v>
      </c>
      <c r="F880" s="331" t="s">
        <v>585</v>
      </c>
      <c r="G880" s="331">
        <f>iferror(sumifs('Hợp tác'!G:G,'Hợp tác'!A:A,B880,'Hợp tác'!H:H,$G$2,'Hợp tác'!I:I,$I$2),"")</f>
        <v>0</v>
      </c>
      <c r="H880" s="332">
        <f>SUMIF(View!J:J,View!B:B,B880)</f>
        <v>0</v>
      </c>
      <c r="I880" s="332">
        <f>sumifs('Hoa Hồng'!L:L,'Hoa Hồng'!A:A,B880)</f>
        <v>0</v>
      </c>
      <c r="J880" s="332">
        <v>0.0</v>
      </c>
      <c r="K880" s="333" t="s">
        <v>1211</v>
      </c>
      <c r="L880" s="334"/>
      <c r="M880" s="334"/>
      <c r="N880" s="334"/>
      <c r="O880" s="334"/>
      <c r="P880" s="334"/>
      <c r="Q880" s="334"/>
      <c r="R880" s="334"/>
      <c r="S880" s="334"/>
      <c r="T880" s="334"/>
      <c r="U880" s="334"/>
      <c r="V880" s="334"/>
      <c r="W880" s="334"/>
      <c r="X880" s="334"/>
      <c r="Y880" s="334"/>
      <c r="Z880" s="334"/>
      <c r="AA880" s="334"/>
      <c r="AB880" s="334"/>
      <c r="AC880" s="334"/>
      <c r="AD880" s="334"/>
    </row>
    <row r="881" ht="16.5" customHeight="1">
      <c r="A881" s="334"/>
      <c r="B881" s="329"/>
      <c r="C881" s="329" t="s">
        <v>585</v>
      </c>
      <c r="D881" s="331" t="s">
        <v>585</v>
      </c>
      <c r="E881" s="331" t="s">
        <v>585</v>
      </c>
      <c r="F881" s="331" t="s">
        <v>585</v>
      </c>
      <c r="G881" s="331">
        <f>iferror(sumifs('Hợp tác'!G:G,'Hợp tác'!A:A,B881,'Hợp tác'!H:H,$G$2,'Hợp tác'!I:I,$I$2),"")</f>
        <v>0</v>
      </c>
      <c r="H881" s="332">
        <f>SUMIF(View!J:J,View!B:B,B881)</f>
        <v>0</v>
      </c>
      <c r="I881" s="332">
        <f>sumifs('Hoa Hồng'!L:L,'Hoa Hồng'!A:A,B881)</f>
        <v>0</v>
      </c>
      <c r="J881" s="332">
        <v>0.0</v>
      </c>
      <c r="K881" s="333" t="s">
        <v>1211</v>
      </c>
      <c r="L881" s="334"/>
      <c r="M881" s="334"/>
      <c r="N881" s="334"/>
      <c r="O881" s="334"/>
      <c r="P881" s="334"/>
      <c r="Q881" s="334"/>
      <c r="R881" s="334"/>
      <c r="S881" s="334"/>
      <c r="T881" s="334"/>
      <c r="U881" s="334"/>
      <c r="V881" s="334"/>
      <c r="W881" s="334"/>
      <c r="X881" s="334"/>
      <c r="Y881" s="334"/>
      <c r="Z881" s="334"/>
      <c r="AA881" s="334"/>
      <c r="AB881" s="334"/>
      <c r="AC881" s="334"/>
      <c r="AD881" s="334"/>
    </row>
    <row r="882" ht="16.5" customHeight="1">
      <c r="A882" s="334"/>
      <c r="B882" s="329"/>
      <c r="C882" s="329" t="s">
        <v>585</v>
      </c>
      <c r="D882" s="331" t="s">
        <v>585</v>
      </c>
      <c r="E882" s="331" t="s">
        <v>585</v>
      </c>
      <c r="F882" s="331" t="s">
        <v>585</v>
      </c>
      <c r="G882" s="331">
        <f>iferror(sumifs('Hợp tác'!G:G,'Hợp tác'!A:A,B882,'Hợp tác'!H:H,$G$2,'Hợp tác'!I:I,$I$2),"")</f>
        <v>0</v>
      </c>
      <c r="H882" s="332">
        <f>SUMIF(View!J:J,View!B:B,B882)</f>
        <v>0</v>
      </c>
      <c r="I882" s="332">
        <f>sumifs('Hoa Hồng'!L:L,'Hoa Hồng'!A:A,B882)</f>
        <v>0</v>
      </c>
      <c r="J882" s="332">
        <v>0.0</v>
      </c>
      <c r="K882" s="333" t="s">
        <v>1211</v>
      </c>
      <c r="L882" s="334"/>
      <c r="M882" s="334"/>
      <c r="N882" s="334"/>
      <c r="O882" s="334"/>
      <c r="P882" s="334"/>
      <c r="Q882" s="334"/>
      <c r="R882" s="334"/>
      <c r="S882" s="334"/>
      <c r="T882" s="334"/>
      <c r="U882" s="334"/>
      <c r="V882" s="334"/>
      <c r="W882" s="334"/>
      <c r="X882" s="334"/>
      <c r="Y882" s="334"/>
      <c r="Z882" s="334"/>
      <c r="AA882" s="334"/>
      <c r="AB882" s="334"/>
      <c r="AC882" s="334"/>
      <c r="AD882" s="334"/>
    </row>
    <row r="883" ht="16.5" customHeight="1">
      <c r="A883" s="334"/>
      <c r="B883" s="329"/>
      <c r="C883" s="329" t="s">
        <v>585</v>
      </c>
      <c r="D883" s="331" t="s">
        <v>585</v>
      </c>
      <c r="E883" s="331" t="s">
        <v>585</v>
      </c>
      <c r="F883" s="331" t="s">
        <v>585</v>
      </c>
      <c r="G883" s="331">
        <f>iferror(sumifs('Hợp tác'!G:G,'Hợp tác'!A:A,B883,'Hợp tác'!H:H,$G$2,'Hợp tác'!I:I,$I$2),"")</f>
        <v>0</v>
      </c>
      <c r="H883" s="332">
        <f>SUMIF(View!J:J,View!B:B,B883)</f>
        <v>0</v>
      </c>
      <c r="I883" s="332">
        <f>sumifs('Hoa Hồng'!L:L,'Hoa Hồng'!A:A,B883)</f>
        <v>0</v>
      </c>
      <c r="J883" s="332">
        <v>0.0</v>
      </c>
      <c r="K883" s="333" t="s">
        <v>1211</v>
      </c>
      <c r="L883" s="334"/>
      <c r="M883" s="334"/>
      <c r="N883" s="334"/>
      <c r="O883" s="334"/>
      <c r="P883" s="334"/>
      <c r="Q883" s="334"/>
      <c r="R883" s="334"/>
      <c r="S883" s="334"/>
      <c r="T883" s="334"/>
      <c r="U883" s="334"/>
      <c r="V883" s="334"/>
      <c r="W883" s="334"/>
      <c r="X883" s="334"/>
      <c r="Y883" s="334"/>
      <c r="Z883" s="334"/>
      <c r="AA883" s="334"/>
      <c r="AB883" s="334"/>
      <c r="AC883" s="334"/>
      <c r="AD883" s="334"/>
    </row>
    <row r="884" ht="16.5" customHeight="1">
      <c r="A884" s="334"/>
      <c r="B884" s="329"/>
      <c r="C884" s="329" t="s">
        <v>585</v>
      </c>
      <c r="D884" s="331" t="s">
        <v>585</v>
      </c>
      <c r="E884" s="331" t="s">
        <v>585</v>
      </c>
      <c r="F884" s="331" t="s">
        <v>585</v>
      </c>
      <c r="G884" s="331">
        <f>iferror(sumifs('Hợp tác'!G:G,'Hợp tác'!A:A,B884,'Hợp tác'!H:H,$G$2,'Hợp tác'!I:I,$I$2),"")</f>
        <v>0</v>
      </c>
      <c r="H884" s="332">
        <f>SUMIF(View!J:J,View!B:B,B884)</f>
        <v>0</v>
      </c>
      <c r="I884" s="332">
        <f>sumifs('Hoa Hồng'!L:L,'Hoa Hồng'!A:A,B884)</f>
        <v>0</v>
      </c>
      <c r="J884" s="332">
        <v>0.0</v>
      </c>
      <c r="K884" s="333" t="s">
        <v>1211</v>
      </c>
      <c r="L884" s="334"/>
      <c r="M884" s="334"/>
      <c r="N884" s="334"/>
      <c r="O884" s="334"/>
      <c r="P884" s="334"/>
      <c r="Q884" s="334"/>
      <c r="R884" s="334"/>
      <c r="S884" s="334"/>
      <c r="T884" s="334"/>
      <c r="U884" s="334"/>
      <c r="V884" s="334"/>
      <c r="W884" s="334"/>
      <c r="X884" s="334"/>
      <c r="Y884" s="334"/>
      <c r="Z884" s="334"/>
      <c r="AA884" s="334"/>
      <c r="AB884" s="334"/>
      <c r="AC884" s="334"/>
      <c r="AD884" s="334"/>
    </row>
    <row r="885" ht="16.5" customHeight="1">
      <c r="A885" s="334"/>
      <c r="B885" s="329"/>
      <c r="C885" s="329" t="s">
        <v>585</v>
      </c>
      <c r="D885" s="331" t="s">
        <v>585</v>
      </c>
      <c r="E885" s="331" t="s">
        <v>585</v>
      </c>
      <c r="F885" s="331" t="s">
        <v>585</v>
      </c>
      <c r="G885" s="331">
        <f>iferror(sumifs('Hợp tác'!G:G,'Hợp tác'!A:A,B885,'Hợp tác'!H:H,$G$2,'Hợp tác'!I:I,$I$2),"")</f>
        <v>0</v>
      </c>
      <c r="H885" s="332">
        <f>SUMIF(View!J:J,View!B:B,B885)</f>
        <v>0</v>
      </c>
      <c r="I885" s="332">
        <f>sumifs('Hoa Hồng'!L:L,'Hoa Hồng'!A:A,B885)</f>
        <v>0</v>
      </c>
      <c r="J885" s="332">
        <v>0.0</v>
      </c>
      <c r="K885" s="333" t="s">
        <v>1211</v>
      </c>
      <c r="L885" s="334"/>
      <c r="M885" s="334"/>
      <c r="N885" s="334"/>
      <c r="O885" s="334"/>
      <c r="P885" s="334"/>
      <c r="Q885" s="334"/>
      <c r="R885" s="334"/>
      <c r="S885" s="334"/>
      <c r="T885" s="334"/>
      <c r="U885" s="334"/>
      <c r="V885" s="334"/>
      <c r="W885" s="334"/>
      <c r="X885" s="334"/>
      <c r="Y885" s="334"/>
      <c r="Z885" s="334"/>
      <c r="AA885" s="334"/>
      <c r="AB885" s="334"/>
      <c r="AC885" s="334"/>
      <c r="AD885" s="334"/>
    </row>
    <row r="886" ht="16.5" customHeight="1">
      <c r="A886" s="334"/>
      <c r="B886" s="329"/>
      <c r="C886" s="329" t="s">
        <v>585</v>
      </c>
      <c r="D886" s="331" t="s">
        <v>585</v>
      </c>
      <c r="E886" s="331" t="s">
        <v>585</v>
      </c>
      <c r="F886" s="331" t="s">
        <v>585</v>
      </c>
      <c r="G886" s="331">
        <f>iferror(sumifs('Hợp tác'!G:G,'Hợp tác'!A:A,B886,'Hợp tác'!H:H,$G$2,'Hợp tác'!I:I,$I$2),"")</f>
        <v>0</v>
      </c>
      <c r="H886" s="332">
        <f>SUMIF(View!J:J,View!B:B,B886)</f>
        <v>0</v>
      </c>
      <c r="I886" s="332">
        <f>sumifs('Hoa Hồng'!L:L,'Hoa Hồng'!A:A,B886)</f>
        <v>0</v>
      </c>
      <c r="J886" s="332">
        <v>0.0</v>
      </c>
      <c r="K886" s="333" t="s">
        <v>1211</v>
      </c>
      <c r="L886" s="334"/>
      <c r="M886" s="334"/>
      <c r="N886" s="334"/>
      <c r="O886" s="334"/>
      <c r="P886" s="334"/>
      <c r="Q886" s="334"/>
      <c r="R886" s="334"/>
      <c r="S886" s="334"/>
      <c r="T886" s="334"/>
      <c r="U886" s="334"/>
      <c r="V886" s="334"/>
      <c r="W886" s="334"/>
      <c r="X886" s="334"/>
      <c r="Y886" s="334"/>
      <c r="Z886" s="334"/>
      <c r="AA886" s="334"/>
      <c r="AB886" s="334"/>
      <c r="AC886" s="334"/>
      <c r="AD886" s="334"/>
    </row>
    <row r="887" ht="16.5" customHeight="1">
      <c r="A887" s="334"/>
      <c r="B887" s="329"/>
      <c r="C887" s="329" t="s">
        <v>585</v>
      </c>
      <c r="D887" s="331" t="s">
        <v>585</v>
      </c>
      <c r="E887" s="331" t="s">
        <v>585</v>
      </c>
      <c r="F887" s="331" t="s">
        <v>585</v>
      </c>
      <c r="G887" s="331">
        <f>iferror(sumifs('Hợp tác'!G:G,'Hợp tác'!A:A,B887,'Hợp tác'!H:H,$G$2,'Hợp tác'!I:I,$I$2),"")</f>
        <v>0</v>
      </c>
      <c r="H887" s="332">
        <f>SUMIF(View!J:J,View!B:B,B887)</f>
        <v>0</v>
      </c>
      <c r="I887" s="332">
        <f>sumifs('Hoa Hồng'!L:L,'Hoa Hồng'!A:A,B887)</f>
        <v>0</v>
      </c>
      <c r="J887" s="332">
        <v>0.0</v>
      </c>
      <c r="K887" s="333" t="s">
        <v>1211</v>
      </c>
      <c r="L887" s="334"/>
      <c r="M887" s="334"/>
      <c r="N887" s="334"/>
      <c r="O887" s="334"/>
      <c r="P887" s="334"/>
      <c r="Q887" s="334"/>
      <c r="R887" s="334"/>
      <c r="S887" s="334"/>
      <c r="T887" s="334"/>
      <c r="U887" s="334"/>
      <c r="V887" s="334"/>
      <c r="W887" s="334"/>
      <c r="X887" s="334"/>
      <c r="Y887" s="334"/>
      <c r="Z887" s="334"/>
      <c r="AA887" s="334"/>
      <c r="AB887" s="334"/>
      <c r="AC887" s="334"/>
      <c r="AD887" s="334"/>
    </row>
    <row r="888" ht="16.5" customHeight="1">
      <c r="A888" s="334"/>
      <c r="B888" s="329"/>
      <c r="C888" s="329" t="s">
        <v>585</v>
      </c>
      <c r="D888" s="331" t="s">
        <v>585</v>
      </c>
      <c r="E888" s="331" t="s">
        <v>585</v>
      </c>
      <c r="F888" s="331" t="s">
        <v>585</v>
      </c>
      <c r="G888" s="331">
        <f>iferror(sumifs('Hợp tác'!G:G,'Hợp tác'!A:A,B888,'Hợp tác'!H:H,$G$2,'Hợp tác'!I:I,$I$2),"")</f>
        <v>0</v>
      </c>
      <c r="H888" s="332">
        <f>SUMIF(View!J:J,View!B:B,B888)</f>
        <v>0</v>
      </c>
      <c r="I888" s="332">
        <f>sumifs('Hoa Hồng'!L:L,'Hoa Hồng'!A:A,B888)</f>
        <v>0</v>
      </c>
      <c r="J888" s="332">
        <v>0.0</v>
      </c>
      <c r="K888" s="333" t="s">
        <v>1211</v>
      </c>
      <c r="L888" s="334"/>
      <c r="M888" s="334"/>
      <c r="N888" s="334"/>
      <c r="O888" s="334"/>
      <c r="P888" s="334"/>
      <c r="Q888" s="334"/>
      <c r="R888" s="334"/>
      <c r="S888" s="334"/>
      <c r="T888" s="334"/>
      <c r="U888" s="334"/>
      <c r="V888" s="334"/>
      <c r="W888" s="334"/>
      <c r="X888" s="334"/>
      <c r="Y888" s="334"/>
      <c r="Z888" s="334"/>
      <c r="AA888" s="334"/>
      <c r="AB888" s="334"/>
      <c r="AC888" s="334"/>
      <c r="AD888" s="334"/>
    </row>
    <row r="889" ht="16.5" customHeight="1">
      <c r="A889" s="334"/>
      <c r="B889" s="329"/>
      <c r="C889" s="329" t="s">
        <v>585</v>
      </c>
      <c r="D889" s="331" t="s">
        <v>585</v>
      </c>
      <c r="E889" s="331" t="s">
        <v>585</v>
      </c>
      <c r="F889" s="331" t="s">
        <v>585</v>
      </c>
      <c r="G889" s="331">
        <f>iferror(sumifs('Hợp tác'!G:G,'Hợp tác'!A:A,B889,'Hợp tác'!H:H,$G$2,'Hợp tác'!I:I,$I$2),"")</f>
        <v>0</v>
      </c>
      <c r="H889" s="332">
        <f>SUMIF(View!J:J,View!B:B,B889)</f>
        <v>0</v>
      </c>
      <c r="I889" s="332">
        <f>sumifs('Hoa Hồng'!L:L,'Hoa Hồng'!A:A,B889)</f>
        <v>0</v>
      </c>
      <c r="J889" s="332">
        <v>0.0</v>
      </c>
      <c r="K889" s="333" t="s">
        <v>1211</v>
      </c>
      <c r="L889" s="334"/>
      <c r="M889" s="334"/>
      <c r="N889" s="334"/>
      <c r="O889" s="334"/>
      <c r="P889" s="334"/>
      <c r="Q889" s="334"/>
      <c r="R889" s="334"/>
      <c r="S889" s="334"/>
      <c r="T889" s="334"/>
      <c r="U889" s="334"/>
      <c r="V889" s="334"/>
      <c r="W889" s="334"/>
      <c r="X889" s="334"/>
      <c r="Y889" s="334"/>
      <c r="Z889" s="334"/>
      <c r="AA889" s="334"/>
      <c r="AB889" s="334"/>
      <c r="AC889" s="334"/>
      <c r="AD889" s="334"/>
    </row>
    <row r="890" ht="16.5" customHeight="1">
      <c r="A890" s="334"/>
      <c r="B890" s="329"/>
      <c r="C890" s="329" t="s">
        <v>585</v>
      </c>
      <c r="D890" s="331" t="s">
        <v>585</v>
      </c>
      <c r="E890" s="331" t="s">
        <v>585</v>
      </c>
      <c r="F890" s="331" t="s">
        <v>585</v>
      </c>
      <c r="G890" s="331">
        <f>iferror(sumifs('Hợp tác'!G:G,'Hợp tác'!A:A,B890,'Hợp tác'!H:H,$G$2,'Hợp tác'!I:I,$I$2),"")</f>
        <v>0</v>
      </c>
      <c r="H890" s="332">
        <f>SUMIF(View!J:J,View!B:B,B890)</f>
        <v>0</v>
      </c>
      <c r="I890" s="332">
        <f>sumifs('Hoa Hồng'!L:L,'Hoa Hồng'!A:A,B890)</f>
        <v>0</v>
      </c>
      <c r="J890" s="332">
        <v>0.0</v>
      </c>
      <c r="K890" s="333" t="s">
        <v>1211</v>
      </c>
      <c r="L890" s="334"/>
      <c r="M890" s="334"/>
      <c r="N890" s="334"/>
      <c r="O890" s="334"/>
      <c r="P890" s="334"/>
      <c r="Q890" s="334"/>
      <c r="R890" s="334"/>
      <c r="S890" s="334"/>
      <c r="T890" s="334"/>
      <c r="U890" s="334"/>
      <c r="V890" s="334"/>
      <c r="W890" s="334"/>
      <c r="X890" s="334"/>
      <c r="Y890" s="334"/>
      <c r="Z890" s="334"/>
      <c r="AA890" s="334"/>
      <c r="AB890" s="334"/>
      <c r="AC890" s="334"/>
      <c r="AD890" s="334"/>
    </row>
    <row r="891" ht="16.5" customHeight="1">
      <c r="A891" s="334"/>
      <c r="B891" s="329"/>
      <c r="C891" s="329" t="s">
        <v>585</v>
      </c>
      <c r="D891" s="331" t="s">
        <v>585</v>
      </c>
      <c r="E891" s="331" t="s">
        <v>585</v>
      </c>
      <c r="F891" s="331" t="s">
        <v>585</v>
      </c>
      <c r="G891" s="331">
        <f>iferror(sumifs('Hợp tác'!G:G,'Hợp tác'!A:A,B891,'Hợp tác'!H:H,$G$2,'Hợp tác'!I:I,$I$2),"")</f>
        <v>0</v>
      </c>
      <c r="H891" s="332">
        <f>SUMIF(View!J:J,View!B:B,B891)</f>
        <v>0</v>
      </c>
      <c r="I891" s="332">
        <f>sumifs('Hoa Hồng'!L:L,'Hoa Hồng'!A:A,B891)</f>
        <v>0</v>
      </c>
      <c r="J891" s="332">
        <v>0.0</v>
      </c>
      <c r="K891" s="333" t="s">
        <v>1211</v>
      </c>
      <c r="L891" s="334"/>
      <c r="M891" s="334"/>
      <c r="N891" s="334"/>
      <c r="O891" s="334"/>
      <c r="P891" s="334"/>
      <c r="Q891" s="334"/>
      <c r="R891" s="334"/>
      <c r="S891" s="334"/>
      <c r="T891" s="334"/>
      <c r="U891" s="334"/>
      <c r="V891" s="334"/>
      <c r="W891" s="334"/>
      <c r="X891" s="334"/>
      <c r="Y891" s="334"/>
      <c r="Z891" s="334"/>
      <c r="AA891" s="334"/>
      <c r="AB891" s="334"/>
      <c r="AC891" s="334"/>
      <c r="AD891" s="334"/>
    </row>
    <row r="892" ht="16.5" customHeight="1">
      <c r="A892" s="334"/>
      <c r="B892" s="329"/>
      <c r="C892" s="329" t="s">
        <v>585</v>
      </c>
      <c r="D892" s="331" t="s">
        <v>585</v>
      </c>
      <c r="E892" s="331" t="s">
        <v>585</v>
      </c>
      <c r="F892" s="331" t="s">
        <v>585</v>
      </c>
      <c r="G892" s="331">
        <f>iferror(sumifs('Hợp tác'!G:G,'Hợp tác'!A:A,B892,'Hợp tác'!H:H,$G$2,'Hợp tác'!I:I,$I$2),"")</f>
        <v>0</v>
      </c>
      <c r="H892" s="332">
        <f>SUMIF(View!J:J,View!B:B,B892)</f>
        <v>0</v>
      </c>
      <c r="I892" s="332">
        <f>sumifs('Hoa Hồng'!L:L,'Hoa Hồng'!A:A,B892)</f>
        <v>0</v>
      </c>
      <c r="J892" s="332">
        <v>0.0</v>
      </c>
      <c r="K892" s="333" t="s">
        <v>1211</v>
      </c>
      <c r="L892" s="334"/>
      <c r="M892" s="334"/>
      <c r="N892" s="334"/>
      <c r="O892" s="334"/>
      <c r="P892" s="334"/>
      <c r="Q892" s="334"/>
      <c r="R892" s="334"/>
      <c r="S892" s="334"/>
      <c r="T892" s="334"/>
      <c r="U892" s="334"/>
      <c r="V892" s="334"/>
      <c r="W892" s="334"/>
      <c r="X892" s="334"/>
      <c r="Y892" s="334"/>
      <c r="Z892" s="334"/>
      <c r="AA892" s="334"/>
      <c r="AB892" s="334"/>
      <c r="AC892" s="334"/>
      <c r="AD892" s="334"/>
    </row>
    <row r="893" ht="16.5" customHeight="1">
      <c r="A893" s="334"/>
      <c r="B893" s="329"/>
      <c r="C893" s="329" t="s">
        <v>585</v>
      </c>
      <c r="D893" s="331" t="s">
        <v>585</v>
      </c>
      <c r="E893" s="331" t="s">
        <v>585</v>
      </c>
      <c r="F893" s="331" t="s">
        <v>585</v>
      </c>
      <c r="G893" s="331">
        <f>iferror(sumifs('Hợp tác'!G:G,'Hợp tác'!A:A,B893,'Hợp tác'!H:H,$G$2,'Hợp tác'!I:I,$I$2),"")</f>
        <v>0</v>
      </c>
      <c r="H893" s="332">
        <f>SUMIF(View!J:J,View!B:B,B893)</f>
        <v>0</v>
      </c>
      <c r="I893" s="332">
        <f>sumifs('Hoa Hồng'!L:L,'Hoa Hồng'!A:A,B893)</f>
        <v>0</v>
      </c>
      <c r="J893" s="332">
        <v>0.0</v>
      </c>
      <c r="K893" s="333" t="s">
        <v>1211</v>
      </c>
      <c r="L893" s="334"/>
      <c r="M893" s="334"/>
      <c r="N893" s="334"/>
      <c r="O893" s="334"/>
      <c r="P893" s="334"/>
      <c r="Q893" s="334"/>
      <c r="R893" s="334"/>
      <c r="S893" s="334"/>
      <c r="T893" s="334"/>
      <c r="U893" s="334"/>
      <c r="V893" s="334"/>
      <c r="W893" s="334"/>
      <c r="X893" s="334"/>
      <c r="Y893" s="334"/>
      <c r="Z893" s="334"/>
      <c r="AA893" s="334"/>
      <c r="AB893" s="334"/>
      <c r="AC893" s="334"/>
      <c r="AD893" s="334"/>
    </row>
    <row r="894" ht="16.5" customHeight="1">
      <c r="A894" s="334"/>
      <c r="B894" s="329"/>
      <c r="C894" s="329" t="s">
        <v>585</v>
      </c>
      <c r="D894" s="331" t="s">
        <v>585</v>
      </c>
      <c r="E894" s="331" t="s">
        <v>585</v>
      </c>
      <c r="F894" s="331" t="s">
        <v>585</v>
      </c>
      <c r="G894" s="331">
        <f>iferror(sumifs('Hợp tác'!G:G,'Hợp tác'!A:A,B894,'Hợp tác'!H:H,$G$2,'Hợp tác'!I:I,$I$2),"")</f>
        <v>0</v>
      </c>
      <c r="H894" s="332">
        <f>SUMIF(View!J:J,View!B:B,B894)</f>
        <v>0</v>
      </c>
      <c r="I894" s="332">
        <f>sumifs('Hoa Hồng'!L:L,'Hoa Hồng'!A:A,B894)</f>
        <v>0</v>
      </c>
      <c r="J894" s="332">
        <v>0.0</v>
      </c>
      <c r="K894" s="333" t="s">
        <v>1211</v>
      </c>
      <c r="L894" s="334"/>
      <c r="M894" s="334"/>
      <c r="N894" s="334"/>
      <c r="O894" s="334"/>
      <c r="P894" s="334"/>
      <c r="Q894" s="334"/>
      <c r="R894" s="334"/>
      <c r="S894" s="334"/>
      <c r="T894" s="334"/>
      <c r="U894" s="334"/>
      <c r="V894" s="334"/>
      <c r="W894" s="334"/>
      <c r="X894" s="334"/>
      <c r="Y894" s="334"/>
      <c r="Z894" s="334"/>
      <c r="AA894" s="334"/>
      <c r="AB894" s="334"/>
      <c r="AC894" s="334"/>
      <c r="AD894" s="334"/>
    </row>
    <row r="895" ht="16.5" customHeight="1">
      <c r="A895" s="334"/>
      <c r="B895" s="329"/>
      <c r="C895" s="329" t="s">
        <v>585</v>
      </c>
      <c r="D895" s="331" t="s">
        <v>585</v>
      </c>
      <c r="E895" s="331" t="s">
        <v>585</v>
      </c>
      <c r="F895" s="331" t="s">
        <v>585</v>
      </c>
      <c r="G895" s="331">
        <f>iferror(sumifs('Hợp tác'!G:G,'Hợp tác'!A:A,B895,'Hợp tác'!H:H,$G$2,'Hợp tác'!I:I,$I$2),"")</f>
        <v>0</v>
      </c>
      <c r="H895" s="332">
        <f>SUMIF(View!J:J,View!B:B,B895)</f>
        <v>0</v>
      </c>
      <c r="I895" s="332">
        <f>sumifs('Hoa Hồng'!L:L,'Hoa Hồng'!A:A,B895)</f>
        <v>0</v>
      </c>
      <c r="J895" s="332">
        <v>0.0</v>
      </c>
      <c r="K895" s="333" t="s">
        <v>1211</v>
      </c>
      <c r="L895" s="334"/>
      <c r="M895" s="334"/>
      <c r="N895" s="334"/>
      <c r="O895" s="334"/>
      <c r="P895" s="334"/>
      <c r="Q895" s="334"/>
      <c r="R895" s="334"/>
      <c r="S895" s="334"/>
      <c r="T895" s="334"/>
      <c r="U895" s="334"/>
      <c r="V895" s="334"/>
      <c r="W895" s="334"/>
      <c r="X895" s="334"/>
      <c r="Y895" s="334"/>
      <c r="Z895" s="334"/>
      <c r="AA895" s="334"/>
      <c r="AB895" s="334"/>
      <c r="AC895" s="334"/>
      <c r="AD895" s="334"/>
    </row>
    <row r="896" ht="16.5" customHeight="1">
      <c r="A896" s="334"/>
      <c r="B896" s="329"/>
      <c r="C896" s="329" t="s">
        <v>585</v>
      </c>
      <c r="D896" s="331" t="s">
        <v>585</v>
      </c>
      <c r="E896" s="331" t="s">
        <v>585</v>
      </c>
      <c r="F896" s="331" t="s">
        <v>585</v>
      </c>
      <c r="G896" s="331">
        <f>iferror(sumifs('Hợp tác'!G:G,'Hợp tác'!A:A,B896,'Hợp tác'!H:H,$G$2,'Hợp tác'!I:I,$I$2),"")</f>
        <v>0</v>
      </c>
      <c r="H896" s="332">
        <f>SUMIF(View!J:J,View!B:B,B896)</f>
        <v>0</v>
      </c>
      <c r="I896" s="332">
        <f>sumifs('Hoa Hồng'!L:L,'Hoa Hồng'!A:A,B896)</f>
        <v>0</v>
      </c>
      <c r="J896" s="332">
        <v>0.0</v>
      </c>
      <c r="K896" s="333" t="s">
        <v>1211</v>
      </c>
      <c r="L896" s="334"/>
      <c r="M896" s="334"/>
      <c r="N896" s="334"/>
      <c r="O896" s="334"/>
      <c r="P896" s="334"/>
      <c r="Q896" s="334"/>
      <c r="R896" s="334"/>
      <c r="S896" s="334"/>
      <c r="T896" s="334"/>
      <c r="U896" s="334"/>
      <c r="V896" s="334"/>
      <c r="W896" s="334"/>
      <c r="X896" s="334"/>
      <c r="Y896" s="334"/>
      <c r="Z896" s="334"/>
      <c r="AA896" s="334"/>
      <c r="AB896" s="334"/>
      <c r="AC896" s="334"/>
      <c r="AD896" s="334"/>
    </row>
    <row r="897" ht="16.5" customHeight="1">
      <c r="A897" s="334"/>
      <c r="B897" s="329"/>
      <c r="C897" s="329" t="s">
        <v>585</v>
      </c>
      <c r="D897" s="331" t="s">
        <v>585</v>
      </c>
      <c r="E897" s="331" t="s">
        <v>585</v>
      </c>
      <c r="F897" s="331" t="s">
        <v>585</v>
      </c>
      <c r="G897" s="331">
        <f>iferror(sumifs('Hợp tác'!G:G,'Hợp tác'!A:A,B897,'Hợp tác'!H:H,$G$2,'Hợp tác'!I:I,$I$2),"")</f>
        <v>0</v>
      </c>
      <c r="H897" s="332">
        <f>SUMIF(View!J:J,View!B:B,B897)</f>
        <v>0</v>
      </c>
      <c r="I897" s="332">
        <f>sumifs('Hoa Hồng'!L:L,'Hoa Hồng'!A:A,B897)</f>
        <v>0</v>
      </c>
      <c r="J897" s="332">
        <v>0.0</v>
      </c>
      <c r="K897" s="333" t="s">
        <v>1211</v>
      </c>
      <c r="L897" s="334"/>
      <c r="M897" s="334"/>
      <c r="N897" s="334"/>
      <c r="O897" s="334"/>
      <c r="P897" s="334"/>
      <c r="Q897" s="334"/>
      <c r="R897" s="334"/>
      <c r="S897" s="334"/>
      <c r="T897" s="334"/>
      <c r="U897" s="334"/>
      <c r="V897" s="334"/>
      <c r="W897" s="334"/>
      <c r="X897" s="334"/>
      <c r="Y897" s="334"/>
      <c r="Z897" s="334"/>
      <c r="AA897" s="334"/>
      <c r="AB897" s="334"/>
      <c r="AC897" s="334"/>
      <c r="AD897" s="334"/>
    </row>
    <row r="898" ht="16.5" customHeight="1">
      <c r="A898" s="334"/>
      <c r="B898" s="329"/>
      <c r="C898" s="329" t="s">
        <v>585</v>
      </c>
      <c r="D898" s="331" t="s">
        <v>585</v>
      </c>
      <c r="E898" s="331" t="s">
        <v>585</v>
      </c>
      <c r="F898" s="331" t="s">
        <v>585</v>
      </c>
      <c r="G898" s="331">
        <f>iferror(sumifs('Hợp tác'!G:G,'Hợp tác'!A:A,B898,'Hợp tác'!H:H,$G$2,'Hợp tác'!I:I,$I$2),"")</f>
        <v>0</v>
      </c>
      <c r="H898" s="332">
        <f>SUMIF(View!J:J,View!B:B,B898)</f>
        <v>0</v>
      </c>
      <c r="I898" s="332">
        <f>sumifs('Hoa Hồng'!L:L,'Hoa Hồng'!A:A,B898)</f>
        <v>0</v>
      </c>
      <c r="J898" s="332">
        <v>0.0</v>
      </c>
      <c r="K898" s="333" t="s">
        <v>1211</v>
      </c>
      <c r="L898" s="334"/>
      <c r="M898" s="334"/>
      <c r="N898" s="334"/>
      <c r="O898" s="334"/>
      <c r="P898" s="334"/>
      <c r="Q898" s="334"/>
      <c r="R898" s="334"/>
      <c r="S898" s="334"/>
      <c r="T898" s="334"/>
      <c r="U898" s="334"/>
      <c r="V898" s="334"/>
      <c r="W898" s="334"/>
      <c r="X898" s="334"/>
      <c r="Y898" s="334"/>
      <c r="Z898" s="334"/>
      <c r="AA898" s="334"/>
      <c r="AB898" s="334"/>
      <c r="AC898" s="334"/>
      <c r="AD898" s="334"/>
    </row>
    <row r="899" ht="16.5" customHeight="1">
      <c r="A899" s="334"/>
      <c r="B899" s="329"/>
      <c r="C899" s="329" t="s">
        <v>585</v>
      </c>
      <c r="D899" s="331" t="s">
        <v>585</v>
      </c>
      <c r="E899" s="331" t="s">
        <v>585</v>
      </c>
      <c r="F899" s="331" t="s">
        <v>585</v>
      </c>
      <c r="G899" s="331">
        <f>iferror(sumifs('Hợp tác'!G:G,'Hợp tác'!A:A,B899,'Hợp tác'!H:H,$G$2,'Hợp tác'!I:I,$I$2),"")</f>
        <v>0</v>
      </c>
      <c r="H899" s="332">
        <f>SUMIF(View!J:J,View!B:B,B899)</f>
        <v>0</v>
      </c>
      <c r="I899" s="332">
        <f>sumifs('Hoa Hồng'!L:L,'Hoa Hồng'!A:A,B899)</f>
        <v>0</v>
      </c>
      <c r="J899" s="332">
        <v>0.0</v>
      </c>
      <c r="K899" s="333" t="s">
        <v>1211</v>
      </c>
      <c r="L899" s="334"/>
      <c r="M899" s="334"/>
      <c r="N899" s="334"/>
      <c r="O899" s="334"/>
      <c r="P899" s="334"/>
      <c r="Q899" s="334"/>
      <c r="R899" s="334"/>
      <c r="S899" s="334"/>
      <c r="T899" s="334"/>
      <c r="U899" s="334"/>
      <c r="V899" s="334"/>
      <c r="W899" s="334"/>
      <c r="X899" s="334"/>
      <c r="Y899" s="334"/>
      <c r="Z899" s="334"/>
      <c r="AA899" s="334"/>
      <c r="AB899" s="334"/>
      <c r="AC899" s="334"/>
      <c r="AD899" s="334"/>
    </row>
    <row r="900" ht="16.5" customHeight="1">
      <c r="A900" s="334"/>
      <c r="B900" s="329"/>
      <c r="C900" s="329" t="s">
        <v>585</v>
      </c>
      <c r="D900" s="331" t="s">
        <v>585</v>
      </c>
      <c r="E900" s="331" t="s">
        <v>585</v>
      </c>
      <c r="F900" s="331" t="s">
        <v>585</v>
      </c>
      <c r="G900" s="331">
        <f>iferror(sumifs('Hợp tác'!G:G,'Hợp tác'!A:A,B900,'Hợp tác'!H:H,$G$2,'Hợp tác'!I:I,$I$2),"")</f>
        <v>0</v>
      </c>
      <c r="H900" s="332">
        <f>SUMIF(View!J:J,View!B:B,B900)</f>
        <v>0</v>
      </c>
      <c r="I900" s="332">
        <f>sumifs('Hoa Hồng'!L:L,'Hoa Hồng'!A:A,B900)</f>
        <v>0</v>
      </c>
      <c r="J900" s="332">
        <v>0.0</v>
      </c>
      <c r="K900" s="333" t="s">
        <v>1211</v>
      </c>
      <c r="L900" s="334"/>
      <c r="M900" s="334"/>
      <c r="N900" s="334"/>
      <c r="O900" s="334"/>
      <c r="P900" s="334"/>
      <c r="Q900" s="334"/>
      <c r="R900" s="334"/>
      <c r="S900" s="334"/>
      <c r="T900" s="334"/>
      <c r="U900" s="334"/>
      <c r="V900" s="334"/>
      <c r="W900" s="334"/>
      <c r="X900" s="334"/>
      <c r="Y900" s="334"/>
      <c r="Z900" s="334"/>
      <c r="AA900" s="334"/>
      <c r="AB900" s="334"/>
      <c r="AC900" s="334"/>
      <c r="AD900" s="334"/>
    </row>
    <row r="901" ht="16.5" customHeight="1">
      <c r="A901" s="334"/>
      <c r="B901" s="329"/>
      <c r="C901" s="329" t="s">
        <v>585</v>
      </c>
      <c r="D901" s="331" t="s">
        <v>585</v>
      </c>
      <c r="E901" s="331" t="s">
        <v>585</v>
      </c>
      <c r="F901" s="331" t="s">
        <v>585</v>
      </c>
      <c r="G901" s="331">
        <f>iferror(sumifs('Hợp tác'!G:G,'Hợp tác'!A:A,B901,'Hợp tác'!H:H,$G$2,'Hợp tác'!I:I,$I$2),"")</f>
        <v>0</v>
      </c>
      <c r="H901" s="332">
        <f>SUMIF(View!J:J,View!B:B,B901)</f>
        <v>0</v>
      </c>
      <c r="I901" s="332">
        <f>sumifs('Hoa Hồng'!L:L,'Hoa Hồng'!A:A,B901)</f>
        <v>0</v>
      </c>
      <c r="J901" s="332">
        <v>0.0</v>
      </c>
      <c r="K901" s="333" t="s">
        <v>1211</v>
      </c>
      <c r="L901" s="334"/>
      <c r="M901" s="334"/>
      <c r="N901" s="334"/>
      <c r="O901" s="334"/>
      <c r="P901" s="334"/>
      <c r="Q901" s="334"/>
      <c r="R901" s="334"/>
      <c r="S901" s="334"/>
      <c r="T901" s="334"/>
      <c r="U901" s="334"/>
      <c r="V901" s="334"/>
      <c r="W901" s="334"/>
      <c r="X901" s="334"/>
      <c r="Y901" s="334"/>
      <c r="Z901" s="334"/>
      <c r="AA901" s="334"/>
      <c r="AB901" s="334"/>
      <c r="AC901" s="334"/>
      <c r="AD901" s="334"/>
    </row>
    <row r="902" ht="16.5" customHeight="1">
      <c r="A902" s="334"/>
      <c r="B902" s="329"/>
      <c r="C902" s="329" t="s">
        <v>585</v>
      </c>
      <c r="D902" s="331" t="s">
        <v>585</v>
      </c>
      <c r="E902" s="331" t="s">
        <v>585</v>
      </c>
      <c r="F902" s="331" t="s">
        <v>585</v>
      </c>
      <c r="G902" s="331">
        <f>iferror(sumifs('Hợp tác'!G:G,'Hợp tác'!A:A,B902,'Hợp tác'!H:H,$G$2,'Hợp tác'!I:I,$I$2),"")</f>
        <v>0</v>
      </c>
      <c r="H902" s="332">
        <f>SUMIF(View!J:J,View!B:B,B902)</f>
        <v>0</v>
      </c>
      <c r="I902" s="332">
        <f>sumifs('Hoa Hồng'!L:L,'Hoa Hồng'!A:A,B902)</f>
        <v>0</v>
      </c>
      <c r="J902" s="332">
        <v>0.0</v>
      </c>
      <c r="K902" s="333" t="s">
        <v>1211</v>
      </c>
      <c r="L902" s="334"/>
      <c r="M902" s="334"/>
      <c r="N902" s="334"/>
      <c r="O902" s="334"/>
      <c r="P902" s="334"/>
      <c r="Q902" s="334"/>
      <c r="R902" s="334"/>
      <c r="S902" s="334"/>
      <c r="T902" s="334"/>
      <c r="U902" s="334"/>
      <c r="V902" s="334"/>
      <c r="W902" s="334"/>
      <c r="X902" s="334"/>
      <c r="Y902" s="334"/>
      <c r="Z902" s="334"/>
      <c r="AA902" s="334"/>
      <c r="AB902" s="334"/>
      <c r="AC902" s="334"/>
      <c r="AD902" s="334"/>
    </row>
    <row r="903" ht="16.5" customHeight="1">
      <c r="A903" s="334"/>
      <c r="B903" s="329"/>
      <c r="C903" s="329" t="s">
        <v>585</v>
      </c>
      <c r="D903" s="331" t="s">
        <v>585</v>
      </c>
      <c r="E903" s="331" t="s">
        <v>585</v>
      </c>
      <c r="F903" s="331" t="s">
        <v>585</v>
      </c>
      <c r="G903" s="331">
        <f>iferror(sumifs('Hợp tác'!G:G,'Hợp tác'!A:A,B903,'Hợp tác'!H:H,$G$2,'Hợp tác'!I:I,$I$2),"")</f>
        <v>0</v>
      </c>
      <c r="H903" s="332">
        <f>SUMIF(View!J:J,View!B:B,B903)</f>
        <v>0</v>
      </c>
      <c r="I903" s="332">
        <f>sumifs('Hoa Hồng'!L:L,'Hoa Hồng'!A:A,B903)</f>
        <v>0</v>
      </c>
      <c r="J903" s="332">
        <v>0.0</v>
      </c>
      <c r="K903" s="333" t="s">
        <v>1211</v>
      </c>
      <c r="L903" s="334"/>
      <c r="M903" s="334"/>
      <c r="N903" s="334"/>
      <c r="O903" s="334"/>
      <c r="P903" s="334"/>
      <c r="Q903" s="334"/>
      <c r="R903" s="334"/>
      <c r="S903" s="334"/>
      <c r="T903" s="334"/>
      <c r="U903" s="334"/>
      <c r="V903" s="334"/>
      <c r="W903" s="334"/>
      <c r="X903" s="334"/>
      <c r="Y903" s="334"/>
      <c r="Z903" s="334"/>
      <c r="AA903" s="334"/>
      <c r="AB903" s="334"/>
      <c r="AC903" s="334"/>
      <c r="AD903" s="334"/>
    </row>
    <row r="904" ht="16.5" customHeight="1">
      <c r="A904" s="334"/>
      <c r="B904" s="329"/>
      <c r="C904" s="329" t="s">
        <v>585</v>
      </c>
      <c r="D904" s="331" t="s">
        <v>585</v>
      </c>
      <c r="E904" s="331" t="s">
        <v>585</v>
      </c>
      <c r="F904" s="331" t="s">
        <v>585</v>
      </c>
      <c r="G904" s="331">
        <f>iferror(sumifs('Hợp tác'!G:G,'Hợp tác'!A:A,B904,'Hợp tác'!H:H,$G$2,'Hợp tác'!I:I,$I$2),"")</f>
        <v>0</v>
      </c>
      <c r="H904" s="332">
        <f>SUMIF(View!J:J,View!B:B,B904)</f>
        <v>0</v>
      </c>
      <c r="I904" s="332">
        <f>sumifs('Hoa Hồng'!L:L,'Hoa Hồng'!A:A,B904)</f>
        <v>0</v>
      </c>
      <c r="J904" s="332">
        <v>0.0</v>
      </c>
      <c r="K904" s="333" t="s">
        <v>1211</v>
      </c>
      <c r="L904" s="334"/>
      <c r="M904" s="334"/>
      <c r="N904" s="334"/>
      <c r="O904" s="334"/>
      <c r="P904" s="334"/>
      <c r="Q904" s="334"/>
      <c r="R904" s="334"/>
      <c r="S904" s="334"/>
      <c r="T904" s="334"/>
      <c r="U904" s="334"/>
      <c r="V904" s="334"/>
      <c r="W904" s="334"/>
      <c r="X904" s="334"/>
      <c r="Y904" s="334"/>
      <c r="Z904" s="334"/>
      <c r="AA904" s="334"/>
      <c r="AB904" s="334"/>
      <c r="AC904" s="334"/>
      <c r="AD904" s="334"/>
    </row>
    <row r="905" ht="16.5" customHeight="1">
      <c r="A905" s="334"/>
      <c r="B905" s="329"/>
      <c r="C905" s="329" t="s">
        <v>585</v>
      </c>
      <c r="D905" s="331" t="s">
        <v>585</v>
      </c>
      <c r="E905" s="331" t="s">
        <v>585</v>
      </c>
      <c r="F905" s="331" t="s">
        <v>585</v>
      </c>
      <c r="G905" s="331">
        <f>iferror(sumifs('Hợp tác'!G:G,'Hợp tác'!A:A,B905,'Hợp tác'!H:H,$G$2,'Hợp tác'!I:I,$I$2),"")</f>
        <v>0</v>
      </c>
      <c r="H905" s="332">
        <f>SUMIF(View!J:J,View!B:B,B905)</f>
        <v>0</v>
      </c>
      <c r="I905" s="332">
        <f>sumifs('Hoa Hồng'!L:L,'Hoa Hồng'!A:A,B905)</f>
        <v>0</v>
      </c>
      <c r="J905" s="332">
        <v>0.0</v>
      </c>
      <c r="K905" s="333" t="s">
        <v>1211</v>
      </c>
      <c r="L905" s="334"/>
      <c r="M905" s="334"/>
      <c r="N905" s="334"/>
      <c r="O905" s="334"/>
      <c r="P905" s="334"/>
      <c r="Q905" s="334"/>
      <c r="R905" s="334"/>
      <c r="S905" s="334"/>
      <c r="T905" s="334"/>
      <c r="U905" s="334"/>
      <c r="V905" s="334"/>
      <c r="W905" s="334"/>
      <c r="X905" s="334"/>
      <c r="Y905" s="334"/>
      <c r="Z905" s="334"/>
      <c r="AA905" s="334"/>
      <c r="AB905" s="334"/>
      <c r="AC905" s="334"/>
      <c r="AD905" s="334"/>
    </row>
    <row r="906" ht="16.5" customHeight="1">
      <c r="A906" s="334"/>
      <c r="B906" s="329"/>
      <c r="C906" s="329" t="s">
        <v>585</v>
      </c>
      <c r="D906" s="331" t="s">
        <v>585</v>
      </c>
      <c r="E906" s="331" t="s">
        <v>585</v>
      </c>
      <c r="F906" s="331" t="s">
        <v>585</v>
      </c>
      <c r="G906" s="331">
        <f>iferror(sumifs('Hợp tác'!G:G,'Hợp tác'!A:A,B906,'Hợp tác'!H:H,$G$2,'Hợp tác'!I:I,$I$2),"")</f>
        <v>0</v>
      </c>
      <c r="H906" s="332">
        <f>SUMIF(View!J:J,View!B:B,B906)</f>
        <v>0</v>
      </c>
      <c r="I906" s="332">
        <f>sumifs('Hoa Hồng'!L:L,'Hoa Hồng'!A:A,B906)</f>
        <v>0</v>
      </c>
      <c r="J906" s="332">
        <v>0.0</v>
      </c>
      <c r="K906" s="333" t="s">
        <v>1211</v>
      </c>
      <c r="L906" s="334"/>
      <c r="M906" s="334"/>
      <c r="N906" s="334"/>
      <c r="O906" s="334"/>
      <c r="P906" s="334"/>
      <c r="Q906" s="334"/>
      <c r="R906" s="334"/>
      <c r="S906" s="334"/>
      <c r="T906" s="334"/>
      <c r="U906" s="334"/>
      <c r="V906" s="334"/>
      <c r="W906" s="334"/>
      <c r="X906" s="334"/>
      <c r="Y906" s="334"/>
      <c r="Z906" s="334"/>
      <c r="AA906" s="334"/>
      <c r="AB906" s="334"/>
      <c r="AC906" s="334"/>
      <c r="AD906" s="334"/>
    </row>
    <row r="907" ht="16.5" customHeight="1">
      <c r="A907" s="334"/>
      <c r="B907" s="329"/>
      <c r="C907" s="329" t="s">
        <v>585</v>
      </c>
      <c r="D907" s="331" t="s">
        <v>585</v>
      </c>
      <c r="E907" s="331" t="s">
        <v>585</v>
      </c>
      <c r="F907" s="331" t="s">
        <v>585</v>
      </c>
      <c r="G907" s="331">
        <f>iferror(sumifs('Hợp tác'!G:G,'Hợp tác'!A:A,B907,'Hợp tác'!H:H,$G$2,'Hợp tác'!I:I,$I$2),"")</f>
        <v>0</v>
      </c>
      <c r="H907" s="332">
        <f>SUMIF(View!J:J,View!B:B,B907)</f>
        <v>0</v>
      </c>
      <c r="I907" s="332">
        <f>sumifs('Hoa Hồng'!L:L,'Hoa Hồng'!A:A,B907)</f>
        <v>0</v>
      </c>
      <c r="J907" s="332">
        <v>0.0</v>
      </c>
      <c r="K907" s="333" t="s">
        <v>1211</v>
      </c>
      <c r="L907" s="334"/>
      <c r="M907" s="334"/>
      <c r="N907" s="334"/>
      <c r="O907" s="334"/>
      <c r="P907" s="334"/>
      <c r="Q907" s="334"/>
      <c r="R907" s="334"/>
      <c r="S907" s="334"/>
      <c r="T907" s="334"/>
      <c r="U907" s="334"/>
      <c r="V907" s="334"/>
      <c r="W907" s="334"/>
      <c r="X907" s="334"/>
      <c r="Y907" s="334"/>
      <c r="Z907" s="334"/>
      <c r="AA907" s="334"/>
      <c r="AB907" s="334"/>
      <c r="AC907" s="334"/>
      <c r="AD907" s="334"/>
    </row>
    <row r="908" ht="16.5" customHeight="1">
      <c r="A908" s="334"/>
      <c r="B908" s="329"/>
      <c r="C908" s="329" t="s">
        <v>585</v>
      </c>
      <c r="D908" s="331" t="s">
        <v>585</v>
      </c>
      <c r="E908" s="331" t="s">
        <v>585</v>
      </c>
      <c r="F908" s="331" t="s">
        <v>585</v>
      </c>
      <c r="G908" s="331">
        <f>iferror(sumifs('Hợp tác'!G:G,'Hợp tác'!A:A,B908,'Hợp tác'!H:H,$G$2,'Hợp tác'!I:I,$I$2),"")</f>
        <v>0</v>
      </c>
      <c r="H908" s="332">
        <f>SUMIF(View!J:J,View!B:B,B908)</f>
        <v>0</v>
      </c>
      <c r="I908" s="332">
        <f>sumifs('Hoa Hồng'!L:L,'Hoa Hồng'!A:A,B908)</f>
        <v>0</v>
      </c>
      <c r="J908" s="332">
        <v>0.0</v>
      </c>
      <c r="K908" s="333" t="s">
        <v>1211</v>
      </c>
      <c r="L908" s="334"/>
      <c r="M908" s="334"/>
      <c r="N908" s="334"/>
      <c r="O908" s="334"/>
      <c r="P908" s="334"/>
      <c r="Q908" s="334"/>
      <c r="R908" s="334"/>
      <c r="S908" s="334"/>
      <c r="T908" s="334"/>
      <c r="U908" s="334"/>
      <c r="V908" s="334"/>
      <c r="W908" s="334"/>
      <c r="X908" s="334"/>
      <c r="Y908" s="334"/>
      <c r="Z908" s="334"/>
      <c r="AA908" s="334"/>
      <c r="AB908" s="334"/>
      <c r="AC908" s="334"/>
      <c r="AD908" s="334"/>
    </row>
    <row r="909" ht="16.5" customHeight="1">
      <c r="A909" s="334"/>
      <c r="B909" s="329"/>
      <c r="C909" s="329" t="s">
        <v>585</v>
      </c>
      <c r="D909" s="331" t="s">
        <v>585</v>
      </c>
      <c r="E909" s="331" t="s">
        <v>585</v>
      </c>
      <c r="F909" s="331" t="s">
        <v>585</v>
      </c>
      <c r="G909" s="331">
        <f>iferror(sumifs('Hợp tác'!G:G,'Hợp tác'!A:A,B909,'Hợp tác'!H:H,$G$2,'Hợp tác'!I:I,$I$2),"")</f>
        <v>0</v>
      </c>
      <c r="H909" s="332">
        <f>SUMIF(View!J:J,View!B:B,B909)</f>
        <v>0</v>
      </c>
      <c r="I909" s="332">
        <f>sumifs('Hoa Hồng'!L:L,'Hoa Hồng'!A:A,B909)</f>
        <v>0</v>
      </c>
      <c r="J909" s="332">
        <v>0.0</v>
      </c>
      <c r="K909" s="333" t="s">
        <v>1211</v>
      </c>
      <c r="L909" s="334"/>
      <c r="M909" s="334"/>
      <c r="N909" s="334"/>
      <c r="O909" s="334"/>
      <c r="P909" s="334"/>
      <c r="Q909" s="334"/>
      <c r="R909" s="334"/>
      <c r="S909" s="334"/>
      <c r="T909" s="334"/>
      <c r="U909" s="334"/>
      <c r="V909" s="334"/>
      <c r="W909" s="334"/>
      <c r="X909" s="334"/>
      <c r="Y909" s="334"/>
      <c r="Z909" s="334"/>
      <c r="AA909" s="334"/>
      <c r="AB909" s="334"/>
      <c r="AC909" s="334"/>
      <c r="AD909" s="334"/>
    </row>
    <row r="910" ht="16.5" customHeight="1">
      <c r="A910" s="334"/>
      <c r="B910" s="329"/>
      <c r="C910" s="329" t="s">
        <v>585</v>
      </c>
      <c r="D910" s="331" t="s">
        <v>585</v>
      </c>
      <c r="E910" s="331" t="s">
        <v>585</v>
      </c>
      <c r="F910" s="331" t="s">
        <v>585</v>
      </c>
      <c r="G910" s="331">
        <f>iferror(sumifs('Hợp tác'!G:G,'Hợp tác'!A:A,B910,'Hợp tác'!H:H,$G$2,'Hợp tác'!I:I,$I$2),"")</f>
        <v>0</v>
      </c>
      <c r="H910" s="332">
        <f>SUMIF(View!J:J,View!B:B,B910)</f>
        <v>0</v>
      </c>
      <c r="I910" s="332">
        <f>sumifs('Hoa Hồng'!L:L,'Hoa Hồng'!A:A,B910)</f>
        <v>0</v>
      </c>
      <c r="J910" s="332">
        <v>0.0</v>
      </c>
      <c r="K910" s="333" t="s">
        <v>1211</v>
      </c>
      <c r="L910" s="334"/>
      <c r="M910" s="334"/>
      <c r="N910" s="334"/>
      <c r="O910" s="334"/>
      <c r="P910" s="334"/>
      <c r="Q910" s="334"/>
      <c r="R910" s="334"/>
      <c r="S910" s="334"/>
      <c r="T910" s="334"/>
      <c r="U910" s="334"/>
      <c r="V910" s="334"/>
      <c r="W910" s="334"/>
      <c r="X910" s="334"/>
      <c r="Y910" s="334"/>
      <c r="Z910" s="334"/>
      <c r="AA910" s="334"/>
      <c r="AB910" s="334"/>
      <c r="AC910" s="334"/>
      <c r="AD910" s="334"/>
    </row>
    <row r="911" ht="16.5" customHeight="1">
      <c r="A911" s="334"/>
      <c r="B911" s="329"/>
      <c r="C911" s="329" t="s">
        <v>585</v>
      </c>
      <c r="D911" s="331" t="s">
        <v>585</v>
      </c>
      <c r="E911" s="331" t="s">
        <v>585</v>
      </c>
      <c r="F911" s="331" t="s">
        <v>585</v>
      </c>
      <c r="G911" s="331">
        <f>iferror(sumifs('Hợp tác'!G:G,'Hợp tác'!A:A,B911,'Hợp tác'!H:H,$G$2,'Hợp tác'!I:I,$I$2),"")</f>
        <v>0</v>
      </c>
      <c r="H911" s="332">
        <f>SUMIF(View!J:J,View!B:B,B911)</f>
        <v>0</v>
      </c>
      <c r="I911" s="332">
        <f>sumifs('Hoa Hồng'!L:L,'Hoa Hồng'!A:A,B911)</f>
        <v>0</v>
      </c>
      <c r="J911" s="332">
        <v>0.0</v>
      </c>
      <c r="K911" s="333" t="s">
        <v>1211</v>
      </c>
      <c r="L911" s="334"/>
      <c r="M911" s="334"/>
      <c r="N911" s="334"/>
      <c r="O911" s="334"/>
      <c r="P911" s="334"/>
      <c r="Q911" s="334"/>
      <c r="R911" s="334"/>
      <c r="S911" s="334"/>
      <c r="T911" s="334"/>
      <c r="U911" s="334"/>
      <c r="V911" s="334"/>
      <c r="W911" s="334"/>
      <c r="X911" s="334"/>
      <c r="Y911" s="334"/>
      <c r="Z911" s="334"/>
      <c r="AA911" s="334"/>
      <c r="AB911" s="334"/>
      <c r="AC911" s="334"/>
      <c r="AD911" s="334"/>
    </row>
    <row r="912" ht="16.5" customHeight="1">
      <c r="A912" s="334"/>
      <c r="B912" s="329"/>
      <c r="C912" s="329" t="s">
        <v>585</v>
      </c>
      <c r="D912" s="331" t="s">
        <v>585</v>
      </c>
      <c r="E912" s="331" t="s">
        <v>585</v>
      </c>
      <c r="F912" s="331" t="s">
        <v>585</v>
      </c>
      <c r="G912" s="331">
        <f>iferror(sumifs('Hợp tác'!G:G,'Hợp tác'!A:A,B912,'Hợp tác'!H:H,$G$2,'Hợp tác'!I:I,$I$2),"")</f>
        <v>0</v>
      </c>
      <c r="H912" s="332">
        <f>SUMIF(View!J:J,View!B:B,B912)</f>
        <v>0</v>
      </c>
      <c r="I912" s="332">
        <f>sumifs('Hoa Hồng'!L:L,'Hoa Hồng'!A:A,B912)</f>
        <v>0</v>
      </c>
      <c r="J912" s="332">
        <v>0.0</v>
      </c>
      <c r="K912" s="333" t="s">
        <v>1211</v>
      </c>
      <c r="L912" s="334"/>
      <c r="M912" s="334"/>
      <c r="N912" s="334"/>
      <c r="O912" s="334"/>
      <c r="P912" s="334"/>
      <c r="Q912" s="334"/>
      <c r="R912" s="334"/>
      <c r="S912" s="334"/>
      <c r="T912" s="334"/>
      <c r="U912" s="334"/>
      <c r="V912" s="334"/>
      <c r="W912" s="334"/>
      <c r="X912" s="334"/>
      <c r="Y912" s="334"/>
      <c r="Z912" s="334"/>
      <c r="AA912" s="334"/>
      <c r="AB912" s="334"/>
      <c r="AC912" s="334"/>
      <c r="AD912" s="334"/>
    </row>
    <row r="913" ht="16.5" customHeight="1">
      <c r="A913" s="334"/>
      <c r="B913" s="329"/>
      <c r="C913" s="329" t="s">
        <v>585</v>
      </c>
      <c r="D913" s="331" t="s">
        <v>585</v>
      </c>
      <c r="E913" s="331" t="s">
        <v>585</v>
      </c>
      <c r="F913" s="331" t="s">
        <v>585</v>
      </c>
      <c r="G913" s="331">
        <f>iferror(sumifs('Hợp tác'!G:G,'Hợp tác'!A:A,B913,'Hợp tác'!H:H,$G$2,'Hợp tác'!I:I,$I$2),"")</f>
        <v>0</v>
      </c>
      <c r="H913" s="332">
        <f>SUMIF(View!J:J,View!B:B,B913)</f>
        <v>0</v>
      </c>
      <c r="I913" s="332">
        <f>sumifs('Hoa Hồng'!L:L,'Hoa Hồng'!A:A,B913)</f>
        <v>0</v>
      </c>
      <c r="J913" s="332">
        <v>0.0</v>
      </c>
      <c r="K913" s="333" t="s">
        <v>1211</v>
      </c>
      <c r="L913" s="334"/>
      <c r="M913" s="334"/>
      <c r="N913" s="334"/>
      <c r="O913" s="334"/>
      <c r="P913" s="334"/>
      <c r="Q913" s="334"/>
      <c r="R913" s="334"/>
      <c r="S913" s="334"/>
      <c r="T913" s="334"/>
      <c r="U913" s="334"/>
      <c r="V913" s="334"/>
      <c r="W913" s="334"/>
      <c r="X913" s="334"/>
      <c r="Y913" s="334"/>
      <c r="Z913" s="334"/>
      <c r="AA913" s="334"/>
      <c r="AB913" s="334"/>
      <c r="AC913" s="334"/>
      <c r="AD913" s="334"/>
    </row>
    <row r="914" ht="16.5" customHeight="1">
      <c r="A914" s="334"/>
      <c r="B914" s="329"/>
      <c r="C914" s="329" t="s">
        <v>585</v>
      </c>
      <c r="D914" s="331" t="s">
        <v>585</v>
      </c>
      <c r="E914" s="331" t="s">
        <v>585</v>
      </c>
      <c r="F914" s="331" t="s">
        <v>585</v>
      </c>
      <c r="G914" s="331">
        <f>iferror(sumifs('Hợp tác'!G:G,'Hợp tác'!A:A,B914,'Hợp tác'!H:H,$G$2,'Hợp tác'!I:I,$I$2),"")</f>
        <v>0</v>
      </c>
      <c r="H914" s="332">
        <f>SUMIF(View!J:J,View!B:B,B914)</f>
        <v>0</v>
      </c>
      <c r="I914" s="332">
        <f>sumifs('Hoa Hồng'!L:L,'Hoa Hồng'!A:A,B914)</f>
        <v>0</v>
      </c>
      <c r="J914" s="332">
        <v>0.0</v>
      </c>
      <c r="K914" s="333" t="s">
        <v>1211</v>
      </c>
      <c r="L914" s="334"/>
      <c r="M914" s="334"/>
      <c r="N914" s="334"/>
      <c r="O914" s="334"/>
      <c r="P914" s="334"/>
      <c r="Q914" s="334"/>
      <c r="R914" s="334"/>
      <c r="S914" s="334"/>
      <c r="T914" s="334"/>
      <c r="U914" s="334"/>
      <c r="V914" s="334"/>
      <c r="W914" s="334"/>
      <c r="X914" s="334"/>
      <c r="Y914" s="334"/>
      <c r="Z914" s="334"/>
      <c r="AA914" s="334"/>
      <c r="AB914" s="334"/>
      <c r="AC914" s="334"/>
      <c r="AD914" s="334"/>
    </row>
    <row r="915" ht="16.5" customHeight="1">
      <c r="A915" s="334"/>
      <c r="B915" s="329"/>
      <c r="C915" s="329" t="s">
        <v>585</v>
      </c>
      <c r="D915" s="331" t="s">
        <v>585</v>
      </c>
      <c r="E915" s="331" t="s">
        <v>585</v>
      </c>
      <c r="F915" s="331" t="s">
        <v>585</v>
      </c>
      <c r="G915" s="331">
        <f>iferror(sumifs('Hợp tác'!G:G,'Hợp tác'!A:A,B915,'Hợp tác'!H:H,$G$2,'Hợp tác'!I:I,$I$2),"")</f>
        <v>0</v>
      </c>
      <c r="H915" s="332">
        <f>SUMIF(View!J:J,View!B:B,B915)</f>
        <v>0</v>
      </c>
      <c r="I915" s="332">
        <f>sumifs('Hoa Hồng'!L:L,'Hoa Hồng'!A:A,B915)</f>
        <v>0</v>
      </c>
      <c r="J915" s="332">
        <v>0.0</v>
      </c>
      <c r="K915" s="333" t="s">
        <v>1211</v>
      </c>
      <c r="L915" s="334"/>
      <c r="M915" s="334"/>
      <c r="N915" s="334"/>
      <c r="O915" s="334"/>
      <c r="P915" s="334"/>
      <c r="Q915" s="334"/>
      <c r="R915" s="334"/>
      <c r="S915" s="334"/>
      <c r="T915" s="334"/>
      <c r="U915" s="334"/>
      <c r="V915" s="334"/>
      <c r="W915" s="334"/>
      <c r="X915" s="334"/>
      <c r="Y915" s="334"/>
      <c r="Z915" s="334"/>
      <c r="AA915" s="334"/>
      <c r="AB915" s="334"/>
      <c r="AC915" s="334"/>
      <c r="AD915" s="334"/>
    </row>
    <row r="916" ht="16.5" customHeight="1">
      <c r="A916" s="334"/>
      <c r="B916" s="329"/>
      <c r="C916" s="329" t="s">
        <v>585</v>
      </c>
      <c r="D916" s="331" t="s">
        <v>585</v>
      </c>
      <c r="E916" s="331" t="s">
        <v>585</v>
      </c>
      <c r="F916" s="331" t="s">
        <v>585</v>
      </c>
      <c r="G916" s="331">
        <f>iferror(sumifs('Hợp tác'!G:G,'Hợp tác'!A:A,B916,'Hợp tác'!H:H,$G$2,'Hợp tác'!I:I,$I$2),"")</f>
        <v>0</v>
      </c>
      <c r="H916" s="332">
        <f>SUMIF(View!J:J,View!B:B,B916)</f>
        <v>0</v>
      </c>
      <c r="I916" s="332">
        <f>sumifs('Hoa Hồng'!L:L,'Hoa Hồng'!A:A,B916)</f>
        <v>0</v>
      </c>
      <c r="J916" s="332">
        <v>0.0</v>
      </c>
      <c r="K916" s="333" t="s">
        <v>1211</v>
      </c>
      <c r="L916" s="334"/>
      <c r="M916" s="334"/>
      <c r="N916" s="334"/>
      <c r="O916" s="334"/>
      <c r="P916" s="334"/>
      <c r="Q916" s="334"/>
      <c r="R916" s="334"/>
      <c r="S916" s="334"/>
      <c r="T916" s="334"/>
      <c r="U916" s="334"/>
      <c r="V916" s="334"/>
      <c r="W916" s="334"/>
      <c r="X916" s="334"/>
      <c r="Y916" s="334"/>
      <c r="Z916" s="334"/>
      <c r="AA916" s="334"/>
      <c r="AB916" s="334"/>
      <c r="AC916" s="334"/>
      <c r="AD916" s="334"/>
    </row>
    <row r="917" ht="16.5" customHeight="1">
      <c r="A917" s="334"/>
      <c r="B917" s="329"/>
      <c r="C917" s="329" t="s">
        <v>585</v>
      </c>
      <c r="D917" s="331" t="s">
        <v>585</v>
      </c>
      <c r="E917" s="331" t="s">
        <v>585</v>
      </c>
      <c r="F917" s="331" t="s">
        <v>585</v>
      </c>
      <c r="G917" s="331">
        <f>iferror(sumifs('Hợp tác'!G:G,'Hợp tác'!A:A,B917,'Hợp tác'!H:H,$G$2,'Hợp tác'!I:I,$I$2),"")</f>
        <v>0</v>
      </c>
      <c r="H917" s="332">
        <f>SUMIF(View!J:J,View!B:B,B917)</f>
        <v>0</v>
      </c>
      <c r="I917" s="332">
        <f>sumifs('Hoa Hồng'!L:L,'Hoa Hồng'!A:A,B917)</f>
        <v>0</v>
      </c>
      <c r="J917" s="332">
        <v>0.0</v>
      </c>
      <c r="K917" s="333" t="s">
        <v>1211</v>
      </c>
      <c r="L917" s="334"/>
      <c r="M917" s="334"/>
      <c r="N917" s="334"/>
      <c r="O917" s="334"/>
      <c r="P917" s="334"/>
      <c r="Q917" s="334"/>
      <c r="R917" s="334"/>
      <c r="S917" s="334"/>
      <c r="T917" s="334"/>
      <c r="U917" s="334"/>
      <c r="V917" s="334"/>
      <c r="W917" s="334"/>
      <c r="X917" s="334"/>
      <c r="Y917" s="334"/>
      <c r="Z917" s="334"/>
      <c r="AA917" s="334"/>
      <c r="AB917" s="334"/>
      <c r="AC917" s="334"/>
      <c r="AD917" s="334"/>
    </row>
    <row r="918" ht="16.5" customHeight="1">
      <c r="A918" s="334"/>
      <c r="B918" s="329"/>
      <c r="C918" s="329" t="s">
        <v>585</v>
      </c>
      <c r="D918" s="331" t="s">
        <v>585</v>
      </c>
      <c r="E918" s="331" t="s">
        <v>585</v>
      </c>
      <c r="F918" s="331" t="s">
        <v>585</v>
      </c>
      <c r="G918" s="331">
        <f>iferror(sumifs('Hợp tác'!G:G,'Hợp tác'!A:A,B918,'Hợp tác'!H:H,$G$2,'Hợp tác'!I:I,$I$2),"")</f>
        <v>0</v>
      </c>
      <c r="H918" s="332">
        <f>SUMIF(View!J:J,View!B:B,B918)</f>
        <v>0</v>
      </c>
      <c r="I918" s="332">
        <f>sumifs('Hoa Hồng'!L:L,'Hoa Hồng'!A:A,B918)</f>
        <v>0</v>
      </c>
      <c r="J918" s="332">
        <v>0.0</v>
      </c>
      <c r="K918" s="333" t="s">
        <v>1211</v>
      </c>
      <c r="L918" s="334"/>
      <c r="M918" s="334"/>
      <c r="N918" s="334"/>
      <c r="O918" s="334"/>
      <c r="P918" s="334"/>
      <c r="Q918" s="334"/>
      <c r="R918" s="334"/>
      <c r="S918" s="334"/>
      <c r="T918" s="334"/>
      <c r="U918" s="334"/>
      <c r="V918" s="334"/>
      <c r="W918" s="334"/>
      <c r="X918" s="334"/>
      <c r="Y918" s="334"/>
      <c r="Z918" s="334"/>
      <c r="AA918" s="334"/>
      <c r="AB918" s="334"/>
      <c r="AC918" s="334"/>
      <c r="AD918" s="334"/>
    </row>
    <row r="919" ht="16.5" customHeight="1">
      <c r="A919" s="334"/>
      <c r="B919" s="329"/>
      <c r="C919" s="329" t="s">
        <v>585</v>
      </c>
      <c r="D919" s="331" t="s">
        <v>585</v>
      </c>
      <c r="E919" s="331" t="s">
        <v>585</v>
      </c>
      <c r="F919" s="331" t="s">
        <v>585</v>
      </c>
      <c r="G919" s="331">
        <f>iferror(sumifs('Hợp tác'!G:G,'Hợp tác'!A:A,B919,'Hợp tác'!H:H,$G$2,'Hợp tác'!I:I,$I$2),"")</f>
        <v>0</v>
      </c>
      <c r="H919" s="332">
        <f>SUMIF(View!J:J,View!B:B,B919)</f>
        <v>0</v>
      </c>
      <c r="I919" s="332">
        <f>sumifs('Hoa Hồng'!L:L,'Hoa Hồng'!A:A,B919)</f>
        <v>0</v>
      </c>
      <c r="J919" s="332">
        <v>0.0</v>
      </c>
      <c r="K919" s="333" t="s">
        <v>1211</v>
      </c>
      <c r="L919" s="334"/>
      <c r="M919" s="334"/>
      <c r="N919" s="334"/>
      <c r="O919" s="334"/>
      <c r="P919" s="334"/>
      <c r="Q919" s="334"/>
      <c r="R919" s="334"/>
      <c r="S919" s="334"/>
      <c r="T919" s="334"/>
      <c r="U919" s="334"/>
      <c r="V919" s="334"/>
      <c r="W919" s="334"/>
      <c r="X919" s="334"/>
      <c r="Y919" s="334"/>
      <c r="Z919" s="334"/>
      <c r="AA919" s="334"/>
      <c r="AB919" s="334"/>
      <c r="AC919" s="334"/>
      <c r="AD919" s="334"/>
    </row>
    <row r="920" ht="16.5" customHeight="1">
      <c r="A920" s="334"/>
      <c r="B920" s="329"/>
      <c r="C920" s="329" t="s">
        <v>585</v>
      </c>
      <c r="D920" s="331" t="s">
        <v>585</v>
      </c>
      <c r="E920" s="331" t="s">
        <v>585</v>
      </c>
      <c r="F920" s="331" t="s">
        <v>585</v>
      </c>
      <c r="G920" s="331">
        <f>iferror(sumifs('Hợp tác'!G:G,'Hợp tác'!A:A,B920,'Hợp tác'!H:H,$G$2,'Hợp tác'!I:I,$I$2),"")</f>
        <v>0</v>
      </c>
      <c r="H920" s="332">
        <f>SUMIF(View!J:J,View!B:B,B920)</f>
        <v>0</v>
      </c>
      <c r="I920" s="332">
        <f>sumifs('Hoa Hồng'!L:L,'Hoa Hồng'!A:A,B920)</f>
        <v>0</v>
      </c>
      <c r="J920" s="332">
        <v>0.0</v>
      </c>
      <c r="K920" s="333" t="s">
        <v>1211</v>
      </c>
      <c r="L920" s="334"/>
      <c r="M920" s="334"/>
      <c r="N920" s="334"/>
      <c r="O920" s="334"/>
      <c r="P920" s="334"/>
      <c r="Q920" s="334"/>
      <c r="R920" s="334"/>
      <c r="S920" s="334"/>
      <c r="T920" s="334"/>
      <c r="U920" s="334"/>
      <c r="V920" s="334"/>
      <c r="W920" s="334"/>
      <c r="X920" s="334"/>
      <c r="Y920" s="334"/>
      <c r="Z920" s="334"/>
      <c r="AA920" s="334"/>
      <c r="AB920" s="334"/>
      <c r="AC920" s="334"/>
      <c r="AD920" s="334"/>
    </row>
    <row r="921" ht="16.5" customHeight="1">
      <c r="A921" s="334"/>
      <c r="B921" s="329"/>
      <c r="C921" s="329" t="s">
        <v>585</v>
      </c>
      <c r="D921" s="331" t="s">
        <v>585</v>
      </c>
      <c r="E921" s="331" t="s">
        <v>585</v>
      </c>
      <c r="F921" s="331" t="s">
        <v>585</v>
      </c>
      <c r="G921" s="331">
        <f>iferror(sumifs('Hợp tác'!G:G,'Hợp tác'!A:A,B921,'Hợp tác'!H:H,$G$2,'Hợp tác'!I:I,$I$2),"")</f>
        <v>0</v>
      </c>
      <c r="H921" s="332">
        <f>SUMIF(View!J:J,View!B:B,B921)</f>
        <v>0</v>
      </c>
      <c r="I921" s="332">
        <f>sumifs('Hoa Hồng'!L:L,'Hoa Hồng'!A:A,B921)</f>
        <v>0</v>
      </c>
      <c r="J921" s="332">
        <v>0.0</v>
      </c>
      <c r="K921" s="333" t="s">
        <v>1211</v>
      </c>
      <c r="L921" s="334"/>
      <c r="M921" s="334"/>
      <c r="N921" s="334"/>
      <c r="O921" s="334"/>
      <c r="P921" s="334"/>
      <c r="Q921" s="334"/>
      <c r="R921" s="334"/>
      <c r="S921" s="334"/>
      <c r="T921" s="334"/>
      <c r="U921" s="334"/>
      <c r="V921" s="334"/>
      <c r="W921" s="334"/>
      <c r="X921" s="334"/>
      <c r="Y921" s="334"/>
      <c r="Z921" s="334"/>
      <c r="AA921" s="334"/>
      <c r="AB921" s="334"/>
      <c r="AC921" s="334"/>
      <c r="AD921" s="334"/>
    </row>
    <row r="922" ht="16.5" customHeight="1">
      <c r="A922" s="334"/>
      <c r="B922" s="329"/>
      <c r="C922" s="329" t="s">
        <v>585</v>
      </c>
      <c r="D922" s="331" t="s">
        <v>585</v>
      </c>
      <c r="E922" s="331" t="s">
        <v>585</v>
      </c>
      <c r="F922" s="331" t="s">
        <v>585</v>
      </c>
      <c r="G922" s="331">
        <f>iferror(sumifs('Hợp tác'!G:G,'Hợp tác'!A:A,B922,'Hợp tác'!H:H,$G$2,'Hợp tác'!I:I,$I$2),"")</f>
        <v>0</v>
      </c>
      <c r="H922" s="332">
        <f>SUMIF(View!J:J,View!B:B,B922)</f>
        <v>0</v>
      </c>
      <c r="I922" s="332">
        <f>sumifs('Hoa Hồng'!L:L,'Hoa Hồng'!A:A,B922)</f>
        <v>0</v>
      </c>
      <c r="J922" s="332">
        <v>0.0</v>
      </c>
      <c r="K922" s="333" t="s">
        <v>1211</v>
      </c>
      <c r="L922" s="334"/>
      <c r="M922" s="334"/>
      <c r="N922" s="334"/>
      <c r="O922" s="334"/>
      <c r="P922" s="334"/>
      <c r="Q922" s="334"/>
      <c r="R922" s="334"/>
      <c r="S922" s="334"/>
      <c r="T922" s="334"/>
      <c r="U922" s="334"/>
      <c r="V922" s="334"/>
      <c r="W922" s="334"/>
      <c r="X922" s="334"/>
      <c r="Y922" s="334"/>
      <c r="Z922" s="334"/>
      <c r="AA922" s="334"/>
      <c r="AB922" s="334"/>
      <c r="AC922" s="334"/>
      <c r="AD922" s="334"/>
    </row>
    <row r="923" ht="16.5" customHeight="1">
      <c r="A923" s="334"/>
      <c r="B923" s="329"/>
      <c r="C923" s="329" t="s">
        <v>585</v>
      </c>
      <c r="D923" s="331" t="s">
        <v>585</v>
      </c>
      <c r="E923" s="331" t="s">
        <v>585</v>
      </c>
      <c r="F923" s="331" t="s">
        <v>585</v>
      </c>
      <c r="G923" s="331">
        <f>iferror(sumifs('Hợp tác'!G:G,'Hợp tác'!A:A,B923,'Hợp tác'!H:H,$G$2,'Hợp tác'!I:I,$I$2),"")</f>
        <v>0</v>
      </c>
      <c r="H923" s="332">
        <f>SUMIF(View!J:J,View!B:B,B923)</f>
        <v>0</v>
      </c>
      <c r="I923" s="332">
        <f>sumifs('Hoa Hồng'!L:L,'Hoa Hồng'!A:A,B923)</f>
        <v>0</v>
      </c>
      <c r="J923" s="332">
        <v>0.0</v>
      </c>
      <c r="K923" s="333" t="s">
        <v>1211</v>
      </c>
      <c r="L923" s="334"/>
      <c r="M923" s="334"/>
      <c r="N923" s="334"/>
      <c r="O923" s="334"/>
      <c r="P923" s="334"/>
      <c r="Q923" s="334"/>
      <c r="R923" s="334"/>
      <c r="S923" s="334"/>
      <c r="T923" s="334"/>
      <c r="U923" s="334"/>
      <c r="V923" s="334"/>
      <c r="W923" s="334"/>
      <c r="X923" s="334"/>
      <c r="Y923" s="334"/>
      <c r="Z923" s="334"/>
      <c r="AA923" s="334"/>
      <c r="AB923" s="334"/>
      <c r="AC923" s="334"/>
      <c r="AD923" s="334"/>
    </row>
    <row r="924" ht="16.5" customHeight="1">
      <c r="A924" s="334"/>
      <c r="B924" s="329"/>
      <c r="C924" s="329" t="s">
        <v>585</v>
      </c>
      <c r="D924" s="331" t="s">
        <v>585</v>
      </c>
      <c r="E924" s="331" t="s">
        <v>585</v>
      </c>
      <c r="F924" s="331" t="s">
        <v>585</v>
      </c>
      <c r="G924" s="331">
        <f>iferror(sumifs('Hợp tác'!G:G,'Hợp tác'!A:A,B924,'Hợp tác'!H:H,$G$2,'Hợp tác'!I:I,$I$2),"")</f>
        <v>0</v>
      </c>
      <c r="H924" s="332">
        <f>SUMIF(View!J:J,View!B:B,B924)</f>
        <v>0</v>
      </c>
      <c r="I924" s="332">
        <f>sumifs('Hoa Hồng'!L:L,'Hoa Hồng'!A:A,B924)</f>
        <v>0</v>
      </c>
      <c r="J924" s="332">
        <v>0.0</v>
      </c>
      <c r="K924" s="333" t="s">
        <v>1211</v>
      </c>
      <c r="L924" s="334"/>
      <c r="M924" s="334"/>
      <c r="N924" s="334"/>
      <c r="O924" s="334"/>
      <c r="P924" s="334"/>
      <c r="Q924" s="334"/>
      <c r="R924" s="334"/>
      <c r="S924" s="334"/>
      <c r="T924" s="334"/>
      <c r="U924" s="334"/>
      <c r="V924" s="334"/>
      <c r="W924" s="334"/>
      <c r="X924" s="334"/>
      <c r="Y924" s="334"/>
      <c r="Z924" s="334"/>
      <c r="AA924" s="334"/>
      <c r="AB924" s="334"/>
      <c r="AC924" s="334"/>
      <c r="AD924" s="334"/>
    </row>
    <row r="925" ht="16.5" customHeight="1">
      <c r="A925" s="334"/>
      <c r="B925" s="329"/>
      <c r="C925" s="329" t="s">
        <v>585</v>
      </c>
      <c r="D925" s="331" t="s">
        <v>585</v>
      </c>
      <c r="E925" s="331" t="s">
        <v>585</v>
      </c>
      <c r="F925" s="331" t="s">
        <v>585</v>
      </c>
      <c r="G925" s="331">
        <f>iferror(sumifs('Hợp tác'!G:G,'Hợp tác'!A:A,B925,'Hợp tác'!H:H,$G$2,'Hợp tác'!I:I,$I$2),"")</f>
        <v>0</v>
      </c>
      <c r="H925" s="332">
        <f>SUMIF(View!J:J,View!B:B,B925)</f>
        <v>0</v>
      </c>
      <c r="I925" s="332">
        <f>sumifs('Hoa Hồng'!L:L,'Hoa Hồng'!A:A,B925)</f>
        <v>0</v>
      </c>
      <c r="J925" s="332">
        <v>0.0</v>
      </c>
      <c r="K925" s="333" t="s">
        <v>1211</v>
      </c>
      <c r="L925" s="334"/>
      <c r="M925" s="334"/>
      <c r="N925" s="334"/>
      <c r="O925" s="334"/>
      <c r="P925" s="334"/>
      <c r="Q925" s="334"/>
      <c r="R925" s="334"/>
      <c r="S925" s="334"/>
      <c r="T925" s="334"/>
      <c r="U925" s="334"/>
      <c r="V925" s="334"/>
      <c r="W925" s="334"/>
      <c r="X925" s="334"/>
      <c r="Y925" s="334"/>
      <c r="Z925" s="334"/>
      <c r="AA925" s="334"/>
      <c r="AB925" s="334"/>
      <c r="AC925" s="334"/>
      <c r="AD925" s="334"/>
    </row>
    <row r="926" ht="16.5" customHeight="1">
      <c r="A926" s="334"/>
      <c r="B926" s="329"/>
      <c r="C926" s="329" t="s">
        <v>585</v>
      </c>
      <c r="D926" s="331" t="s">
        <v>585</v>
      </c>
      <c r="E926" s="331" t="s">
        <v>585</v>
      </c>
      <c r="F926" s="331" t="s">
        <v>585</v>
      </c>
      <c r="G926" s="331">
        <f>iferror(sumifs('Hợp tác'!G:G,'Hợp tác'!A:A,B926,'Hợp tác'!H:H,$G$2,'Hợp tác'!I:I,$I$2),"")</f>
        <v>0</v>
      </c>
      <c r="H926" s="332">
        <f>SUMIF(View!J:J,View!B:B,B926)</f>
        <v>0</v>
      </c>
      <c r="I926" s="332">
        <f>sumifs('Hoa Hồng'!L:L,'Hoa Hồng'!A:A,B926)</f>
        <v>0</v>
      </c>
      <c r="J926" s="332">
        <v>0.0</v>
      </c>
      <c r="K926" s="333" t="s">
        <v>1211</v>
      </c>
      <c r="L926" s="334"/>
      <c r="M926" s="334"/>
      <c r="N926" s="334"/>
      <c r="O926" s="334"/>
      <c r="P926" s="334"/>
      <c r="Q926" s="334"/>
      <c r="R926" s="334"/>
      <c r="S926" s="334"/>
      <c r="T926" s="334"/>
      <c r="U926" s="334"/>
      <c r="V926" s="334"/>
      <c r="W926" s="334"/>
      <c r="X926" s="334"/>
      <c r="Y926" s="334"/>
      <c r="Z926" s="334"/>
      <c r="AA926" s="334"/>
      <c r="AB926" s="334"/>
      <c r="AC926" s="334"/>
      <c r="AD926" s="334"/>
    </row>
    <row r="927" ht="16.5" customHeight="1">
      <c r="A927" s="334"/>
      <c r="B927" s="329"/>
      <c r="C927" s="329" t="s">
        <v>585</v>
      </c>
      <c r="D927" s="331" t="s">
        <v>585</v>
      </c>
      <c r="E927" s="331" t="s">
        <v>585</v>
      </c>
      <c r="F927" s="331" t="s">
        <v>585</v>
      </c>
      <c r="G927" s="331">
        <f>iferror(sumifs('Hợp tác'!G:G,'Hợp tác'!A:A,B927,'Hợp tác'!H:H,$G$2,'Hợp tác'!I:I,$I$2),"")</f>
        <v>0</v>
      </c>
      <c r="H927" s="332">
        <f>SUMIF(View!J:J,View!B:B,B927)</f>
        <v>0</v>
      </c>
      <c r="I927" s="332">
        <f>sumifs('Hoa Hồng'!L:L,'Hoa Hồng'!A:A,B927)</f>
        <v>0</v>
      </c>
      <c r="J927" s="332">
        <v>0.0</v>
      </c>
      <c r="K927" s="333" t="s">
        <v>1211</v>
      </c>
      <c r="L927" s="334"/>
      <c r="M927" s="334"/>
      <c r="N927" s="334"/>
      <c r="O927" s="334"/>
      <c r="P927" s="334"/>
      <c r="Q927" s="334"/>
      <c r="R927" s="334"/>
      <c r="S927" s="334"/>
      <c r="T927" s="334"/>
      <c r="U927" s="334"/>
      <c r="V927" s="334"/>
      <c r="W927" s="334"/>
      <c r="X927" s="334"/>
      <c r="Y927" s="334"/>
      <c r="Z927" s="334"/>
      <c r="AA927" s="334"/>
      <c r="AB927" s="334"/>
      <c r="AC927" s="334"/>
      <c r="AD927" s="334"/>
    </row>
    <row r="928" ht="16.5" customHeight="1">
      <c r="A928" s="334"/>
      <c r="B928" s="329"/>
      <c r="C928" s="329" t="s">
        <v>585</v>
      </c>
      <c r="D928" s="331" t="s">
        <v>585</v>
      </c>
      <c r="E928" s="331" t="s">
        <v>585</v>
      </c>
      <c r="F928" s="331" t="s">
        <v>585</v>
      </c>
      <c r="G928" s="331">
        <f>iferror(sumifs('Hợp tác'!G:G,'Hợp tác'!A:A,B928,'Hợp tác'!H:H,$G$2,'Hợp tác'!I:I,$I$2),"")</f>
        <v>0</v>
      </c>
      <c r="H928" s="332">
        <f>SUMIF(View!J:J,View!B:B,B928)</f>
        <v>0</v>
      </c>
      <c r="I928" s="332">
        <f>sumifs('Hoa Hồng'!L:L,'Hoa Hồng'!A:A,B928)</f>
        <v>0</v>
      </c>
      <c r="J928" s="332">
        <v>0.0</v>
      </c>
      <c r="K928" s="333" t="s">
        <v>1211</v>
      </c>
      <c r="L928" s="334"/>
      <c r="M928" s="334"/>
      <c r="N928" s="334"/>
      <c r="O928" s="334"/>
      <c r="P928" s="334"/>
      <c r="Q928" s="334"/>
      <c r="R928" s="334"/>
      <c r="S928" s="334"/>
      <c r="T928" s="334"/>
      <c r="U928" s="334"/>
      <c r="V928" s="334"/>
      <c r="W928" s="334"/>
      <c r="X928" s="334"/>
      <c r="Y928" s="334"/>
      <c r="Z928" s="334"/>
      <c r="AA928" s="334"/>
      <c r="AB928" s="334"/>
      <c r="AC928" s="334"/>
      <c r="AD928" s="334"/>
    </row>
    <row r="929" ht="16.5" customHeight="1">
      <c r="A929" s="334"/>
      <c r="B929" s="329"/>
      <c r="C929" s="329" t="s">
        <v>585</v>
      </c>
      <c r="D929" s="331" t="s">
        <v>585</v>
      </c>
      <c r="E929" s="331" t="s">
        <v>585</v>
      </c>
      <c r="F929" s="331" t="s">
        <v>585</v>
      </c>
      <c r="G929" s="331">
        <f>iferror(sumifs('Hợp tác'!G:G,'Hợp tác'!A:A,B929,'Hợp tác'!H:H,$G$2,'Hợp tác'!I:I,$I$2),"")</f>
        <v>0</v>
      </c>
      <c r="H929" s="332">
        <f>SUMIF(View!J:J,View!B:B,B929)</f>
        <v>0</v>
      </c>
      <c r="I929" s="332">
        <f>sumifs('Hoa Hồng'!L:L,'Hoa Hồng'!A:A,B929)</f>
        <v>0</v>
      </c>
      <c r="J929" s="332">
        <v>0.0</v>
      </c>
      <c r="K929" s="333" t="s">
        <v>1211</v>
      </c>
      <c r="L929" s="334"/>
      <c r="M929" s="334"/>
      <c r="N929" s="334"/>
      <c r="O929" s="334"/>
      <c r="P929" s="334"/>
      <c r="Q929" s="334"/>
      <c r="R929" s="334"/>
      <c r="S929" s="334"/>
      <c r="T929" s="334"/>
      <c r="U929" s="334"/>
      <c r="V929" s="334"/>
      <c r="W929" s="334"/>
      <c r="X929" s="334"/>
      <c r="Y929" s="334"/>
      <c r="Z929" s="334"/>
      <c r="AA929" s="334"/>
      <c r="AB929" s="334"/>
      <c r="AC929" s="334"/>
      <c r="AD929" s="334"/>
    </row>
    <row r="930" ht="16.5" customHeight="1">
      <c r="A930" s="334"/>
      <c r="B930" s="329"/>
      <c r="C930" s="329" t="s">
        <v>585</v>
      </c>
      <c r="D930" s="331" t="s">
        <v>585</v>
      </c>
      <c r="E930" s="331" t="s">
        <v>585</v>
      </c>
      <c r="F930" s="331" t="s">
        <v>585</v>
      </c>
      <c r="G930" s="331">
        <f>iferror(sumifs('Hợp tác'!G:G,'Hợp tác'!A:A,B930,'Hợp tác'!H:H,$G$2,'Hợp tác'!I:I,$I$2),"")</f>
        <v>0</v>
      </c>
      <c r="H930" s="332">
        <f>SUMIF(View!J:J,View!B:B,B930)</f>
        <v>0</v>
      </c>
      <c r="I930" s="332">
        <f>sumifs('Hoa Hồng'!L:L,'Hoa Hồng'!A:A,B930)</f>
        <v>0</v>
      </c>
      <c r="J930" s="332">
        <v>0.0</v>
      </c>
      <c r="K930" s="333" t="s">
        <v>1211</v>
      </c>
      <c r="L930" s="334"/>
      <c r="M930" s="334"/>
      <c r="N930" s="334"/>
      <c r="O930" s="334"/>
      <c r="P930" s="334"/>
      <c r="Q930" s="334"/>
      <c r="R930" s="334"/>
      <c r="S930" s="334"/>
      <c r="T930" s="334"/>
      <c r="U930" s="334"/>
      <c r="V930" s="334"/>
      <c r="W930" s="334"/>
      <c r="X930" s="334"/>
      <c r="Y930" s="334"/>
      <c r="Z930" s="334"/>
      <c r="AA930" s="334"/>
      <c r="AB930" s="334"/>
      <c r="AC930" s="334"/>
      <c r="AD930" s="334"/>
    </row>
    <row r="931" ht="16.5" customHeight="1">
      <c r="A931" s="334"/>
      <c r="B931" s="329"/>
      <c r="C931" s="329" t="s">
        <v>585</v>
      </c>
      <c r="D931" s="331" t="s">
        <v>585</v>
      </c>
      <c r="E931" s="331" t="s">
        <v>585</v>
      </c>
      <c r="F931" s="331" t="s">
        <v>585</v>
      </c>
      <c r="G931" s="331">
        <f>iferror(sumifs('Hợp tác'!G:G,'Hợp tác'!A:A,B931,'Hợp tác'!H:H,$G$2,'Hợp tác'!I:I,$I$2),"")</f>
        <v>0</v>
      </c>
      <c r="H931" s="332">
        <f>SUMIF(View!J:J,View!B:B,B931)</f>
        <v>0</v>
      </c>
      <c r="I931" s="332">
        <f>sumifs('Hoa Hồng'!L:L,'Hoa Hồng'!A:A,B931)</f>
        <v>0</v>
      </c>
      <c r="J931" s="332">
        <v>0.0</v>
      </c>
      <c r="K931" s="333" t="s">
        <v>1211</v>
      </c>
      <c r="L931" s="334"/>
      <c r="M931" s="334"/>
      <c r="N931" s="334"/>
      <c r="O931" s="334"/>
      <c r="P931" s="334"/>
      <c r="Q931" s="334"/>
      <c r="R931" s="334"/>
      <c r="S931" s="334"/>
      <c r="T931" s="334"/>
      <c r="U931" s="334"/>
      <c r="V931" s="334"/>
      <c r="W931" s="334"/>
      <c r="X931" s="334"/>
      <c r="Y931" s="334"/>
      <c r="Z931" s="334"/>
      <c r="AA931" s="334"/>
      <c r="AB931" s="334"/>
      <c r="AC931" s="334"/>
      <c r="AD931" s="334"/>
    </row>
    <row r="932" ht="16.5" customHeight="1">
      <c r="A932" s="334"/>
      <c r="B932" s="329"/>
      <c r="C932" s="329" t="s">
        <v>585</v>
      </c>
      <c r="D932" s="331" t="s">
        <v>585</v>
      </c>
      <c r="E932" s="331" t="s">
        <v>585</v>
      </c>
      <c r="F932" s="331" t="s">
        <v>585</v>
      </c>
      <c r="G932" s="331">
        <f>iferror(sumifs('Hợp tác'!G:G,'Hợp tác'!A:A,B932,'Hợp tác'!H:H,$G$2,'Hợp tác'!I:I,$I$2),"")</f>
        <v>0</v>
      </c>
      <c r="H932" s="332">
        <f>SUMIF(View!J:J,View!B:B,B932)</f>
        <v>0</v>
      </c>
      <c r="I932" s="332">
        <f>sumifs('Hoa Hồng'!L:L,'Hoa Hồng'!A:A,B932)</f>
        <v>0</v>
      </c>
      <c r="J932" s="332">
        <v>0.0</v>
      </c>
      <c r="K932" s="333" t="s">
        <v>1211</v>
      </c>
      <c r="L932" s="334"/>
      <c r="M932" s="334"/>
      <c r="N932" s="334"/>
      <c r="O932" s="334"/>
      <c r="P932" s="334"/>
      <c r="Q932" s="334"/>
      <c r="R932" s="334"/>
      <c r="S932" s="334"/>
      <c r="T932" s="334"/>
      <c r="U932" s="334"/>
      <c r="V932" s="334"/>
      <c r="W932" s="334"/>
      <c r="X932" s="334"/>
      <c r="Y932" s="334"/>
      <c r="Z932" s="334"/>
      <c r="AA932" s="334"/>
      <c r="AB932" s="334"/>
      <c r="AC932" s="334"/>
      <c r="AD932" s="334"/>
    </row>
    <row r="933" ht="16.5" customHeight="1">
      <c r="A933" s="334"/>
      <c r="B933" s="329"/>
      <c r="C933" s="329" t="s">
        <v>585</v>
      </c>
      <c r="D933" s="331" t="s">
        <v>585</v>
      </c>
      <c r="E933" s="331" t="s">
        <v>585</v>
      </c>
      <c r="F933" s="331" t="s">
        <v>585</v>
      </c>
      <c r="G933" s="331">
        <f>iferror(sumifs('Hợp tác'!G:G,'Hợp tác'!A:A,B933,'Hợp tác'!H:H,$G$2,'Hợp tác'!I:I,$I$2),"")</f>
        <v>0</v>
      </c>
      <c r="H933" s="332">
        <f>SUMIF(View!J:J,View!B:B,B933)</f>
        <v>0</v>
      </c>
      <c r="I933" s="332">
        <f>sumifs('Hoa Hồng'!L:L,'Hoa Hồng'!A:A,B933)</f>
        <v>0</v>
      </c>
      <c r="J933" s="332">
        <v>0.0</v>
      </c>
      <c r="K933" s="333" t="s">
        <v>1211</v>
      </c>
      <c r="L933" s="334"/>
      <c r="M933" s="334"/>
      <c r="N933" s="334"/>
      <c r="O933" s="334"/>
      <c r="P933" s="334"/>
      <c r="Q933" s="334"/>
      <c r="R933" s="334"/>
      <c r="S933" s="334"/>
      <c r="T933" s="334"/>
      <c r="U933" s="334"/>
      <c r="V933" s="334"/>
      <c r="W933" s="334"/>
      <c r="X933" s="334"/>
      <c r="Y933" s="334"/>
      <c r="Z933" s="334"/>
      <c r="AA933" s="334"/>
      <c r="AB933" s="334"/>
      <c r="AC933" s="334"/>
      <c r="AD933" s="334"/>
    </row>
    <row r="934" ht="16.5" customHeight="1">
      <c r="A934" s="334"/>
      <c r="B934" s="329"/>
      <c r="C934" s="329" t="s">
        <v>585</v>
      </c>
      <c r="D934" s="331" t="s">
        <v>585</v>
      </c>
      <c r="E934" s="331" t="s">
        <v>585</v>
      </c>
      <c r="F934" s="331" t="s">
        <v>585</v>
      </c>
      <c r="G934" s="331">
        <f>iferror(sumifs('Hợp tác'!G:G,'Hợp tác'!A:A,B934,'Hợp tác'!H:H,$G$2,'Hợp tác'!I:I,$I$2),"")</f>
        <v>0</v>
      </c>
      <c r="H934" s="332">
        <f>SUMIF(View!J:J,View!B:B,B934)</f>
        <v>0</v>
      </c>
      <c r="I934" s="332">
        <f>sumifs('Hoa Hồng'!L:L,'Hoa Hồng'!A:A,B934)</f>
        <v>0</v>
      </c>
      <c r="J934" s="332">
        <v>0.0</v>
      </c>
      <c r="K934" s="333" t="s">
        <v>1211</v>
      </c>
      <c r="L934" s="334"/>
      <c r="M934" s="334"/>
      <c r="N934" s="334"/>
      <c r="O934" s="334"/>
      <c r="P934" s="334"/>
      <c r="Q934" s="334"/>
      <c r="R934" s="334"/>
      <c r="S934" s="334"/>
      <c r="T934" s="334"/>
      <c r="U934" s="334"/>
      <c r="V934" s="334"/>
      <c r="W934" s="334"/>
      <c r="X934" s="334"/>
      <c r="Y934" s="334"/>
      <c r="Z934" s="334"/>
      <c r="AA934" s="334"/>
      <c r="AB934" s="334"/>
      <c r="AC934" s="334"/>
      <c r="AD934" s="334"/>
    </row>
    <row r="935" ht="16.5" customHeight="1">
      <c r="A935" s="334"/>
      <c r="B935" s="329"/>
      <c r="C935" s="329" t="s">
        <v>585</v>
      </c>
      <c r="D935" s="331" t="s">
        <v>585</v>
      </c>
      <c r="E935" s="331" t="s">
        <v>585</v>
      </c>
      <c r="F935" s="331" t="s">
        <v>585</v>
      </c>
      <c r="G935" s="331">
        <f>iferror(sumifs('Hợp tác'!G:G,'Hợp tác'!A:A,B935,'Hợp tác'!H:H,$G$2,'Hợp tác'!I:I,$I$2),"")</f>
        <v>0</v>
      </c>
      <c r="H935" s="332">
        <f>SUMIF(View!J:J,View!B:B,B935)</f>
        <v>0</v>
      </c>
      <c r="I935" s="332">
        <f>sumifs('Hoa Hồng'!L:L,'Hoa Hồng'!A:A,B935)</f>
        <v>0</v>
      </c>
      <c r="J935" s="332">
        <v>0.0</v>
      </c>
      <c r="K935" s="333" t="s">
        <v>1211</v>
      </c>
      <c r="L935" s="334"/>
      <c r="M935" s="334"/>
      <c r="N935" s="334"/>
      <c r="O935" s="334"/>
      <c r="P935" s="334"/>
      <c r="Q935" s="334"/>
      <c r="R935" s="334"/>
      <c r="S935" s="334"/>
      <c r="T935" s="334"/>
      <c r="U935" s="334"/>
      <c r="V935" s="334"/>
      <c r="W935" s="334"/>
      <c r="X935" s="334"/>
      <c r="Y935" s="334"/>
      <c r="Z935" s="334"/>
      <c r="AA935" s="334"/>
      <c r="AB935" s="334"/>
      <c r="AC935" s="334"/>
      <c r="AD935" s="334"/>
    </row>
    <row r="936" ht="16.5" customHeight="1">
      <c r="A936" s="334"/>
      <c r="B936" s="329"/>
      <c r="C936" s="329" t="s">
        <v>585</v>
      </c>
      <c r="D936" s="331" t="s">
        <v>585</v>
      </c>
      <c r="E936" s="331" t="s">
        <v>585</v>
      </c>
      <c r="F936" s="331" t="s">
        <v>585</v>
      </c>
      <c r="G936" s="331">
        <f>iferror(sumifs('Hợp tác'!G:G,'Hợp tác'!A:A,B936,'Hợp tác'!H:H,$G$2,'Hợp tác'!I:I,$I$2),"")</f>
        <v>0</v>
      </c>
      <c r="H936" s="332">
        <f>SUMIF(View!J:J,View!B:B,B936)</f>
        <v>0</v>
      </c>
      <c r="I936" s="332">
        <f>sumifs('Hoa Hồng'!L:L,'Hoa Hồng'!A:A,B936)</f>
        <v>0</v>
      </c>
      <c r="J936" s="332">
        <v>0.0</v>
      </c>
      <c r="K936" s="333" t="s">
        <v>1211</v>
      </c>
      <c r="L936" s="334"/>
      <c r="M936" s="334"/>
      <c r="N936" s="334"/>
      <c r="O936" s="334"/>
      <c r="P936" s="334"/>
      <c r="Q936" s="334"/>
      <c r="R936" s="334"/>
      <c r="S936" s="334"/>
      <c r="T936" s="334"/>
      <c r="U936" s="334"/>
      <c r="V936" s="334"/>
      <c r="W936" s="334"/>
      <c r="X936" s="334"/>
      <c r="Y936" s="334"/>
      <c r="Z936" s="334"/>
      <c r="AA936" s="334"/>
      <c r="AB936" s="334"/>
      <c r="AC936" s="334"/>
      <c r="AD936" s="334"/>
    </row>
    <row r="937" ht="16.5" customHeight="1">
      <c r="A937" s="334"/>
      <c r="B937" s="329"/>
      <c r="C937" s="329" t="s">
        <v>585</v>
      </c>
      <c r="D937" s="331" t="s">
        <v>585</v>
      </c>
      <c r="E937" s="331" t="s">
        <v>585</v>
      </c>
      <c r="F937" s="331" t="s">
        <v>585</v>
      </c>
      <c r="G937" s="331">
        <f>iferror(sumifs('Hợp tác'!G:G,'Hợp tác'!A:A,B937,'Hợp tác'!H:H,$G$2,'Hợp tác'!I:I,$I$2),"")</f>
        <v>0</v>
      </c>
      <c r="H937" s="332">
        <f>SUMIF(View!J:J,View!B:B,B937)</f>
        <v>0</v>
      </c>
      <c r="I937" s="332">
        <f>sumifs('Hoa Hồng'!L:L,'Hoa Hồng'!A:A,B937)</f>
        <v>0</v>
      </c>
      <c r="J937" s="332">
        <v>0.0</v>
      </c>
      <c r="K937" s="333" t="s">
        <v>1211</v>
      </c>
      <c r="L937" s="334"/>
      <c r="M937" s="334"/>
      <c r="N937" s="334"/>
      <c r="O937" s="334"/>
      <c r="P937" s="334"/>
      <c r="Q937" s="334"/>
      <c r="R937" s="334"/>
      <c r="S937" s="334"/>
      <c r="T937" s="334"/>
      <c r="U937" s="334"/>
      <c r="V937" s="334"/>
      <c r="W937" s="334"/>
      <c r="X937" s="334"/>
      <c r="Y937" s="334"/>
      <c r="Z937" s="334"/>
      <c r="AA937" s="334"/>
      <c r="AB937" s="334"/>
      <c r="AC937" s="334"/>
      <c r="AD937" s="334"/>
    </row>
    <row r="938" ht="16.5" customHeight="1">
      <c r="A938" s="334"/>
      <c r="B938" s="329"/>
      <c r="C938" s="329" t="s">
        <v>585</v>
      </c>
      <c r="D938" s="331" t="s">
        <v>585</v>
      </c>
      <c r="E938" s="331" t="s">
        <v>585</v>
      </c>
      <c r="F938" s="331" t="s">
        <v>585</v>
      </c>
      <c r="G938" s="331">
        <f>iferror(sumifs('Hợp tác'!G:G,'Hợp tác'!A:A,B938,'Hợp tác'!H:H,$G$2,'Hợp tác'!I:I,$I$2),"")</f>
        <v>0</v>
      </c>
      <c r="H938" s="332">
        <f>SUMIF(View!J:J,View!B:B,B938)</f>
        <v>0</v>
      </c>
      <c r="I938" s="332">
        <f>sumifs('Hoa Hồng'!L:L,'Hoa Hồng'!A:A,B938)</f>
        <v>0</v>
      </c>
      <c r="J938" s="332">
        <v>0.0</v>
      </c>
      <c r="K938" s="333" t="s">
        <v>1211</v>
      </c>
      <c r="L938" s="334"/>
      <c r="M938" s="334"/>
      <c r="N938" s="334"/>
      <c r="O938" s="334"/>
      <c r="P938" s="334"/>
      <c r="Q938" s="334"/>
      <c r="R938" s="334"/>
      <c r="S938" s="334"/>
      <c r="T938" s="334"/>
      <c r="U938" s="334"/>
      <c r="V938" s="334"/>
      <c r="W938" s="334"/>
      <c r="X938" s="334"/>
      <c r="Y938" s="334"/>
      <c r="Z938" s="334"/>
      <c r="AA938" s="334"/>
      <c r="AB938" s="334"/>
      <c r="AC938" s="334"/>
      <c r="AD938" s="334"/>
    </row>
    <row r="939" ht="16.5" customHeight="1">
      <c r="A939" s="334"/>
      <c r="B939" s="329"/>
      <c r="C939" s="329" t="s">
        <v>585</v>
      </c>
      <c r="D939" s="331" t="s">
        <v>585</v>
      </c>
      <c r="E939" s="331" t="s">
        <v>585</v>
      </c>
      <c r="F939" s="331" t="s">
        <v>585</v>
      </c>
      <c r="G939" s="331">
        <f>iferror(sumifs('Hợp tác'!G:G,'Hợp tác'!A:A,B939,'Hợp tác'!H:H,$G$2,'Hợp tác'!I:I,$I$2),"")</f>
        <v>0</v>
      </c>
      <c r="H939" s="332">
        <f>SUMIF(View!J:J,View!B:B,B939)</f>
        <v>0</v>
      </c>
      <c r="I939" s="332">
        <f>sumifs('Hoa Hồng'!L:L,'Hoa Hồng'!A:A,B939)</f>
        <v>0</v>
      </c>
      <c r="J939" s="332">
        <v>0.0</v>
      </c>
      <c r="K939" s="333" t="s">
        <v>1211</v>
      </c>
      <c r="L939" s="334"/>
      <c r="M939" s="334"/>
      <c r="N939" s="334"/>
      <c r="O939" s="334"/>
      <c r="P939" s="334"/>
      <c r="Q939" s="334"/>
      <c r="R939" s="334"/>
      <c r="S939" s="334"/>
      <c r="T939" s="334"/>
      <c r="U939" s="334"/>
      <c r="V939" s="334"/>
      <c r="W939" s="334"/>
      <c r="X939" s="334"/>
      <c r="Y939" s="334"/>
      <c r="Z939" s="334"/>
      <c r="AA939" s="334"/>
      <c r="AB939" s="334"/>
      <c r="AC939" s="334"/>
      <c r="AD939" s="334"/>
    </row>
    <row r="940" ht="16.5" customHeight="1">
      <c r="A940" s="334"/>
      <c r="B940" s="329"/>
      <c r="C940" s="329" t="s">
        <v>585</v>
      </c>
      <c r="D940" s="331" t="s">
        <v>585</v>
      </c>
      <c r="E940" s="331" t="s">
        <v>585</v>
      </c>
      <c r="F940" s="331" t="s">
        <v>585</v>
      </c>
      <c r="G940" s="331">
        <f>iferror(sumifs('Hợp tác'!G:G,'Hợp tác'!A:A,B940,'Hợp tác'!H:H,$G$2,'Hợp tác'!I:I,$I$2),"")</f>
        <v>0</v>
      </c>
      <c r="H940" s="332">
        <f>SUMIF(View!J:J,View!B:B,B940)</f>
        <v>0</v>
      </c>
      <c r="I940" s="332">
        <f>sumifs('Hoa Hồng'!L:L,'Hoa Hồng'!A:A,B940)</f>
        <v>0</v>
      </c>
      <c r="J940" s="332">
        <v>0.0</v>
      </c>
      <c r="K940" s="333" t="s">
        <v>1211</v>
      </c>
      <c r="L940" s="334"/>
      <c r="M940" s="334"/>
      <c r="N940" s="334"/>
      <c r="O940" s="334"/>
      <c r="P940" s="334"/>
      <c r="Q940" s="334"/>
      <c r="R940" s="334"/>
      <c r="S940" s="334"/>
      <c r="T940" s="334"/>
      <c r="U940" s="334"/>
      <c r="V940" s="334"/>
      <c r="W940" s="334"/>
      <c r="X940" s="334"/>
      <c r="Y940" s="334"/>
      <c r="Z940" s="334"/>
      <c r="AA940" s="334"/>
      <c r="AB940" s="334"/>
      <c r="AC940" s="334"/>
      <c r="AD940" s="334"/>
    </row>
    <row r="941" ht="16.5" customHeight="1">
      <c r="A941" s="334"/>
      <c r="B941" s="329"/>
      <c r="C941" s="329" t="s">
        <v>585</v>
      </c>
      <c r="D941" s="331" t="s">
        <v>585</v>
      </c>
      <c r="E941" s="331" t="s">
        <v>585</v>
      </c>
      <c r="F941" s="331" t="s">
        <v>585</v>
      </c>
      <c r="G941" s="331">
        <f>iferror(sumifs('Hợp tác'!G:G,'Hợp tác'!A:A,B941,'Hợp tác'!H:H,$G$2,'Hợp tác'!I:I,$I$2),"")</f>
        <v>0</v>
      </c>
      <c r="H941" s="332">
        <f>SUMIF(View!J:J,View!B:B,B941)</f>
        <v>0</v>
      </c>
      <c r="I941" s="332">
        <f>sumifs('Hoa Hồng'!L:L,'Hoa Hồng'!A:A,B941)</f>
        <v>0</v>
      </c>
      <c r="J941" s="332">
        <v>0.0</v>
      </c>
      <c r="K941" s="333" t="s">
        <v>1211</v>
      </c>
      <c r="L941" s="334"/>
      <c r="M941" s="334"/>
      <c r="N941" s="334"/>
      <c r="O941" s="334"/>
      <c r="P941" s="334"/>
      <c r="Q941" s="334"/>
      <c r="R941" s="334"/>
      <c r="S941" s="334"/>
      <c r="T941" s="334"/>
      <c r="U941" s="334"/>
      <c r="V941" s="334"/>
      <c r="W941" s="334"/>
      <c r="X941" s="334"/>
      <c r="Y941" s="334"/>
      <c r="Z941" s="334"/>
      <c r="AA941" s="334"/>
      <c r="AB941" s="334"/>
      <c r="AC941" s="334"/>
      <c r="AD941" s="334"/>
    </row>
    <row r="942" ht="16.5" customHeight="1">
      <c r="A942" s="334"/>
      <c r="B942" s="329"/>
      <c r="C942" s="329" t="s">
        <v>585</v>
      </c>
      <c r="D942" s="331" t="s">
        <v>585</v>
      </c>
      <c r="E942" s="331" t="s">
        <v>585</v>
      </c>
      <c r="F942" s="331" t="s">
        <v>585</v>
      </c>
      <c r="G942" s="331">
        <f>iferror(sumifs('Hợp tác'!G:G,'Hợp tác'!A:A,B942,'Hợp tác'!H:H,$G$2,'Hợp tác'!I:I,$I$2),"")</f>
        <v>0</v>
      </c>
      <c r="H942" s="332">
        <f>SUMIF(View!J:J,View!B:B,B942)</f>
        <v>0</v>
      </c>
      <c r="I942" s="332">
        <f>sumifs('Hoa Hồng'!L:L,'Hoa Hồng'!A:A,B942)</f>
        <v>0</v>
      </c>
      <c r="J942" s="332">
        <v>0.0</v>
      </c>
      <c r="K942" s="333" t="s">
        <v>1211</v>
      </c>
      <c r="L942" s="334"/>
      <c r="M942" s="334"/>
      <c r="N942" s="334"/>
      <c r="O942" s="334"/>
      <c r="P942" s="334"/>
      <c r="Q942" s="334"/>
      <c r="R942" s="334"/>
      <c r="S942" s="334"/>
      <c r="T942" s="334"/>
      <c r="U942" s="334"/>
      <c r="V942" s="334"/>
      <c r="W942" s="334"/>
      <c r="X942" s="334"/>
      <c r="Y942" s="334"/>
      <c r="Z942" s="334"/>
      <c r="AA942" s="334"/>
      <c r="AB942" s="334"/>
      <c r="AC942" s="334"/>
      <c r="AD942" s="334"/>
    </row>
    <row r="943" ht="16.5" customHeight="1">
      <c r="A943" s="334"/>
      <c r="B943" s="329"/>
      <c r="C943" s="329" t="s">
        <v>585</v>
      </c>
      <c r="D943" s="331" t="s">
        <v>585</v>
      </c>
      <c r="E943" s="331" t="s">
        <v>585</v>
      </c>
      <c r="F943" s="331" t="s">
        <v>585</v>
      </c>
      <c r="G943" s="331">
        <f>iferror(sumifs('Hợp tác'!G:G,'Hợp tác'!A:A,B943,'Hợp tác'!H:H,$G$2,'Hợp tác'!I:I,$I$2),"")</f>
        <v>0</v>
      </c>
      <c r="H943" s="332">
        <f>SUMIF(View!J:J,View!B:B,B943)</f>
        <v>0</v>
      </c>
      <c r="I943" s="332">
        <f>sumifs('Hoa Hồng'!L:L,'Hoa Hồng'!A:A,B943)</f>
        <v>0</v>
      </c>
      <c r="J943" s="332">
        <v>0.0</v>
      </c>
      <c r="K943" s="333" t="s">
        <v>1211</v>
      </c>
      <c r="L943" s="334"/>
      <c r="M943" s="334"/>
      <c r="N943" s="334"/>
      <c r="O943" s="334"/>
      <c r="P943" s="334"/>
      <c r="Q943" s="334"/>
      <c r="R943" s="334"/>
      <c r="S943" s="334"/>
      <c r="T943" s="334"/>
      <c r="U943" s="334"/>
      <c r="V943" s="334"/>
      <c r="W943" s="334"/>
      <c r="X943" s="334"/>
      <c r="Y943" s="334"/>
      <c r="Z943" s="334"/>
      <c r="AA943" s="334"/>
      <c r="AB943" s="334"/>
      <c r="AC943" s="334"/>
      <c r="AD943" s="334"/>
    </row>
    <row r="944" ht="16.5" customHeight="1">
      <c r="A944" s="334"/>
      <c r="B944" s="329"/>
      <c r="C944" s="329" t="s">
        <v>585</v>
      </c>
      <c r="D944" s="331" t="s">
        <v>585</v>
      </c>
      <c r="E944" s="331" t="s">
        <v>585</v>
      </c>
      <c r="F944" s="331" t="s">
        <v>585</v>
      </c>
      <c r="G944" s="331">
        <f>iferror(sumifs('Hợp tác'!G:G,'Hợp tác'!A:A,B944,'Hợp tác'!H:H,$G$2,'Hợp tác'!I:I,$I$2),"")</f>
        <v>0</v>
      </c>
      <c r="H944" s="332">
        <f>SUMIF(View!J:J,View!B:B,B944)</f>
        <v>0</v>
      </c>
      <c r="I944" s="332">
        <f>sumifs('Hoa Hồng'!L:L,'Hoa Hồng'!A:A,B944)</f>
        <v>0</v>
      </c>
      <c r="J944" s="332">
        <v>0.0</v>
      </c>
      <c r="K944" s="333" t="s">
        <v>1211</v>
      </c>
      <c r="L944" s="334"/>
      <c r="M944" s="334"/>
      <c r="N944" s="334"/>
      <c r="O944" s="334"/>
      <c r="P944" s="334"/>
      <c r="Q944" s="334"/>
      <c r="R944" s="334"/>
      <c r="S944" s="334"/>
      <c r="T944" s="334"/>
      <c r="U944" s="334"/>
      <c r="V944" s="334"/>
      <c r="W944" s="334"/>
      <c r="X944" s="334"/>
      <c r="Y944" s="334"/>
      <c r="Z944" s="334"/>
      <c r="AA944" s="334"/>
      <c r="AB944" s="334"/>
      <c r="AC944" s="334"/>
      <c r="AD944" s="334"/>
    </row>
    <row r="945" ht="16.5" customHeight="1">
      <c r="A945" s="334"/>
      <c r="B945" s="329"/>
      <c r="C945" s="329" t="s">
        <v>585</v>
      </c>
      <c r="D945" s="331" t="s">
        <v>585</v>
      </c>
      <c r="E945" s="331" t="s">
        <v>585</v>
      </c>
      <c r="F945" s="331" t="s">
        <v>585</v>
      </c>
      <c r="G945" s="331">
        <f>iferror(sumifs('Hợp tác'!G:G,'Hợp tác'!A:A,B945,'Hợp tác'!H:H,$G$2,'Hợp tác'!I:I,$I$2),"")</f>
        <v>0</v>
      </c>
      <c r="H945" s="332">
        <f>SUMIF(View!J:J,View!B:B,B945)</f>
        <v>0</v>
      </c>
      <c r="I945" s="332">
        <f>sumifs('Hoa Hồng'!L:L,'Hoa Hồng'!A:A,B945)</f>
        <v>0</v>
      </c>
      <c r="J945" s="332">
        <v>0.0</v>
      </c>
      <c r="K945" s="333" t="s">
        <v>1211</v>
      </c>
      <c r="L945" s="334"/>
      <c r="M945" s="334"/>
      <c r="N945" s="334"/>
      <c r="O945" s="334"/>
      <c r="P945" s="334"/>
      <c r="Q945" s="334"/>
      <c r="R945" s="334"/>
      <c r="S945" s="334"/>
      <c r="T945" s="334"/>
      <c r="U945" s="334"/>
      <c r="V945" s="334"/>
      <c r="W945" s="334"/>
      <c r="X945" s="334"/>
      <c r="Y945" s="334"/>
      <c r="Z945" s="334"/>
      <c r="AA945" s="334"/>
      <c r="AB945" s="334"/>
      <c r="AC945" s="334"/>
      <c r="AD945" s="334"/>
    </row>
    <row r="946" ht="16.5" customHeight="1">
      <c r="A946" s="334"/>
      <c r="B946" s="329"/>
      <c r="C946" s="329" t="s">
        <v>585</v>
      </c>
      <c r="D946" s="331" t="s">
        <v>585</v>
      </c>
      <c r="E946" s="331" t="s">
        <v>585</v>
      </c>
      <c r="F946" s="331" t="s">
        <v>585</v>
      </c>
      <c r="G946" s="331">
        <f>iferror(sumifs('Hợp tác'!G:G,'Hợp tác'!A:A,B946,'Hợp tác'!H:H,$G$2,'Hợp tác'!I:I,$I$2),"")</f>
        <v>0</v>
      </c>
      <c r="H946" s="332">
        <f>SUMIF(View!J:J,View!B:B,B946)</f>
        <v>0</v>
      </c>
      <c r="I946" s="332">
        <f>sumifs('Hoa Hồng'!L:L,'Hoa Hồng'!A:A,B946)</f>
        <v>0</v>
      </c>
      <c r="J946" s="332">
        <v>0.0</v>
      </c>
      <c r="K946" s="333" t="s">
        <v>1211</v>
      </c>
      <c r="L946" s="334"/>
      <c r="M946" s="334"/>
      <c r="N946" s="334"/>
      <c r="O946" s="334"/>
      <c r="P946" s="334"/>
      <c r="Q946" s="334"/>
      <c r="R946" s="334"/>
      <c r="S946" s="334"/>
      <c r="T946" s="334"/>
      <c r="U946" s="334"/>
      <c r="V946" s="334"/>
      <c r="W946" s="334"/>
      <c r="X946" s="334"/>
      <c r="Y946" s="334"/>
      <c r="Z946" s="334"/>
      <c r="AA946" s="334"/>
      <c r="AB946" s="334"/>
      <c r="AC946" s="334"/>
      <c r="AD946" s="334"/>
    </row>
    <row r="947" ht="16.5" customHeight="1">
      <c r="A947" s="334"/>
      <c r="B947" s="329"/>
      <c r="C947" s="329" t="s">
        <v>585</v>
      </c>
      <c r="D947" s="331" t="s">
        <v>585</v>
      </c>
      <c r="E947" s="331" t="s">
        <v>585</v>
      </c>
      <c r="F947" s="331" t="s">
        <v>585</v>
      </c>
      <c r="G947" s="331">
        <f>iferror(sumifs('Hợp tác'!G:G,'Hợp tác'!A:A,B947,'Hợp tác'!H:H,$G$2,'Hợp tác'!I:I,$I$2),"")</f>
        <v>0</v>
      </c>
      <c r="H947" s="332">
        <f>SUMIF(View!J:J,View!B:B,B947)</f>
        <v>0</v>
      </c>
      <c r="I947" s="332">
        <f>sumifs('Hoa Hồng'!L:L,'Hoa Hồng'!A:A,B947)</f>
        <v>0</v>
      </c>
      <c r="J947" s="332">
        <v>0.0</v>
      </c>
      <c r="K947" s="333" t="s">
        <v>1211</v>
      </c>
      <c r="L947" s="334"/>
      <c r="M947" s="334"/>
      <c r="N947" s="334"/>
      <c r="O947" s="334"/>
      <c r="P947" s="334"/>
      <c r="Q947" s="334"/>
      <c r="R947" s="334"/>
      <c r="S947" s="334"/>
      <c r="T947" s="334"/>
      <c r="U947" s="334"/>
      <c r="V947" s="334"/>
      <c r="W947" s="334"/>
      <c r="X947" s="334"/>
      <c r="Y947" s="334"/>
      <c r="Z947" s="334"/>
      <c r="AA947" s="334"/>
      <c r="AB947" s="334"/>
      <c r="AC947" s="334"/>
      <c r="AD947" s="334"/>
    </row>
    <row r="948" ht="16.5" customHeight="1">
      <c r="A948" s="334"/>
      <c r="B948" s="329"/>
      <c r="C948" s="329" t="s">
        <v>585</v>
      </c>
      <c r="D948" s="331" t="s">
        <v>585</v>
      </c>
      <c r="E948" s="331" t="s">
        <v>585</v>
      </c>
      <c r="F948" s="331" t="s">
        <v>585</v>
      </c>
      <c r="G948" s="331">
        <f>iferror(sumifs('Hợp tác'!G:G,'Hợp tác'!A:A,B948,'Hợp tác'!H:H,$G$2,'Hợp tác'!I:I,$I$2),"")</f>
        <v>0</v>
      </c>
      <c r="H948" s="332">
        <f>SUMIF(View!J:J,View!B:B,B948)</f>
        <v>0</v>
      </c>
      <c r="I948" s="332">
        <f>sumifs('Hoa Hồng'!L:L,'Hoa Hồng'!A:A,B948)</f>
        <v>0</v>
      </c>
      <c r="J948" s="332">
        <v>0.0</v>
      </c>
      <c r="K948" s="333" t="s">
        <v>1211</v>
      </c>
      <c r="L948" s="334"/>
      <c r="M948" s="334"/>
      <c r="N948" s="334"/>
      <c r="O948" s="334"/>
      <c r="P948" s="334"/>
      <c r="Q948" s="334"/>
      <c r="R948" s="334"/>
      <c r="S948" s="334"/>
      <c r="T948" s="334"/>
      <c r="U948" s="334"/>
      <c r="V948" s="334"/>
      <c r="W948" s="334"/>
      <c r="X948" s="334"/>
      <c r="Y948" s="334"/>
      <c r="Z948" s="334"/>
      <c r="AA948" s="334"/>
      <c r="AB948" s="334"/>
      <c r="AC948" s="334"/>
      <c r="AD948" s="334"/>
    </row>
    <row r="949" ht="16.5" customHeight="1">
      <c r="A949" s="334"/>
      <c r="B949" s="329"/>
      <c r="C949" s="329" t="s">
        <v>585</v>
      </c>
      <c r="D949" s="331" t="s">
        <v>585</v>
      </c>
      <c r="E949" s="331" t="s">
        <v>585</v>
      </c>
      <c r="F949" s="331" t="s">
        <v>585</v>
      </c>
      <c r="G949" s="331">
        <f>iferror(sumifs('Hợp tác'!G:G,'Hợp tác'!A:A,B949,'Hợp tác'!H:H,$G$2,'Hợp tác'!I:I,$I$2),"")</f>
        <v>0</v>
      </c>
      <c r="H949" s="332">
        <f>SUMIF(View!J:J,View!B:B,B949)</f>
        <v>0</v>
      </c>
      <c r="I949" s="332">
        <f>sumifs('Hoa Hồng'!L:L,'Hoa Hồng'!A:A,B949)</f>
        <v>0</v>
      </c>
      <c r="J949" s="332">
        <v>0.0</v>
      </c>
      <c r="K949" s="333" t="s">
        <v>1211</v>
      </c>
      <c r="L949" s="334"/>
      <c r="M949" s="334"/>
      <c r="N949" s="334"/>
      <c r="O949" s="334"/>
      <c r="P949" s="334"/>
      <c r="Q949" s="334"/>
      <c r="R949" s="334"/>
      <c r="S949" s="334"/>
      <c r="T949" s="334"/>
      <c r="U949" s="334"/>
      <c r="V949" s="334"/>
      <c r="W949" s="334"/>
      <c r="X949" s="334"/>
      <c r="Y949" s="334"/>
      <c r="Z949" s="334"/>
      <c r="AA949" s="334"/>
      <c r="AB949" s="334"/>
      <c r="AC949" s="334"/>
      <c r="AD949" s="334"/>
    </row>
    <row r="950" ht="16.5" customHeight="1">
      <c r="A950" s="334"/>
      <c r="B950" s="329"/>
      <c r="C950" s="329" t="s">
        <v>585</v>
      </c>
      <c r="D950" s="331" t="s">
        <v>585</v>
      </c>
      <c r="E950" s="331" t="s">
        <v>585</v>
      </c>
      <c r="F950" s="331" t="s">
        <v>585</v>
      </c>
      <c r="G950" s="331">
        <f>iferror(sumifs('Hợp tác'!G:G,'Hợp tác'!A:A,B950,'Hợp tác'!H:H,$G$2,'Hợp tác'!I:I,$I$2),"")</f>
        <v>0</v>
      </c>
      <c r="H950" s="332">
        <f>SUMIF(View!J:J,View!B:B,B950)</f>
        <v>0</v>
      </c>
      <c r="I950" s="332">
        <f>sumifs('Hoa Hồng'!L:L,'Hoa Hồng'!A:A,B950)</f>
        <v>0</v>
      </c>
      <c r="J950" s="332">
        <v>0.0</v>
      </c>
      <c r="K950" s="333" t="s">
        <v>1211</v>
      </c>
      <c r="L950" s="334"/>
      <c r="M950" s="334"/>
      <c r="N950" s="334"/>
      <c r="O950" s="334"/>
      <c r="P950" s="334"/>
      <c r="Q950" s="334"/>
      <c r="R950" s="334"/>
      <c r="S950" s="334"/>
      <c r="T950" s="334"/>
      <c r="U950" s="334"/>
      <c r="V950" s="334"/>
      <c r="W950" s="334"/>
      <c r="X950" s="334"/>
      <c r="Y950" s="334"/>
      <c r="Z950" s="334"/>
      <c r="AA950" s="334"/>
      <c r="AB950" s="334"/>
      <c r="AC950" s="334"/>
      <c r="AD950" s="334"/>
    </row>
    <row r="951" ht="16.5" customHeight="1">
      <c r="A951" s="334"/>
      <c r="B951" s="329"/>
      <c r="C951" s="329" t="s">
        <v>585</v>
      </c>
      <c r="D951" s="331" t="s">
        <v>585</v>
      </c>
      <c r="E951" s="331" t="s">
        <v>585</v>
      </c>
      <c r="F951" s="331" t="s">
        <v>585</v>
      </c>
      <c r="G951" s="331">
        <f>iferror(sumifs('Hợp tác'!G:G,'Hợp tác'!A:A,B951,'Hợp tác'!H:H,$G$2,'Hợp tác'!I:I,$I$2),"")</f>
        <v>0</v>
      </c>
      <c r="H951" s="332">
        <f>SUMIF(View!J:J,View!B:B,B951)</f>
        <v>0</v>
      </c>
      <c r="I951" s="332">
        <f>sumifs('Hoa Hồng'!L:L,'Hoa Hồng'!A:A,B951)</f>
        <v>0</v>
      </c>
      <c r="J951" s="332">
        <v>0.0</v>
      </c>
      <c r="K951" s="333" t="s">
        <v>1211</v>
      </c>
      <c r="L951" s="334"/>
      <c r="M951" s="334"/>
      <c r="N951" s="334"/>
      <c r="O951" s="334"/>
      <c r="P951" s="334"/>
      <c r="Q951" s="334"/>
      <c r="R951" s="334"/>
      <c r="S951" s="334"/>
      <c r="T951" s="334"/>
      <c r="U951" s="334"/>
      <c r="V951" s="334"/>
      <c r="W951" s="334"/>
      <c r="X951" s="334"/>
      <c r="Y951" s="334"/>
      <c r="Z951" s="334"/>
      <c r="AA951" s="334"/>
      <c r="AB951" s="334"/>
      <c r="AC951" s="334"/>
      <c r="AD951" s="334"/>
    </row>
    <row r="952" ht="16.5" customHeight="1">
      <c r="A952" s="334"/>
      <c r="B952" s="329"/>
      <c r="C952" s="329" t="s">
        <v>585</v>
      </c>
      <c r="D952" s="331" t="s">
        <v>585</v>
      </c>
      <c r="E952" s="331" t="s">
        <v>585</v>
      </c>
      <c r="F952" s="331" t="s">
        <v>585</v>
      </c>
      <c r="G952" s="331">
        <f>iferror(sumifs('Hợp tác'!G:G,'Hợp tác'!A:A,B952,'Hợp tác'!H:H,$G$2,'Hợp tác'!I:I,$I$2),"")</f>
        <v>0</v>
      </c>
      <c r="H952" s="332">
        <f>SUMIF(View!J:J,View!B:B,B952)</f>
        <v>0</v>
      </c>
      <c r="I952" s="332">
        <f>sumifs('Hoa Hồng'!L:L,'Hoa Hồng'!A:A,B952)</f>
        <v>0</v>
      </c>
      <c r="J952" s="332">
        <v>0.0</v>
      </c>
      <c r="K952" s="333" t="s">
        <v>1211</v>
      </c>
      <c r="L952" s="334"/>
      <c r="M952" s="334"/>
      <c r="N952" s="334"/>
      <c r="O952" s="334"/>
      <c r="P952" s="334"/>
      <c r="Q952" s="334"/>
      <c r="R952" s="334"/>
      <c r="S952" s="334"/>
      <c r="T952" s="334"/>
      <c r="U952" s="334"/>
      <c r="V952" s="334"/>
      <c r="W952" s="334"/>
      <c r="X952" s="334"/>
      <c r="Y952" s="334"/>
      <c r="Z952" s="334"/>
      <c r="AA952" s="334"/>
      <c r="AB952" s="334"/>
      <c r="AC952" s="334"/>
      <c r="AD952" s="334"/>
    </row>
    <row r="953" ht="16.5" customHeight="1">
      <c r="A953" s="334"/>
      <c r="B953" s="329"/>
      <c r="C953" s="329" t="s">
        <v>585</v>
      </c>
      <c r="D953" s="331" t="s">
        <v>585</v>
      </c>
      <c r="E953" s="331" t="s">
        <v>585</v>
      </c>
      <c r="F953" s="331" t="s">
        <v>585</v>
      </c>
      <c r="G953" s="331">
        <f>iferror(sumifs('Hợp tác'!G:G,'Hợp tác'!A:A,B953,'Hợp tác'!H:H,$G$2,'Hợp tác'!I:I,$I$2),"")</f>
        <v>0</v>
      </c>
      <c r="H953" s="332">
        <f>SUMIF(View!J:J,View!B:B,B953)</f>
        <v>0</v>
      </c>
      <c r="I953" s="332">
        <f>sumifs('Hoa Hồng'!L:L,'Hoa Hồng'!A:A,B953)</f>
        <v>0</v>
      </c>
      <c r="J953" s="332">
        <v>0.0</v>
      </c>
      <c r="K953" s="333" t="s">
        <v>1211</v>
      </c>
      <c r="L953" s="334"/>
      <c r="M953" s="334"/>
      <c r="N953" s="334"/>
      <c r="O953" s="334"/>
      <c r="P953" s="334"/>
      <c r="Q953" s="334"/>
      <c r="R953" s="334"/>
      <c r="S953" s="334"/>
      <c r="T953" s="334"/>
      <c r="U953" s="334"/>
      <c r="V953" s="334"/>
      <c r="W953" s="334"/>
      <c r="X953" s="334"/>
      <c r="Y953" s="334"/>
      <c r="Z953" s="334"/>
      <c r="AA953" s="334"/>
      <c r="AB953" s="334"/>
      <c r="AC953" s="334"/>
      <c r="AD953" s="334"/>
    </row>
    <row r="954" ht="16.5" customHeight="1">
      <c r="A954" s="334"/>
      <c r="B954" s="329"/>
      <c r="C954" s="329" t="s">
        <v>585</v>
      </c>
      <c r="D954" s="331" t="s">
        <v>585</v>
      </c>
      <c r="E954" s="331" t="s">
        <v>585</v>
      </c>
      <c r="F954" s="331" t="s">
        <v>585</v>
      </c>
      <c r="G954" s="331">
        <f>iferror(sumifs('Hợp tác'!G:G,'Hợp tác'!A:A,B954,'Hợp tác'!H:H,$G$2,'Hợp tác'!I:I,$I$2),"")</f>
        <v>0</v>
      </c>
      <c r="H954" s="332">
        <f>SUMIF(View!J:J,View!B:B,B954)</f>
        <v>0</v>
      </c>
      <c r="I954" s="332">
        <f>sumifs('Hoa Hồng'!L:L,'Hoa Hồng'!A:A,B954)</f>
        <v>0</v>
      </c>
      <c r="J954" s="332">
        <v>0.0</v>
      </c>
      <c r="K954" s="333" t="s">
        <v>1211</v>
      </c>
      <c r="L954" s="334"/>
      <c r="M954" s="334"/>
      <c r="N954" s="334"/>
      <c r="O954" s="334"/>
      <c r="P954" s="334"/>
      <c r="Q954" s="334"/>
      <c r="R954" s="334"/>
      <c r="S954" s="334"/>
      <c r="T954" s="334"/>
      <c r="U954" s="334"/>
      <c r="V954" s="334"/>
      <c r="W954" s="334"/>
      <c r="X954" s="334"/>
      <c r="Y954" s="334"/>
      <c r="Z954" s="334"/>
      <c r="AA954" s="334"/>
      <c r="AB954" s="334"/>
      <c r="AC954" s="334"/>
      <c r="AD954" s="334"/>
    </row>
    <row r="955" ht="16.5" customHeight="1">
      <c r="A955" s="334"/>
      <c r="B955" s="329"/>
      <c r="C955" s="329" t="s">
        <v>585</v>
      </c>
      <c r="D955" s="331" t="s">
        <v>585</v>
      </c>
      <c r="E955" s="331" t="s">
        <v>585</v>
      </c>
      <c r="F955" s="331" t="s">
        <v>585</v>
      </c>
      <c r="G955" s="331">
        <f>iferror(sumifs('Hợp tác'!G:G,'Hợp tác'!A:A,B955,'Hợp tác'!H:H,$G$2,'Hợp tác'!I:I,$I$2),"")</f>
        <v>0</v>
      </c>
      <c r="H955" s="332">
        <f>SUMIF(View!J:J,View!B:B,B955)</f>
        <v>0</v>
      </c>
      <c r="I955" s="332">
        <f>sumifs('Hoa Hồng'!L:L,'Hoa Hồng'!A:A,B955)</f>
        <v>0</v>
      </c>
      <c r="J955" s="332">
        <v>0.0</v>
      </c>
      <c r="K955" s="333" t="s">
        <v>1211</v>
      </c>
      <c r="L955" s="334"/>
      <c r="M955" s="334"/>
      <c r="N955" s="334"/>
      <c r="O955" s="334"/>
      <c r="P955" s="334"/>
      <c r="Q955" s="334"/>
      <c r="R955" s="334"/>
      <c r="S955" s="334"/>
      <c r="T955" s="334"/>
      <c r="U955" s="334"/>
      <c r="V955" s="334"/>
      <c r="W955" s="334"/>
      <c r="X955" s="334"/>
      <c r="Y955" s="334"/>
      <c r="Z955" s="334"/>
      <c r="AA955" s="334"/>
      <c r="AB955" s="334"/>
      <c r="AC955" s="334"/>
      <c r="AD955" s="334"/>
    </row>
    <row r="956" ht="16.5" customHeight="1">
      <c r="A956" s="334"/>
      <c r="B956" s="329"/>
      <c r="C956" s="329" t="s">
        <v>585</v>
      </c>
      <c r="D956" s="331" t="s">
        <v>585</v>
      </c>
      <c r="E956" s="331" t="s">
        <v>585</v>
      </c>
      <c r="F956" s="331" t="s">
        <v>585</v>
      </c>
      <c r="G956" s="331">
        <f>iferror(sumifs('Hợp tác'!G:G,'Hợp tác'!A:A,B956,'Hợp tác'!H:H,$G$2,'Hợp tác'!I:I,$I$2),"")</f>
        <v>0</v>
      </c>
      <c r="H956" s="332">
        <f>SUMIF(View!J:J,View!B:B,B956)</f>
        <v>0</v>
      </c>
      <c r="I956" s="332">
        <f>sumifs('Hoa Hồng'!L:L,'Hoa Hồng'!A:A,B956)</f>
        <v>0</v>
      </c>
      <c r="J956" s="332">
        <v>0.0</v>
      </c>
      <c r="K956" s="333" t="s">
        <v>1211</v>
      </c>
      <c r="L956" s="334"/>
      <c r="M956" s="334"/>
      <c r="N956" s="334"/>
      <c r="O956" s="334"/>
      <c r="P956" s="334"/>
      <c r="Q956" s="334"/>
      <c r="R956" s="334"/>
      <c r="S956" s="334"/>
      <c r="T956" s="334"/>
      <c r="U956" s="334"/>
      <c r="V956" s="334"/>
      <c r="W956" s="334"/>
      <c r="X956" s="334"/>
      <c r="Y956" s="334"/>
      <c r="Z956" s="334"/>
      <c r="AA956" s="334"/>
      <c r="AB956" s="334"/>
      <c r="AC956" s="334"/>
      <c r="AD956" s="334"/>
    </row>
    <row r="957" ht="16.5" customHeight="1">
      <c r="A957" s="334"/>
      <c r="B957" s="329"/>
      <c r="C957" s="329" t="s">
        <v>585</v>
      </c>
      <c r="D957" s="331" t="s">
        <v>585</v>
      </c>
      <c r="E957" s="331" t="s">
        <v>585</v>
      </c>
      <c r="F957" s="331" t="s">
        <v>585</v>
      </c>
      <c r="G957" s="331">
        <f>iferror(sumifs('Hợp tác'!G:G,'Hợp tác'!A:A,B957,'Hợp tác'!H:H,$G$2,'Hợp tác'!I:I,$I$2),"")</f>
        <v>0</v>
      </c>
      <c r="H957" s="332">
        <f>SUMIF(View!J:J,View!B:B,B957)</f>
        <v>0</v>
      </c>
      <c r="I957" s="332">
        <f>sumifs('Hoa Hồng'!L:L,'Hoa Hồng'!A:A,B957)</f>
        <v>0</v>
      </c>
      <c r="J957" s="332">
        <v>0.0</v>
      </c>
      <c r="K957" s="333" t="s">
        <v>1211</v>
      </c>
      <c r="L957" s="334"/>
      <c r="M957" s="334"/>
      <c r="N957" s="334"/>
      <c r="O957" s="334"/>
      <c r="P957" s="334"/>
      <c r="Q957" s="334"/>
      <c r="R957" s="334"/>
      <c r="S957" s="334"/>
      <c r="T957" s="334"/>
      <c r="U957" s="334"/>
      <c r="V957" s="334"/>
      <c r="W957" s="334"/>
      <c r="X957" s="334"/>
      <c r="Y957" s="334"/>
      <c r="Z957" s="334"/>
      <c r="AA957" s="334"/>
      <c r="AB957" s="334"/>
      <c r="AC957" s="334"/>
      <c r="AD957" s="334"/>
    </row>
    <row r="958" ht="16.5" customHeight="1">
      <c r="A958" s="334"/>
      <c r="B958" s="329"/>
      <c r="C958" s="329" t="s">
        <v>585</v>
      </c>
      <c r="D958" s="331" t="s">
        <v>585</v>
      </c>
      <c r="E958" s="331" t="s">
        <v>585</v>
      </c>
      <c r="F958" s="331" t="s">
        <v>585</v>
      </c>
      <c r="G958" s="331">
        <f>iferror(sumifs('Hợp tác'!G:G,'Hợp tác'!A:A,B958,'Hợp tác'!H:H,$G$2,'Hợp tác'!I:I,$I$2),"")</f>
        <v>0</v>
      </c>
      <c r="H958" s="332">
        <f>SUMIF(View!J:J,View!B:B,B958)</f>
        <v>0</v>
      </c>
      <c r="I958" s="332">
        <f>sumifs('Hoa Hồng'!L:L,'Hoa Hồng'!A:A,B958)</f>
        <v>0</v>
      </c>
      <c r="J958" s="332">
        <v>0.0</v>
      </c>
      <c r="K958" s="333" t="s">
        <v>1211</v>
      </c>
      <c r="L958" s="334"/>
      <c r="M958" s="334"/>
      <c r="N958" s="334"/>
      <c r="O958" s="334"/>
      <c r="P958" s="334"/>
      <c r="Q958" s="334"/>
      <c r="R958" s="334"/>
      <c r="S958" s="334"/>
      <c r="T958" s="334"/>
      <c r="U958" s="334"/>
      <c r="V958" s="334"/>
      <c r="W958" s="334"/>
      <c r="X958" s="334"/>
      <c r="Y958" s="334"/>
      <c r="Z958" s="334"/>
      <c r="AA958" s="334"/>
      <c r="AB958" s="334"/>
      <c r="AC958" s="334"/>
      <c r="AD958" s="334"/>
    </row>
    <row r="959" ht="16.5" customHeight="1">
      <c r="A959" s="334"/>
      <c r="B959" s="329"/>
      <c r="C959" s="329" t="s">
        <v>585</v>
      </c>
      <c r="D959" s="331" t="s">
        <v>585</v>
      </c>
      <c r="E959" s="331" t="s">
        <v>585</v>
      </c>
      <c r="F959" s="331" t="s">
        <v>585</v>
      </c>
      <c r="G959" s="331">
        <f>iferror(sumifs('Hợp tác'!G:G,'Hợp tác'!A:A,B959,'Hợp tác'!H:H,$G$2,'Hợp tác'!I:I,$I$2),"")</f>
        <v>0</v>
      </c>
      <c r="H959" s="332">
        <f>SUMIF(View!J:J,View!B:B,B959)</f>
        <v>0</v>
      </c>
      <c r="I959" s="332">
        <f>sumifs('Hoa Hồng'!L:L,'Hoa Hồng'!A:A,B959)</f>
        <v>0</v>
      </c>
      <c r="J959" s="332">
        <v>0.0</v>
      </c>
      <c r="K959" s="333" t="s">
        <v>1211</v>
      </c>
      <c r="L959" s="334"/>
      <c r="M959" s="334"/>
      <c r="N959" s="334"/>
      <c r="O959" s="334"/>
      <c r="P959" s="334"/>
      <c r="Q959" s="334"/>
      <c r="R959" s="334"/>
      <c r="S959" s="334"/>
      <c r="T959" s="334"/>
      <c r="U959" s="334"/>
      <c r="V959" s="334"/>
      <c r="W959" s="334"/>
      <c r="X959" s="334"/>
      <c r="Y959" s="334"/>
      <c r="Z959" s="334"/>
      <c r="AA959" s="334"/>
      <c r="AB959" s="334"/>
      <c r="AC959" s="334"/>
      <c r="AD959" s="334"/>
    </row>
    <row r="960" ht="16.5" customHeight="1">
      <c r="A960" s="334"/>
      <c r="B960" s="329"/>
      <c r="C960" s="329" t="s">
        <v>585</v>
      </c>
      <c r="D960" s="331" t="s">
        <v>585</v>
      </c>
      <c r="E960" s="331" t="s">
        <v>585</v>
      </c>
      <c r="F960" s="331" t="s">
        <v>585</v>
      </c>
      <c r="G960" s="331">
        <f>iferror(sumifs('Hợp tác'!G:G,'Hợp tác'!A:A,B960,'Hợp tác'!H:H,$G$2,'Hợp tác'!I:I,$I$2),"")</f>
        <v>0</v>
      </c>
      <c r="H960" s="332">
        <f>SUMIF(View!J:J,View!B:B,B960)</f>
        <v>0</v>
      </c>
      <c r="I960" s="332">
        <f>sumifs('Hoa Hồng'!L:L,'Hoa Hồng'!A:A,B960)</f>
        <v>0</v>
      </c>
      <c r="J960" s="332">
        <v>0.0</v>
      </c>
      <c r="K960" s="333" t="s">
        <v>1211</v>
      </c>
      <c r="L960" s="334"/>
      <c r="M960" s="334"/>
      <c r="N960" s="334"/>
      <c r="O960" s="334"/>
      <c r="P960" s="334"/>
      <c r="Q960" s="334"/>
      <c r="R960" s="334"/>
      <c r="S960" s="334"/>
      <c r="T960" s="334"/>
      <c r="U960" s="334"/>
      <c r="V960" s="334"/>
      <c r="W960" s="334"/>
      <c r="X960" s="334"/>
      <c r="Y960" s="334"/>
      <c r="Z960" s="334"/>
      <c r="AA960" s="334"/>
      <c r="AB960" s="334"/>
      <c r="AC960" s="334"/>
      <c r="AD960" s="334"/>
    </row>
    <row r="961" ht="16.5" customHeight="1">
      <c r="A961" s="334"/>
      <c r="B961" s="329"/>
      <c r="C961" s="329" t="s">
        <v>585</v>
      </c>
      <c r="D961" s="331" t="s">
        <v>585</v>
      </c>
      <c r="E961" s="331" t="s">
        <v>585</v>
      </c>
      <c r="F961" s="331" t="s">
        <v>585</v>
      </c>
      <c r="G961" s="331">
        <f>iferror(sumifs('Hợp tác'!G:G,'Hợp tác'!A:A,B961,'Hợp tác'!H:H,$G$2,'Hợp tác'!I:I,$I$2),"")</f>
        <v>0</v>
      </c>
      <c r="H961" s="332">
        <f>SUMIF(View!J:J,View!B:B,B961)</f>
        <v>0</v>
      </c>
      <c r="I961" s="332">
        <f>sumifs('Hoa Hồng'!L:L,'Hoa Hồng'!A:A,B961)</f>
        <v>0</v>
      </c>
      <c r="J961" s="332">
        <v>0.0</v>
      </c>
      <c r="K961" s="333" t="s">
        <v>1211</v>
      </c>
      <c r="L961" s="334"/>
      <c r="M961" s="334"/>
      <c r="N961" s="334"/>
      <c r="O961" s="334"/>
      <c r="P961" s="334"/>
      <c r="Q961" s="334"/>
      <c r="R961" s="334"/>
      <c r="S961" s="334"/>
      <c r="T961" s="334"/>
      <c r="U961" s="334"/>
      <c r="V961" s="334"/>
      <c r="W961" s="334"/>
      <c r="X961" s="334"/>
      <c r="Y961" s="334"/>
      <c r="Z961" s="334"/>
      <c r="AA961" s="334"/>
      <c r="AB961" s="334"/>
      <c r="AC961" s="334"/>
      <c r="AD961" s="334"/>
    </row>
    <row r="962" ht="16.5" customHeight="1">
      <c r="A962" s="334"/>
      <c r="B962" s="329"/>
      <c r="C962" s="329" t="s">
        <v>585</v>
      </c>
      <c r="D962" s="331" t="s">
        <v>585</v>
      </c>
      <c r="E962" s="331" t="s">
        <v>585</v>
      </c>
      <c r="F962" s="331" t="s">
        <v>585</v>
      </c>
      <c r="G962" s="331">
        <f>iferror(sumifs('Hợp tác'!G:G,'Hợp tác'!A:A,B962,'Hợp tác'!H:H,$G$2,'Hợp tác'!I:I,$I$2),"")</f>
        <v>0</v>
      </c>
      <c r="H962" s="332">
        <f>SUMIF(View!J:J,View!B:B,B962)</f>
        <v>0</v>
      </c>
      <c r="I962" s="332">
        <f>sumifs('Hoa Hồng'!L:L,'Hoa Hồng'!A:A,B962)</f>
        <v>0</v>
      </c>
      <c r="J962" s="332">
        <v>0.0</v>
      </c>
      <c r="K962" s="333" t="s">
        <v>1211</v>
      </c>
      <c r="L962" s="334"/>
      <c r="M962" s="334"/>
      <c r="N962" s="334"/>
      <c r="O962" s="334"/>
      <c r="P962" s="334"/>
      <c r="Q962" s="334"/>
      <c r="R962" s="334"/>
      <c r="S962" s="334"/>
      <c r="T962" s="334"/>
      <c r="U962" s="334"/>
      <c r="V962" s="334"/>
      <c r="W962" s="334"/>
      <c r="X962" s="334"/>
      <c r="Y962" s="334"/>
      <c r="Z962" s="334"/>
      <c r="AA962" s="334"/>
      <c r="AB962" s="334"/>
      <c r="AC962" s="334"/>
      <c r="AD962" s="334"/>
    </row>
    <row r="963" ht="16.5" customHeight="1">
      <c r="A963" s="334"/>
      <c r="B963" s="329"/>
      <c r="C963" s="329" t="s">
        <v>585</v>
      </c>
      <c r="D963" s="331" t="s">
        <v>585</v>
      </c>
      <c r="E963" s="331" t="s">
        <v>585</v>
      </c>
      <c r="F963" s="331" t="s">
        <v>585</v>
      </c>
      <c r="G963" s="331">
        <f>iferror(sumifs('Hợp tác'!G:G,'Hợp tác'!A:A,B963,'Hợp tác'!H:H,$G$2,'Hợp tác'!I:I,$I$2),"")</f>
        <v>0</v>
      </c>
      <c r="H963" s="332">
        <f>SUMIF(View!J:J,View!B:B,B963)</f>
        <v>0</v>
      </c>
      <c r="I963" s="332">
        <f>sumifs('Hoa Hồng'!L:L,'Hoa Hồng'!A:A,B963)</f>
        <v>0</v>
      </c>
      <c r="J963" s="332">
        <v>0.0</v>
      </c>
      <c r="K963" s="333" t="s">
        <v>1211</v>
      </c>
      <c r="L963" s="334"/>
      <c r="M963" s="334"/>
      <c r="N963" s="334"/>
      <c r="O963" s="334"/>
      <c r="P963" s="334"/>
      <c r="Q963" s="334"/>
      <c r="R963" s="334"/>
      <c r="S963" s="334"/>
      <c r="T963" s="334"/>
      <c r="U963" s="334"/>
      <c r="V963" s="334"/>
      <c r="W963" s="334"/>
      <c r="X963" s="334"/>
      <c r="Y963" s="334"/>
      <c r="Z963" s="334"/>
      <c r="AA963" s="334"/>
      <c r="AB963" s="334"/>
      <c r="AC963" s="334"/>
      <c r="AD963" s="334"/>
    </row>
    <row r="964" ht="16.5" customHeight="1">
      <c r="A964" s="334"/>
      <c r="B964" s="329"/>
      <c r="C964" s="329" t="s">
        <v>585</v>
      </c>
      <c r="D964" s="331" t="s">
        <v>585</v>
      </c>
      <c r="E964" s="331" t="s">
        <v>585</v>
      </c>
      <c r="F964" s="331" t="s">
        <v>585</v>
      </c>
      <c r="G964" s="331">
        <f>iferror(sumifs('Hợp tác'!G:G,'Hợp tác'!A:A,B964,'Hợp tác'!H:H,$G$2,'Hợp tác'!I:I,$I$2),"")</f>
        <v>0</v>
      </c>
      <c r="H964" s="332">
        <f>SUMIF(View!J:J,View!B:B,B964)</f>
        <v>0</v>
      </c>
      <c r="I964" s="332">
        <f>sumifs('Hoa Hồng'!L:L,'Hoa Hồng'!A:A,B964)</f>
        <v>0</v>
      </c>
      <c r="J964" s="332">
        <v>0.0</v>
      </c>
      <c r="K964" s="333" t="s">
        <v>1211</v>
      </c>
      <c r="L964" s="334"/>
      <c r="M964" s="334"/>
      <c r="N964" s="334"/>
      <c r="O964" s="334"/>
      <c r="P964" s="334"/>
      <c r="Q964" s="334"/>
      <c r="R964" s="334"/>
      <c r="S964" s="334"/>
      <c r="T964" s="334"/>
      <c r="U964" s="334"/>
      <c r="V964" s="334"/>
      <c r="W964" s="334"/>
      <c r="X964" s="334"/>
      <c r="Y964" s="334"/>
      <c r="Z964" s="334"/>
      <c r="AA964" s="334"/>
      <c r="AB964" s="334"/>
      <c r="AC964" s="334"/>
      <c r="AD964" s="334"/>
    </row>
    <row r="965" ht="16.5" customHeight="1">
      <c r="A965" s="334"/>
      <c r="B965" s="329"/>
      <c r="C965" s="329" t="s">
        <v>585</v>
      </c>
      <c r="D965" s="331" t="s">
        <v>585</v>
      </c>
      <c r="E965" s="331" t="s">
        <v>585</v>
      </c>
      <c r="F965" s="331" t="s">
        <v>585</v>
      </c>
      <c r="G965" s="331">
        <f>iferror(sumifs('Hợp tác'!G:G,'Hợp tác'!A:A,B965,'Hợp tác'!H:H,$G$2,'Hợp tác'!I:I,$I$2),"")</f>
        <v>0</v>
      </c>
      <c r="H965" s="332">
        <f>SUMIF(View!J:J,View!B:B,B965)</f>
        <v>0</v>
      </c>
      <c r="I965" s="332">
        <f>sumifs('Hoa Hồng'!L:L,'Hoa Hồng'!A:A,B965)</f>
        <v>0</v>
      </c>
      <c r="J965" s="332">
        <v>0.0</v>
      </c>
      <c r="K965" s="333" t="s">
        <v>1211</v>
      </c>
      <c r="L965" s="334"/>
      <c r="M965" s="334"/>
      <c r="N965" s="334"/>
      <c r="O965" s="334"/>
      <c r="P965" s="334"/>
      <c r="Q965" s="334"/>
      <c r="R965" s="334"/>
      <c r="S965" s="334"/>
      <c r="T965" s="334"/>
      <c r="U965" s="334"/>
      <c r="V965" s="334"/>
      <c r="W965" s="334"/>
      <c r="X965" s="334"/>
      <c r="Y965" s="334"/>
      <c r="Z965" s="334"/>
      <c r="AA965" s="334"/>
      <c r="AB965" s="334"/>
      <c r="AC965" s="334"/>
      <c r="AD965" s="334"/>
    </row>
    <row r="966" ht="16.5" customHeight="1">
      <c r="A966" s="334"/>
      <c r="B966" s="329"/>
      <c r="C966" s="329" t="s">
        <v>585</v>
      </c>
      <c r="D966" s="331" t="s">
        <v>585</v>
      </c>
      <c r="E966" s="331" t="s">
        <v>585</v>
      </c>
      <c r="F966" s="331" t="s">
        <v>585</v>
      </c>
      <c r="G966" s="331">
        <f>iferror(sumifs('Hợp tác'!G:G,'Hợp tác'!A:A,B966,'Hợp tác'!H:H,$G$2,'Hợp tác'!I:I,$I$2),"")</f>
        <v>0</v>
      </c>
      <c r="H966" s="332">
        <f>SUMIF(View!J:J,View!B:B,B966)</f>
        <v>0</v>
      </c>
      <c r="I966" s="332">
        <f>sumifs('Hoa Hồng'!L:L,'Hoa Hồng'!A:A,B966)</f>
        <v>0</v>
      </c>
      <c r="J966" s="332">
        <v>0.0</v>
      </c>
      <c r="K966" s="333" t="s">
        <v>1211</v>
      </c>
      <c r="L966" s="334"/>
      <c r="M966" s="334"/>
      <c r="N966" s="334"/>
      <c r="O966" s="334"/>
      <c r="P966" s="334"/>
      <c r="Q966" s="334"/>
      <c r="R966" s="334"/>
      <c r="S966" s="334"/>
      <c r="T966" s="334"/>
      <c r="U966" s="334"/>
      <c r="V966" s="334"/>
      <c r="W966" s="334"/>
      <c r="X966" s="334"/>
      <c r="Y966" s="334"/>
      <c r="Z966" s="334"/>
      <c r="AA966" s="334"/>
      <c r="AB966" s="334"/>
      <c r="AC966" s="334"/>
      <c r="AD966" s="334"/>
    </row>
    <row r="967" ht="16.5" customHeight="1">
      <c r="A967" s="334"/>
      <c r="B967" s="329"/>
      <c r="C967" s="329" t="s">
        <v>585</v>
      </c>
      <c r="D967" s="331" t="s">
        <v>585</v>
      </c>
      <c r="E967" s="331" t="s">
        <v>585</v>
      </c>
      <c r="F967" s="331" t="s">
        <v>585</v>
      </c>
      <c r="G967" s="331">
        <f>iferror(sumifs('Hợp tác'!G:G,'Hợp tác'!A:A,B967,'Hợp tác'!H:H,$G$2,'Hợp tác'!I:I,$I$2),"")</f>
        <v>0</v>
      </c>
      <c r="H967" s="332">
        <f>SUMIF(View!J:J,View!B:B,B967)</f>
        <v>0</v>
      </c>
      <c r="I967" s="332">
        <f>sumifs('Hoa Hồng'!L:L,'Hoa Hồng'!A:A,B967)</f>
        <v>0</v>
      </c>
      <c r="J967" s="332">
        <v>0.0</v>
      </c>
      <c r="K967" s="333" t="s">
        <v>1211</v>
      </c>
      <c r="L967" s="334"/>
      <c r="M967" s="334"/>
      <c r="N967" s="334"/>
      <c r="O967" s="334"/>
      <c r="P967" s="334"/>
      <c r="Q967" s="334"/>
      <c r="R967" s="334"/>
      <c r="S967" s="334"/>
      <c r="T967" s="334"/>
      <c r="U967" s="334"/>
      <c r="V967" s="334"/>
      <c r="W967" s="334"/>
      <c r="X967" s="334"/>
      <c r="Y967" s="334"/>
      <c r="Z967" s="334"/>
      <c r="AA967" s="334"/>
      <c r="AB967" s="334"/>
      <c r="AC967" s="334"/>
      <c r="AD967" s="334"/>
    </row>
    <row r="968" ht="16.5" customHeight="1">
      <c r="A968" s="334"/>
      <c r="B968" s="329"/>
      <c r="C968" s="329" t="s">
        <v>585</v>
      </c>
      <c r="D968" s="331" t="s">
        <v>585</v>
      </c>
      <c r="E968" s="331" t="s">
        <v>585</v>
      </c>
      <c r="F968" s="331" t="s">
        <v>585</v>
      </c>
      <c r="G968" s="331">
        <f>iferror(sumifs('Hợp tác'!G:G,'Hợp tác'!A:A,B968,'Hợp tác'!H:H,$G$2,'Hợp tác'!I:I,$I$2),"")</f>
        <v>0</v>
      </c>
      <c r="H968" s="332">
        <f>SUMIF(View!J:J,View!B:B,B968)</f>
        <v>0</v>
      </c>
      <c r="I968" s="332">
        <f>sumifs('Hoa Hồng'!L:L,'Hoa Hồng'!A:A,B968)</f>
        <v>0</v>
      </c>
      <c r="J968" s="332">
        <v>0.0</v>
      </c>
      <c r="K968" s="333" t="s">
        <v>1211</v>
      </c>
      <c r="L968" s="334"/>
      <c r="M968" s="334"/>
      <c r="N968" s="334"/>
      <c r="O968" s="334"/>
      <c r="P968" s="334"/>
      <c r="Q968" s="334"/>
      <c r="R968" s="334"/>
      <c r="S968" s="334"/>
      <c r="T968" s="334"/>
      <c r="U968" s="334"/>
      <c r="V968" s="334"/>
      <c r="W968" s="334"/>
      <c r="X968" s="334"/>
      <c r="Y968" s="334"/>
      <c r="Z968" s="334"/>
      <c r="AA968" s="334"/>
      <c r="AB968" s="334"/>
      <c r="AC968" s="334"/>
      <c r="AD968" s="334"/>
    </row>
    <row r="969" ht="16.5" customHeight="1">
      <c r="A969" s="334"/>
      <c r="B969" s="329"/>
      <c r="C969" s="329" t="s">
        <v>585</v>
      </c>
      <c r="D969" s="331" t="s">
        <v>585</v>
      </c>
      <c r="E969" s="331" t="s">
        <v>585</v>
      </c>
      <c r="F969" s="331" t="s">
        <v>585</v>
      </c>
      <c r="G969" s="331">
        <f>iferror(sumifs('Hợp tác'!G:G,'Hợp tác'!A:A,B969,'Hợp tác'!H:H,$G$2,'Hợp tác'!I:I,$I$2),"")</f>
        <v>0</v>
      </c>
      <c r="H969" s="332">
        <f>SUMIF(View!J:J,View!B:B,B969)</f>
        <v>0</v>
      </c>
      <c r="I969" s="332">
        <f>sumifs('Hoa Hồng'!L:L,'Hoa Hồng'!A:A,B969)</f>
        <v>0</v>
      </c>
      <c r="J969" s="332">
        <v>0.0</v>
      </c>
      <c r="K969" s="333" t="s">
        <v>1211</v>
      </c>
      <c r="L969" s="334"/>
      <c r="M969" s="334"/>
      <c r="N969" s="334"/>
      <c r="O969" s="334"/>
      <c r="P969" s="334"/>
      <c r="Q969" s="334"/>
      <c r="R969" s="334"/>
      <c r="S969" s="334"/>
      <c r="T969" s="334"/>
      <c r="U969" s="334"/>
      <c r="V969" s="334"/>
      <c r="W969" s="334"/>
      <c r="X969" s="334"/>
      <c r="Y969" s="334"/>
      <c r="Z969" s="334"/>
      <c r="AA969" s="334"/>
      <c r="AB969" s="334"/>
      <c r="AC969" s="334"/>
      <c r="AD969" s="334"/>
    </row>
    <row r="970" ht="16.5" customHeight="1">
      <c r="A970" s="334"/>
      <c r="B970" s="329"/>
      <c r="C970" s="329" t="s">
        <v>585</v>
      </c>
      <c r="D970" s="331" t="s">
        <v>585</v>
      </c>
      <c r="E970" s="331" t="s">
        <v>585</v>
      </c>
      <c r="F970" s="331" t="s">
        <v>585</v>
      </c>
      <c r="G970" s="331">
        <f>iferror(sumifs('Hợp tác'!G:G,'Hợp tác'!A:A,B970,'Hợp tác'!H:H,$G$2,'Hợp tác'!I:I,$I$2),"")</f>
        <v>0</v>
      </c>
      <c r="H970" s="332">
        <f>SUMIF(View!J:J,View!B:B,B970)</f>
        <v>0</v>
      </c>
      <c r="I970" s="332">
        <f>sumifs('Hoa Hồng'!L:L,'Hoa Hồng'!A:A,B970)</f>
        <v>0</v>
      </c>
      <c r="J970" s="332">
        <v>0.0</v>
      </c>
      <c r="K970" s="333" t="s">
        <v>1211</v>
      </c>
      <c r="L970" s="334"/>
      <c r="M970" s="334"/>
      <c r="N970" s="334"/>
      <c r="O970" s="334"/>
      <c r="P970" s="334"/>
      <c r="Q970" s="334"/>
      <c r="R970" s="334"/>
      <c r="S970" s="334"/>
      <c r="T970" s="334"/>
      <c r="U970" s="334"/>
      <c r="V970" s="334"/>
      <c r="W970" s="334"/>
      <c r="X970" s="334"/>
      <c r="Y970" s="334"/>
      <c r="Z970" s="334"/>
      <c r="AA970" s="334"/>
      <c r="AB970" s="334"/>
      <c r="AC970" s="334"/>
      <c r="AD970" s="334"/>
    </row>
    <row r="971" ht="16.5" customHeight="1">
      <c r="A971" s="334"/>
      <c r="B971" s="329"/>
      <c r="C971" s="329" t="s">
        <v>585</v>
      </c>
      <c r="D971" s="331" t="s">
        <v>585</v>
      </c>
      <c r="E971" s="331" t="s">
        <v>585</v>
      </c>
      <c r="F971" s="331" t="s">
        <v>585</v>
      </c>
      <c r="G971" s="331">
        <f>iferror(sumifs('Hợp tác'!G:G,'Hợp tác'!A:A,B971,'Hợp tác'!H:H,$G$2,'Hợp tác'!I:I,$I$2),"")</f>
        <v>0</v>
      </c>
      <c r="H971" s="332">
        <f>SUMIF(View!J:J,View!B:B,B971)</f>
        <v>0</v>
      </c>
      <c r="I971" s="332">
        <f>sumifs('Hoa Hồng'!L:L,'Hoa Hồng'!A:A,B971)</f>
        <v>0</v>
      </c>
      <c r="J971" s="332">
        <v>0.0</v>
      </c>
      <c r="K971" s="333" t="s">
        <v>1211</v>
      </c>
      <c r="L971" s="334"/>
      <c r="M971" s="334"/>
      <c r="N971" s="334"/>
      <c r="O971" s="334"/>
      <c r="P971" s="334"/>
      <c r="Q971" s="334"/>
      <c r="R971" s="334"/>
      <c r="S971" s="334"/>
      <c r="T971" s="334"/>
      <c r="U971" s="334"/>
      <c r="V971" s="334"/>
      <c r="W971" s="334"/>
      <c r="X971" s="334"/>
      <c r="Y971" s="334"/>
      <c r="Z971" s="334"/>
      <c r="AA971" s="334"/>
      <c r="AB971" s="334"/>
      <c r="AC971" s="334"/>
      <c r="AD971" s="334"/>
    </row>
    <row r="972" ht="16.5" customHeight="1">
      <c r="A972" s="334"/>
      <c r="B972" s="329"/>
      <c r="C972" s="329" t="s">
        <v>585</v>
      </c>
      <c r="D972" s="331" t="s">
        <v>585</v>
      </c>
      <c r="E972" s="331" t="s">
        <v>585</v>
      </c>
      <c r="F972" s="331" t="s">
        <v>585</v>
      </c>
      <c r="G972" s="331">
        <f>iferror(sumifs('Hợp tác'!G:G,'Hợp tác'!A:A,B972,'Hợp tác'!H:H,$G$2,'Hợp tác'!I:I,$I$2),"")</f>
        <v>0</v>
      </c>
      <c r="H972" s="332">
        <f>SUMIF(View!J:J,View!B:B,B972)</f>
        <v>0</v>
      </c>
      <c r="I972" s="332">
        <f>sumifs('Hoa Hồng'!L:L,'Hoa Hồng'!A:A,B972)</f>
        <v>0</v>
      </c>
      <c r="J972" s="332">
        <v>0.0</v>
      </c>
      <c r="K972" s="333" t="s">
        <v>1211</v>
      </c>
      <c r="L972" s="334"/>
      <c r="M972" s="334"/>
      <c r="N972" s="334"/>
      <c r="O972" s="334"/>
      <c r="P972" s="334"/>
      <c r="Q972" s="334"/>
      <c r="R972" s="334"/>
      <c r="S972" s="334"/>
      <c r="T972" s="334"/>
      <c r="U972" s="334"/>
      <c r="V972" s="334"/>
      <c r="W972" s="334"/>
      <c r="X972" s="334"/>
      <c r="Y972" s="334"/>
      <c r="Z972" s="334"/>
      <c r="AA972" s="334"/>
      <c r="AB972" s="334"/>
      <c r="AC972" s="334"/>
      <c r="AD972" s="334"/>
    </row>
    <row r="973" ht="16.5" customHeight="1">
      <c r="A973" s="334"/>
      <c r="B973" s="329"/>
      <c r="C973" s="329" t="s">
        <v>585</v>
      </c>
      <c r="D973" s="331" t="s">
        <v>585</v>
      </c>
      <c r="E973" s="331" t="s">
        <v>585</v>
      </c>
      <c r="F973" s="331" t="s">
        <v>585</v>
      </c>
      <c r="G973" s="331">
        <f>iferror(sumifs('Hợp tác'!G:G,'Hợp tác'!A:A,B973,'Hợp tác'!H:H,$G$2,'Hợp tác'!I:I,$I$2),"")</f>
        <v>0</v>
      </c>
      <c r="H973" s="332">
        <f>SUMIF(View!J:J,View!B:B,B973)</f>
        <v>0</v>
      </c>
      <c r="I973" s="332">
        <f>sumifs('Hoa Hồng'!L:L,'Hoa Hồng'!A:A,B973)</f>
        <v>0</v>
      </c>
      <c r="J973" s="332">
        <v>0.0</v>
      </c>
      <c r="K973" s="333" t="s">
        <v>1211</v>
      </c>
      <c r="L973" s="334"/>
      <c r="M973" s="334"/>
      <c r="N973" s="334"/>
      <c r="O973" s="334"/>
      <c r="P973" s="334"/>
      <c r="Q973" s="334"/>
      <c r="R973" s="334"/>
      <c r="S973" s="334"/>
      <c r="T973" s="334"/>
      <c r="U973" s="334"/>
      <c r="V973" s="334"/>
      <c r="W973" s="334"/>
      <c r="X973" s="334"/>
      <c r="Y973" s="334"/>
      <c r="Z973" s="334"/>
      <c r="AA973" s="334"/>
      <c r="AB973" s="334"/>
      <c r="AC973" s="334"/>
      <c r="AD973" s="334"/>
    </row>
    <row r="974" ht="16.5" customHeight="1">
      <c r="A974" s="334"/>
      <c r="B974" s="329"/>
      <c r="C974" s="329" t="s">
        <v>585</v>
      </c>
      <c r="D974" s="331" t="s">
        <v>585</v>
      </c>
      <c r="E974" s="331" t="s">
        <v>585</v>
      </c>
      <c r="F974" s="331" t="s">
        <v>585</v>
      </c>
      <c r="G974" s="331">
        <f>iferror(sumifs('Hợp tác'!G:G,'Hợp tác'!A:A,B974,'Hợp tác'!H:H,$G$2,'Hợp tác'!I:I,$I$2),"")</f>
        <v>0</v>
      </c>
      <c r="H974" s="332">
        <f>SUMIF(View!J:J,View!B:B,B974)</f>
        <v>0</v>
      </c>
      <c r="I974" s="332">
        <f>sumifs('Hoa Hồng'!L:L,'Hoa Hồng'!A:A,B974)</f>
        <v>0</v>
      </c>
      <c r="J974" s="332">
        <v>0.0</v>
      </c>
      <c r="K974" s="333" t="s">
        <v>1211</v>
      </c>
      <c r="L974" s="334"/>
      <c r="M974" s="334"/>
      <c r="N974" s="334"/>
      <c r="O974" s="334"/>
      <c r="P974" s="334"/>
      <c r="Q974" s="334"/>
      <c r="R974" s="334"/>
      <c r="S974" s="334"/>
      <c r="T974" s="334"/>
      <c r="U974" s="334"/>
      <c r="V974" s="334"/>
      <c r="W974" s="334"/>
      <c r="X974" s="334"/>
      <c r="Y974" s="334"/>
      <c r="Z974" s="334"/>
      <c r="AA974" s="334"/>
      <c r="AB974" s="334"/>
      <c r="AC974" s="334"/>
      <c r="AD974" s="334"/>
    </row>
    <row r="975" ht="16.5" customHeight="1">
      <c r="A975" s="334"/>
      <c r="B975" s="329"/>
      <c r="C975" s="329" t="s">
        <v>585</v>
      </c>
      <c r="D975" s="331" t="s">
        <v>585</v>
      </c>
      <c r="E975" s="331" t="s">
        <v>585</v>
      </c>
      <c r="F975" s="331" t="s">
        <v>585</v>
      </c>
      <c r="G975" s="331">
        <f>iferror(sumifs('Hợp tác'!G:G,'Hợp tác'!A:A,B975,'Hợp tác'!H:H,$G$2,'Hợp tác'!I:I,$I$2),"")</f>
        <v>0</v>
      </c>
      <c r="H975" s="332">
        <f>SUMIF(View!J:J,View!B:B,B975)</f>
        <v>0</v>
      </c>
      <c r="I975" s="332">
        <f>sumifs('Hoa Hồng'!L:L,'Hoa Hồng'!A:A,B975)</f>
        <v>0</v>
      </c>
      <c r="J975" s="332">
        <v>0.0</v>
      </c>
      <c r="K975" s="333" t="s">
        <v>1211</v>
      </c>
      <c r="L975" s="334"/>
      <c r="M975" s="334"/>
      <c r="N975" s="334"/>
      <c r="O975" s="334"/>
      <c r="P975" s="334"/>
      <c r="Q975" s="334"/>
      <c r="R975" s="334"/>
      <c r="S975" s="334"/>
      <c r="T975" s="334"/>
      <c r="U975" s="334"/>
      <c r="V975" s="334"/>
      <c r="W975" s="334"/>
      <c r="X975" s="334"/>
      <c r="Y975" s="334"/>
      <c r="Z975" s="334"/>
      <c r="AA975" s="334"/>
      <c r="AB975" s="334"/>
      <c r="AC975" s="334"/>
      <c r="AD975" s="334"/>
    </row>
    <row r="976" ht="16.5" customHeight="1">
      <c r="A976" s="334"/>
      <c r="B976" s="329"/>
      <c r="C976" s="329" t="s">
        <v>585</v>
      </c>
      <c r="D976" s="331" t="s">
        <v>585</v>
      </c>
      <c r="E976" s="331" t="s">
        <v>585</v>
      </c>
      <c r="F976" s="331" t="s">
        <v>585</v>
      </c>
      <c r="G976" s="331">
        <f>iferror(sumifs('Hợp tác'!G:G,'Hợp tác'!A:A,B976,'Hợp tác'!H:H,$G$2,'Hợp tác'!I:I,$I$2),"")</f>
        <v>0</v>
      </c>
      <c r="H976" s="332">
        <f>SUMIF(View!J:J,View!B:B,B976)</f>
        <v>0</v>
      </c>
      <c r="I976" s="332">
        <f>sumifs('Hoa Hồng'!L:L,'Hoa Hồng'!A:A,B976)</f>
        <v>0</v>
      </c>
      <c r="J976" s="332">
        <v>0.0</v>
      </c>
      <c r="K976" s="333" t="s">
        <v>1211</v>
      </c>
      <c r="L976" s="334"/>
      <c r="M976" s="334"/>
      <c r="N976" s="334"/>
      <c r="O976" s="334"/>
      <c r="P976" s="334"/>
      <c r="Q976" s="334"/>
      <c r="R976" s="334"/>
      <c r="S976" s="334"/>
      <c r="T976" s="334"/>
      <c r="U976" s="334"/>
      <c r="V976" s="334"/>
      <c r="W976" s="334"/>
      <c r="X976" s="334"/>
      <c r="Y976" s="334"/>
      <c r="Z976" s="334"/>
      <c r="AA976" s="334"/>
      <c r="AB976" s="334"/>
      <c r="AC976" s="334"/>
      <c r="AD976" s="334"/>
    </row>
    <row r="977" ht="16.5" customHeight="1">
      <c r="A977" s="334"/>
      <c r="B977" s="329"/>
      <c r="C977" s="329" t="s">
        <v>585</v>
      </c>
      <c r="D977" s="331" t="s">
        <v>585</v>
      </c>
      <c r="E977" s="331" t="s">
        <v>585</v>
      </c>
      <c r="F977" s="331" t="s">
        <v>585</v>
      </c>
      <c r="G977" s="331">
        <f>iferror(sumifs('Hợp tác'!G:G,'Hợp tác'!A:A,B977,'Hợp tác'!H:H,$G$2,'Hợp tác'!I:I,$I$2),"")</f>
        <v>0</v>
      </c>
      <c r="H977" s="332">
        <f>SUMIF(View!J:J,View!B:B,B977)</f>
        <v>0</v>
      </c>
      <c r="I977" s="332">
        <f>sumifs('Hoa Hồng'!L:L,'Hoa Hồng'!A:A,B977)</f>
        <v>0</v>
      </c>
      <c r="J977" s="332">
        <v>0.0</v>
      </c>
      <c r="K977" s="333" t="s">
        <v>1211</v>
      </c>
      <c r="L977" s="334"/>
      <c r="M977" s="334"/>
      <c r="N977" s="334"/>
      <c r="O977" s="334"/>
      <c r="P977" s="334"/>
      <c r="Q977" s="334"/>
      <c r="R977" s="334"/>
      <c r="S977" s="334"/>
      <c r="T977" s="334"/>
      <c r="U977" s="334"/>
      <c r="V977" s="334"/>
      <c r="W977" s="334"/>
      <c r="X977" s="334"/>
      <c r="Y977" s="334"/>
      <c r="Z977" s="334"/>
      <c r="AA977" s="334"/>
      <c r="AB977" s="334"/>
      <c r="AC977" s="334"/>
      <c r="AD977" s="334"/>
    </row>
    <row r="978" ht="16.5" customHeight="1">
      <c r="A978" s="334"/>
      <c r="B978" s="329"/>
      <c r="C978" s="329" t="s">
        <v>585</v>
      </c>
      <c r="D978" s="331" t="s">
        <v>585</v>
      </c>
      <c r="E978" s="331" t="s">
        <v>585</v>
      </c>
      <c r="F978" s="331" t="s">
        <v>585</v>
      </c>
      <c r="G978" s="331">
        <f>iferror(sumifs('Hợp tác'!G:G,'Hợp tác'!A:A,B978,'Hợp tác'!H:H,$G$2,'Hợp tác'!I:I,$I$2),"")</f>
        <v>0</v>
      </c>
      <c r="H978" s="332">
        <f>SUMIF(View!J:J,View!B:B,B978)</f>
        <v>0</v>
      </c>
      <c r="I978" s="332">
        <f>sumifs('Hoa Hồng'!L:L,'Hoa Hồng'!A:A,B978)</f>
        <v>0</v>
      </c>
      <c r="J978" s="332">
        <v>0.0</v>
      </c>
      <c r="K978" s="333" t="s">
        <v>1211</v>
      </c>
      <c r="L978" s="334"/>
      <c r="M978" s="334"/>
      <c r="N978" s="334"/>
      <c r="O978" s="334"/>
      <c r="P978" s="334"/>
      <c r="Q978" s="334"/>
      <c r="R978" s="334"/>
      <c r="S978" s="334"/>
      <c r="T978" s="334"/>
      <c r="U978" s="334"/>
      <c r="V978" s="334"/>
      <c r="W978" s="334"/>
      <c r="X978" s="334"/>
      <c r="Y978" s="334"/>
      <c r="Z978" s="334"/>
      <c r="AA978" s="334"/>
      <c r="AB978" s="334"/>
      <c r="AC978" s="334"/>
      <c r="AD978" s="334"/>
    </row>
    <row r="979" ht="16.5" customHeight="1">
      <c r="A979" s="334"/>
      <c r="B979" s="329"/>
      <c r="C979" s="329" t="s">
        <v>585</v>
      </c>
      <c r="D979" s="331" t="s">
        <v>585</v>
      </c>
      <c r="E979" s="331" t="s">
        <v>585</v>
      </c>
      <c r="F979" s="331" t="s">
        <v>585</v>
      </c>
      <c r="G979" s="331">
        <f>iferror(sumifs('Hợp tác'!G:G,'Hợp tác'!A:A,B979,'Hợp tác'!H:H,$G$2,'Hợp tác'!I:I,$I$2),"")</f>
        <v>0</v>
      </c>
      <c r="H979" s="332">
        <f>SUMIF(View!J:J,View!B:B,B979)</f>
        <v>0</v>
      </c>
      <c r="I979" s="332">
        <f>sumifs('Hoa Hồng'!L:L,'Hoa Hồng'!A:A,B979)</f>
        <v>0</v>
      </c>
      <c r="J979" s="332">
        <v>0.0</v>
      </c>
      <c r="K979" s="333" t="s">
        <v>1211</v>
      </c>
      <c r="L979" s="334"/>
      <c r="M979" s="334"/>
      <c r="N979" s="334"/>
      <c r="O979" s="334"/>
      <c r="P979" s="334"/>
      <c r="Q979" s="334"/>
      <c r="R979" s="334"/>
      <c r="S979" s="334"/>
      <c r="T979" s="334"/>
      <c r="U979" s="334"/>
      <c r="V979" s="334"/>
      <c r="W979" s="334"/>
      <c r="X979" s="334"/>
      <c r="Y979" s="334"/>
      <c r="Z979" s="334"/>
      <c r="AA979" s="334"/>
      <c r="AB979" s="334"/>
      <c r="AC979" s="334"/>
      <c r="AD979" s="334"/>
    </row>
    <row r="980" ht="16.5" customHeight="1">
      <c r="A980" s="334"/>
      <c r="B980" s="329"/>
      <c r="C980" s="329" t="s">
        <v>585</v>
      </c>
      <c r="D980" s="331" t="s">
        <v>585</v>
      </c>
      <c r="E980" s="331" t="s">
        <v>585</v>
      </c>
      <c r="F980" s="331" t="s">
        <v>585</v>
      </c>
      <c r="G980" s="331">
        <f>iferror(sumifs('Hợp tác'!G:G,'Hợp tác'!A:A,B980,'Hợp tác'!H:H,$G$2,'Hợp tác'!I:I,$I$2),"")</f>
        <v>0</v>
      </c>
      <c r="H980" s="332">
        <f>SUMIF(View!J:J,View!B:B,B980)</f>
        <v>0</v>
      </c>
      <c r="I980" s="332">
        <f>sumifs('Hoa Hồng'!L:L,'Hoa Hồng'!A:A,B980)</f>
        <v>0</v>
      </c>
      <c r="J980" s="332">
        <v>0.0</v>
      </c>
      <c r="K980" s="333" t="s">
        <v>1211</v>
      </c>
      <c r="L980" s="334"/>
      <c r="M980" s="334"/>
      <c r="N980" s="334"/>
      <c r="O980" s="334"/>
      <c r="P980" s="334"/>
      <c r="Q980" s="334"/>
      <c r="R980" s="334"/>
      <c r="S980" s="334"/>
      <c r="T980" s="334"/>
      <c r="U980" s="334"/>
      <c r="V980" s="334"/>
      <c r="W980" s="334"/>
      <c r="X980" s="334"/>
      <c r="Y980" s="334"/>
      <c r="Z980" s="334"/>
      <c r="AA980" s="334"/>
      <c r="AB980" s="334"/>
      <c r="AC980" s="334"/>
      <c r="AD980" s="334"/>
    </row>
    <row r="981" ht="16.5" customHeight="1">
      <c r="A981" s="334"/>
      <c r="B981" s="329"/>
      <c r="C981" s="329" t="s">
        <v>585</v>
      </c>
      <c r="D981" s="331" t="s">
        <v>585</v>
      </c>
      <c r="E981" s="331" t="s">
        <v>585</v>
      </c>
      <c r="F981" s="331" t="s">
        <v>585</v>
      </c>
      <c r="G981" s="331">
        <f>iferror(sumifs('Hợp tác'!G:G,'Hợp tác'!A:A,B981,'Hợp tác'!H:H,$G$2,'Hợp tác'!I:I,$I$2),"")</f>
        <v>0</v>
      </c>
      <c r="H981" s="332">
        <f>SUMIF(View!J:J,View!B:B,B981)</f>
        <v>0</v>
      </c>
      <c r="I981" s="332">
        <f>sumifs('Hoa Hồng'!L:L,'Hoa Hồng'!A:A,B981)</f>
        <v>0</v>
      </c>
      <c r="J981" s="332">
        <v>0.0</v>
      </c>
      <c r="K981" s="333" t="s">
        <v>1211</v>
      </c>
      <c r="L981" s="334"/>
      <c r="M981" s="334"/>
      <c r="N981" s="334"/>
      <c r="O981" s="334"/>
      <c r="P981" s="334"/>
      <c r="Q981" s="334"/>
      <c r="R981" s="334"/>
      <c r="S981" s="334"/>
      <c r="T981" s="334"/>
      <c r="U981" s="334"/>
      <c r="V981" s="334"/>
      <c r="W981" s="334"/>
      <c r="X981" s="334"/>
      <c r="Y981" s="334"/>
      <c r="Z981" s="334"/>
      <c r="AA981" s="334"/>
      <c r="AB981" s="334"/>
      <c r="AC981" s="334"/>
      <c r="AD981" s="334"/>
    </row>
    <row r="982" ht="16.5" customHeight="1">
      <c r="A982" s="334"/>
      <c r="B982" s="329"/>
      <c r="C982" s="329" t="s">
        <v>585</v>
      </c>
      <c r="D982" s="331" t="s">
        <v>585</v>
      </c>
      <c r="E982" s="331" t="s">
        <v>585</v>
      </c>
      <c r="F982" s="331" t="s">
        <v>585</v>
      </c>
      <c r="G982" s="331">
        <f>iferror(sumifs('Hợp tác'!G:G,'Hợp tác'!A:A,B982,'Hợp tác'!H:H,$G$2,'Hợp tác'!I:I,$I$2),"")</f>
        <v>0</v>
      </c>
      <c r="H982" s="332">
        <f>SUMIF(View!J:J,View!B:B,B982)</f>
        <v>0</v>
      </c>
      <c r="I982" s="332">
        <f>sumifs('Hoa Hồng'!L:L,'Hoa Hồng'!A:A,B982)</f>
        <v>0</v>
      </c>
      <c r="J982" s="332">
        <v>0.0</v>
      </c>
      <c r="K982" s="333" t="s">
        <v>1211</v>
      </c>
      <c r="L982" s="334"/>
      <c r="M982" s="334"/>
      <c r="N982" s="334"/>
      <c r="O982" s="334"/>
      <c r="P982" s="334"/>
      <c r="Q982" s="334"/>
      <c r="R982" s="334"/>
      <c r="S982" s="334"/>
      <c r="T982" s="334"/>
      <c r="U982" s="334"/>
      <c r="V982" s="334"/>
      <c r="W982" s="334"/>
      <c r="X982" s="334"/>
      <c r="Y982" s="334"/>
      <c r="Z982" s="334"/>
      <c r="AA982" s="334"/>
      <c r="AB982" s="334"/>
      <c r="AC982" s="334"/>
      <c r="AD982" s="334"/>
    </row>
    <row r="983" ht="16.5" customHeight="1">
      <c r="A983" s="334"/>
      <c r="B983" s="329"/>
      <c r="C983" s="329" t="s">
        <v>585</v>
      </c>
      <c r="D983" s="331" t="s">
        <v>585</v>
      </c>
      <c r="E983" s="331" t="s">
        <v>585</v>
      </c>
      <c r="F983" s="331" t="s">
        <v>585</v>
      </c>
      <c r="G983" s="331">
        <f>iferror(sumifs('Hợp tác'!G:G,'Hợp tác'!A:A,B983,'Hợp tác'!H:H,$G$2,'Hợp tác'!I:I,$I$2),"")</f>
        <v>0</v>
      </c>
      <c r="H983" s="332">
        <f>SUMIF(View!J:J,View!B:B,B983)</f>
        <v>0</v>
      </c>
      <c r="I983" s="332">
        <f>sumifs('Hoa Hồng'!L:L,'Hoa Hồng'!A:A,B983)</f>
        <v>0</v>
      </c>
      <c r="J983" s="332">
        <v>0.0</v>
      </c>
      <c r="K983" s="333" t="s">
        <v>1211</v>
      </c>
      <c r="L983" s="334"/>
      <c r="M983" s="334"/>
      <c r="N983" s="334"/>
      <c r="O983" s="334"/>
      <c r="P983" s="334"/>
      <c r="Q983" s="334"/>
      <c r="R983" s="334"/>
      <c r="S983" s="334"/>
      <c r="T983" s="334"/>
      <c r="U983" s="334"/>
      <c r="V983" s="334"/>
      <c r="W983" s="334"/>
      <c r="X983" s="334"/>
      <c r="Y983" s="334"/>
      <c r="Z983" s="334"/>
      <c r="AA983" s="334"/>
      <c r="AB983" s="334"/>
      <c r="AC983" s="334"/>
      <c r="AD983" s="334"/>
    </row>
    <row r="984" ht="16.5" customHeight="1">
      <c r="A984" s="334"/>
      <c r="B984" s="329"/>
      <c r="C984" s="329" t="s">
        <v>585</v>
      </c>
      <c r="D984" s="331" t="s">
        <v>585</v>
      </c>
      <c r="E984" s="331" t="s">
        <v>585</v>
      </c>
      <c r="F984" s="331" t="s">
        <v>585</v>
      </c>
      <c r="G984" s="331">
        <f>iferror(sumifs('Hợp tác'!G:G,'Hợp tác'!A:A,B984,'Hợp tác'!H:H,$G$2,'Hợp tác'!I:I,$I$2),"")</f>
        <v>0</v>
      </c>
      <c r="H984" s="332">
        <f>SUMIF(View!J:J,View!B:B,B984)</f>
        <v>0</v>
      </c>
      <c r="I984" s="332">
        <f>sumifs('Hoa Hồng'!L:L,'Hoa Hồng'!A:A,B984)</f>
        <v>0</v>
      </c>
      <c r="J984" s="332">
        <v>0.0</v>
      </c>
      <c r="K984" s="333" t="s">
        <v>1211</v>
      </c>
      <c r="L984" s="334"/>
      <c r="M984" s="334"/>
      <c r="N984" s="334"/>
      <c r="O984" s="334"/>
      <c r="P984" s="334"/>
      <c r="Q984" s="334"/>
      <c r="R984" s="334"/>
      <c r="S984" s="334"/>
      <c r="T984" s="334"/>
      <c r="U984" s="334"/>
      <c r="V984" s="334"/>
      <c r="W984" s="334"/>
      <c r="X984" s="334"/>
      <c r="Y984" s="334"/>
      <c r="Z984" s="334"/>
      <c r="AA984" s="334"/>
      <c r="AB984" s="334"/>
      <c r="AC984" s="334"/>
      <c r="AD984" s="334"/>
    </row>
    <row r="985" ht="16.5" customHeight="1">
      <c r="A985" s="334"/>
      <c r="B985" s="329"/>
      <c r="C985" s="329" t="s">
        <v>585</v>
      </c>
      <c r="D985" s="331" t="s">
        <v>585</v>
      </c>
      <c r="E985" s="331" t="s">
        <v>585</v>
      </c>
      <c r="F985" s="331" t="s">
        <v>585</v>
      </c>
      <c r="G985" s="331">
        <f>iferror(sumifs('Hợp tác'!G:G,'Hợp tác'!A:A,B985,'Hợp tác'!H:H,$G$2,'Hợp tác'!I:I,$I$2),"")</f>
        <v>0</v>
      </c>
      <c r="H985" s="332">
        <f>SUMIF(View!J:J,View!B:B,B985)</f>
        <v>0</v>
      </c>
      <c r="I985" s="332">
        <f>sumifs('Hoa Hồng'!L:L,'Hoa Hồng'!A:A,B985)</f>
        <v>0</v>
      </c>
      <c r="J985" s="332">
        <v>0.0</v>
      </c>
      <c r="K985" s="333" t="s">
        <v>1211</v>
      </c>
      <c r="L985" s="334"/>
      <c r="M985" s="334"/>
      <c r="N985" s="334"/>
      <c r="O985" s="334"/>
      <c r="P985" s="334"/>
      <c r="Q985" s="334"/>
      <c r="R985" s="334"/>
      <c r="S985" s="334"/>
      <c r="T985" s="334"/>
      <c r="U985" s="334"/>
      <c r="V985" s="334"/>
      <c r="W985" s="334"/>
      <c r="X985" s="334"/>
      <c r="Y985" s="334"/>
      <c r="Z985" s="334"/>
      <c r="AA985" s="334"/>
      <c r="AB985" s="334"/>
      <c r="AC985" s="334"/>
      <c r="AD985" s="334"/>
    </row>
    <row r="986" ht="16.5" customHeight="1">
      <c r="A986" s="334"/>
      <c r="B986" s="329"/>
      <c r="C986" s="329" t="s">
        <v>585</v>
      </c>
      <c r="D986" s="331" t="s">
        <v>585</v>
      </c>
      <c r="E986" s="331" t="s">
        <v>585</v>
      </c>
      <c r="F986" s="331" t="s">
        <v>585</v>
      </c>
      <c r="G986" s="331">
        <f>iferror(sumifs('Hợp tác'!G:G,'Hợp tác'!A:A,B986,'Hợp tác'!H:H,$G$2,'Hợp tác'!I:I,$I$2),"")</f>
        <v>0</v>
      </c>
      <c r="H986" s="332">
        <f>SUMIF(View!J:J,View!B:B,B986)</f>
        <v>0</v>
      </c>
      <c r="I986" s="332">
        <f>sumifs('Hoa Hồng'!L:L,'Hoa Hồng'!A:A,B986)</f>
        <v>0</v>
      </c>
      <c r="J986" s="332">
        <v>0.0</v>
      </c>
      <c r="K986" s="333" t="s">
        <v>1211</v>
      </c>
      <c r="L986" s="334"/>
      <c r="M986" s="334"/>
      <c r="N986" s="334"/>
      <c r="O986" s="334"/>
      <c r="P986" s="334"/>
      <c r="Q986" s="334"/>
      <c r="R986" s="334"/>
      <c r="S986" s="334"/>
      <c r="T986" s="334"/>
      <c r="U986" s="334"/>
      <c r="V986" s="334"/>
      <c r="W986" s="334"/>
      <c r="X986" s="334"/>
      <c r="Y986" s="334"/>
      <c r="Z986" s="334"/>
      <c r="AA986" s="334"/>
      <c r="AB986" s="334"/>
      <c r="AC986" s="334"/>
      <c r="AD986" s="334"/>
    </row>
    <row r="987" ht="16.5" customHeight="1">
      <c r="A987" s="334"/>
      <c r="B987" s="329"/>
      <c r="C987" s="329" t="s">
        <v>585</v>
      </c>
      <c r="D987" s="331" t="s">
        <v>585</v>
      </c>
      <c r="E987" s="331" t="s">
        <v>585</v>
      </c>
      <c r="F987" s="331" t="s">
        <v>585</v>
      </c>
      <c r="G987" s="331">
        <f>iferror(sumifs('Hợp tác'!G:G,'Hợp tác'!A:A,B987,'Hợp tác'!H:H,$G$2,'Hợp tác'!I:I,$I$2),"")</f>
        <v>0</v>
      </c>
      <c r="H987" s="332">
        <f>SUMIF(View!J:J,View!B:B,B987)</f>
        <v>0</v>
      </c>
      <c r="I987" s="332">
        <f>sumifs('Hoa Hồng'!L:L,'Hoa Hồng'!A:A,B987)</f>
        <v>0</v>
      </c>
      <c r="J987" s="332">
        <v>0.0</v>
      </c>
      <c r="K987" s="333" t="s">
        <v>1211</v>
      </c>
      <c r="L987" s="334"/>
      <c r="M987" s="334"/>
      <c r="N987" s="334"/>
      <c r="O987" s="334"/>
      <c r="P987" s="334"/>
      <c r="Q987" s="334"/>
      <c r="R987" s="334"/>
      <c r="S987" s="334"/>
      <c r="T987" s="334"/>
      <c r="U987" s="334"/>
      <c r="V987" s="334"/>
      <c r="W987" s="334"/>
      <c r="X987" s="334"/>
      <c r="Y987" s="334"/>
      <c r="Z987" s="334"/>
      <c r="AA987" s="334"/>
      <c r="AB987" s="334"/>
      <c r="AC987" s="334"/>
      <c r="AD987" s="334"/>
    </row>
    <row r="988" ht="16.5" customHeight="1">
      <c r="A988" s="334"/>
      <c r="B988" s="329"/>
      <c r="C988" s="329" t="s">
        <v>585</v>
      </c>
      <c r="D988" s="331" t="s">
        <v>585</v>
      </c>
      <c r="E988" s="331" t="s">
        <v>585</v>
      </c>
      <c r="F988" s="331" t="s">
        <v>585</v>
      </c>
      <c r="G988" s="331">
        <f>iferror(sumifs('Hợp tác'!G:G,'Hợp tác'!A:A,B988,'Hợp tác'!H:H,$G$2,'Hợp tác'!I:I,$I$2),"")</f>
        <v>0</v>
      </c>
      <c r="H988" s="332">
        <f>SUMIF(View!J:J,View!B:B,B988)</f>
        <v>0</v>
      </c>
      <c r="I988" s="332">
        <f>sumifs('Hoa Hồng'!L:L,'Hoa Hồng'!A:A,B988)</f>
        <v>0</v>
      </c>
      <c r="J988" s="332">
        <v>0.0</v>
      </c>
      <c r="K988" s="333" t="s">
        <v>1211</v>
      </c>
      <c r="L988" s="334"/>
      <c r="M988" s="334"/>
      <c r="N988" s="334"/>
      <c r="O988" s="334"/>
      <c r="P988" s="334"/>
      <c r="Q988" s="334"/>
      <c r="R988" s="334"/>
      <c r="S988" s="334"/>
      <c r="T988" s="334"/>
      <c r="U988" s="334"/>
      <c r="V988" s="334"/>
      <c r="W988" s="334"/>
      <c r="X988" s="334"/>
      <c r="Y988" s="334"/>
      <c r="Z988" s="334"/>
      <c r="AA988" s="334"/>
      <c r="AB988" s="334"/>
      <c r="AC988" s="334"/>
      <c r="AD988" s="334"/>
    </row>
    <row r="989" ht="16.5" customHeight="1">
      <c r="A989" s="334"/>
      <c r="B989" s="329"/>
      <c r="C989" s="329" t="s">
        <v>585</v>
      </c>
      <c r="D989" s="331" t="s">
        <v>585</v>
      </c>
      <c r="E989" s="331" t="s">
        <v>585</v>
      </c>
      <c r="F989" s="331" t="s">
        <v>585</v>
      </c>
      <c r="G989" s="331">
        <f>iferror(sumifs('Hợp tác'!G:G,'Hợp tác'!A:A,B989,'Hợp tác'!H:H,$G$2,'Hợp tác'!I:I,$I$2),"")</f>
        <v>0</v>
      </c>
      <c r="H989" s="332">
        <f>SUMIF(View!J:J,View!B:B,B989)</f>
        <v>0</v>
      </c>
      <c r="I989" s="332">
        <f>sumifs('Hoa Hồng'!L:L,'Hoa Hồng'!A:A,B989)</f>
        <v>0</v>
      </c>
      <c r="J989" s="332">
        <v>0.0</v>
      </c>
      <c r="K989" s="333" t="s">
        <v>1211</v>
      </c>
      <c r="L989" s="334"/>
      <c r="M989" s="334"/>
      <c r="N989" s="334"/>
      <c r="O989" s="334"/>
      <c r="P989" s="334"/>
      <c r="Q989" s="334"/>
      <c r="R989" s="334"/>
      <c r="S989" s="334"/>
      <c r="T989" s="334"/>
      <c r="U989" s="334"/>
      <c r="V989" s="334"/>
      <c r="W989" s="334"/>
      <c r="X989" s="334"/>
      <c r="Y989" s="334"/>
      <c r="Z989" s="334"/>
      <c r="AA989" s="334"/>
      <c r="AB989" s="334"/>
      <c r="AC989" s="334"/>
      <c r="AD989" s="334"/>
    </row>
    <row r="990" ht="16.5" customHeight="1">
      <c r="A990" s="334"/>
      <c r="B990" s="329"/>
      <c r="C990" s="329" t="s">
        <v>585</v>
      </c>
      <c r="D990" s="331" t="s">
        <v>585</v>
      </c>
      <c r="E990" s="331" t="s">
        <v>585</v>
      </c>
      <c r="F990" s="331" t="s">
        <v>585</v>
      </c>
      <c r="G990" s="331">
        <f>iferror(sumifs('Hợp tác'!G:G,'Hợp tác'!A:A,B990,'Hợp tác'!H:H,$G$2,'Hợp tác'!I:I,$I$2),"")</f>
        <v>0</v>
      </c>
      <c r="H990" s="332">
        <f>SUMIF(View!J:J,View!B:B,B990)</f>
        <v>0</v>
      </c>
      <c r="I990" s="332">
        <f>sumifs('Hoa Hồng'!L:L,'Hoa Hồng'!A:A,B990)</f>
        <v>0</v>
      </c>
      <c r="J990" s="332">
        <v>0.0</v>
      </c>
      <c r="K990" s="333" t="s">
        <v>1211</v>
      </c>
      <c r="L990" s="334"/>
      <c r="M990" s="334"/>
      <c r="N990" s="334"/>
      <c r="O990" s="334"/>
      <c r="P990" s="334"/>
      <c r="Q990" s="334"/>
      <c r="R990" s="334"/>
      <c r="S990" s="334"/>
      <c r="T990" s="334"/>
      <c r="U990" s="334"/>
      <c r="V990" s="334"/>
      <c r="W990" s="334"/>
      <c r="X990" s="334"/>
      <c r="Y990" s="334"/>
      <c r="Z990" s="334"/>
      <c r="AA990" s="334"/>
      <c r="AB990" s="334"/>
      <c r="AC990" s="334"/>
      <c r="AD990" s="334"/>
    </row>
    <row r="991" ht="16.5" customHeight="1">
      <c r="A991" s="334"/>
      <c r="B991" s="329"/>
      <c r="C991" s="329" t="s">
        <v>585</v>
      </c>
      <c r="D991" s="331" t="s">
        <v>585</v>
      </c>
      <c r="E991" s="331" t="s">
        <v>585</v>
      </c>
      <c r="F991" s="331" t="s">
        <v>585</v>
      </c>
      <c r="G991" s="331">
        <f>iferror(sumifs('Hợp tác'!G:G,'Hợp tác'!A:A,B991,'Hợp tác'!H:H,$G$2,'Hợp tác'!I:I,$I$2),"")</f>
        <v>0</v>
      </c>
      <c r="H991" s="332">
        <f>SUMIF(View!J:J,View!B:B,B991)</f>
        <v>0</v>
      </c>
      <c r="I991" s="332">
        <f>sumifs('Hoa Hồng'!L:L,'Hoa Hồng'!A:A,B991)</f>
        <v>0</v>
      </c>
      <c r="J991" s="332">
        <v>0.0</v>
      </c>
      <c r="K991" s="333" t="s">
        <v>1211</v>
      </c>
      <c r="L991" s="334"/>
      <c r="M991" s="334"/>
      <c r="N991" s="334"/>
      <c r="O991" s="334"/>
      <c r="P991" s="334"/>
      <c r="Q991" s="334"/>
      <c r="R991" s="334"/>
      <c r="S991" s="334"/>
      <c r="T991" s="334"/>
      <c r="U991" s="334"/>
      <c r="V991" s="334"/>
      <c r="W991" s="334"/>
      <c r="X991" s="334"/>
      <c r="Y991" s="334"/>
      <c r="Z991" s="334"/>
      <c r="AA991" s="334"/>
      <c r="AB991" s="334"/>
      <c r="AC991" s="334"/>
      <c r="AD991" s="334"/>
    </row>
    <row r="992" ht="16.5" customHeight="1">
      <c r="A992" s="334"/>
      <c r="B992" s="329"/>
      <c r="C992" s="329" t="s">
        <v>585</v>
      </c>
      <c r="D992" s="331" t="s">
        <v>585</v>
      </c>
      <c r="E992" s="331" t="s">
        <v>585</v>
      </c>
      <c r="F992" s="331" t="s">
        <v>585</v>
      </c>
      <c r="G992" s="331">
        <f>iferror(sumifs('Hợp tác'!G:G,'Hợp tác'!A:A,B992,'Hợp tác'!H:H,$G$2,'Hợp tác'!I:I,$I$2),"")</f>
        <v>0</v>
      </c>
      <c r="H992" s="332">
        <f>SUMIF(View!J:J,View!B:B,B992)</f>
        <v>0</v>
      </c>
      <c r="I992" s="332">
        <f>sumifs('Hoa Hồng'!L:L,'Hoa Hồng'!A:A,B992)</f>
        <v>0</v>
      </c>
      <c r="J992" s="332">
        <v>0.0</v>
      </c>
      <c r="K992" s="333" t="s">
        <v>1211</v>
      </c>
      <c r="L992" s="334"/>
      <c r="M992" s="334"/>
      <c r="N992" s="334"/>
      <c r="O992" s="334"/>
      <c r="P992" s="334"/>
      <c r="Q992" s="334"/>
      <c r="R992" s="334"/>
      <c r="S992" s="334"/>
      <c r="T992" s="334"/>
      <c r="U992" s="334"/>
      <c r="V992" s="334"/>
      <c r="W992" s="334"/>
      <c r="X992" s="334"/>
      <c r="Y992" s="334"/>
      <c r="Z992" s="334"/>
      <c r="AA992" s="334"/>
      <c r="AB992" s="334"/>
      <c r="AC992" s="334"/>
      <c r="AD992" s="334"/>
    </row>
    <row r="993" ht="16.5" customHeight="1">
      <c r="A993" s="334"/>
      <c r="B993" s="329"/>
      <c r="C993" s="329" t="s">
        <v>585</v>
      </c>
      <c r="D993" s="331" t="s">
        <v>585</v>
      </c>
      <c r="E993" s="331" t="s">
        <v>585</v>
      </c>
      <c r="F993" s="331" t="s">
        <v>585</v>
      </c>
      <c r="G993" s="331">
        <f>iferror(sumifs('Hợp tác'!G:G,'Hợp tác'!A:A,B993,'Hợp tác'!H:H,$G$2,'Hợp tác'!I:I,$I$2),"")</f>
        <v>0</v>
      </c>
      <c r="H993" s="332">
        <f>SUMIF(View!J:J,View!B:B,B993)</f>
        <v>0</v>
      </c>
      <c r="I993" s="332">
        <f>sumifs('Hoa Hồng'!L:L,'Hoa Hồng'!A:A,B993)</f>
        <v>0</v>
      </c>
      <c r="J993" s="332">
        <v>0.0</v>
      </c>
      <c r="K993" s="333" t="s">
        <v>1211</v>
      </c>
      <c r="L993" s="334"/>
      <c r="M993" s="334"/>
      <c r="N993" s="334"/>
      <c r="O993" s="334"/>
      <c r="P993" s="334"/>
      <c r="Q993" s="334"/>
      <c r="R993" s="334"/>
      <c r="S993" s="334"/>
      <c r="T993" s="334"/>
      <c r="U993" s="334"/>
      <c r="V993" s="334"/>
      <c r="W993" s="334"/>
      <c r="X993" s="334"/>
      <c r="Y993" s="334"/>
      <c r="Z993" s="334"/>
      <c r="AA993" s="334"/>
      <c r="AB993" s="334"/>
      <c r="AC993" s="334"/>
      <c r="AD993" s="334"/>
    </row>
    <row r="994" ht="16.5" customHeight="1">
      <c r="A994" s="334"/>
      <c r="B994" s="329"/>
      <c r="C994" s="329" t="s">
        <v>585</v>
      </c>
      <c r="D994" s="331" t="s">
        <v>585</v>
      </c>
      <c r="E994" s="331" t="s">
        <v>585</v>
      </c>
      <c r="F994" s="331" t="s">
        <v>585</v>
      </c>
      <c r="G994" s="331">
        <f>iferror(sumifs('Hợp tác'!G:G,'Hợp tác'!A:A,B994,'Hợp tác'!H:H,$G$2,'Hợp tác'!I:I,$I$2),"")</f>
        <v>0</v>
      </c>
      <c r="H994" s="332">
        <f>SUMIF(View!J:J,View!B:B,B994)</f>
        <v>0</v>
      </c>
      <c r="I994" s="332">
        <f>sumifs('Hoa Hồng'!L:L,'Hoa Hồng'!A:A,B994)</f>
        <v>0</v>
      </c>
      <c r="J994" s="332">
        <v>0.0</v>
      </c>
      <c r="K994" s="333" t="s">
        <v>1211</v>
      </c>
      <c r="L994" s="334"/>
      <c r="M994" s="334"/>
      <c r="N994" s="334"/>
      <c r="O994" s="334"/>
      <c r="P994" s="334"/>
      <c r="Q994" s="334"/>
      <c r="R994" s="334"/>
      <c r="S994" s="334"/>
      <c r="T994" s="334"/>
      <c r="U994" s="334"/>
      <c r="V994" s="334"/>
      <c r="W994" s="334"/>
      <c r="X994" s="334"/>
      <c r="Y994" s="334"/>
      <c r="Z994" s="334"/>
      <c r="AA994" s="334"/>
      <c r="AB994" s="334"/>
      <c r="AC994" s="334"/>
      <c r="AD994" s="334"/>
    </row>
    <row r="995" ht="16.5" customHeight="1">
      <c r="A995" s="334"/>
      <c r="B995" s="329"/>
      <c r="C995" s="329" t="s">
        <v>585</v>
      </c>
      <c r="D995" s="331" t="s">
        <v>585</v>
      </c>
      <c r="E995" s="331" t="s">
        <v>585</v>
      </c>
      <c r="F995" s="331" t="s">
        <v>585</v>
      </c>
      <c r="G995" s="331">
        <f>iferror(sumifs('Hợp tác'!G:G,'Hợp tác'!A:A,B995,'Hợp tác'!H:H,$G$2,'Hợp tác'!I:I,$I$2),"")</f>
        <v>0</v>
      </c>
      <c r="H995" s="332">
        <f>SUMIF(View!J:J,View!B:B,B995)</f>
        <v>0</v>
      </c>
      <c r="I995" s="332">
        <f>sumifs('Hoa Hồng'!L:L,'Hoa Hồng'!A:A,B995)</f>
        <v>0</v>
      </c>
      <c r="J995" s="332">
        <v>0.0</v>
      </c>
      <c r="K995" s="333" t="s">
        <v>1211</v>
      </c>
      <c r="L995" s="334"/>
      <c r="M995" s="334"/>
      <c r="N995" s="334"/>
      <c r="O995" s="334"/>
      <c r="P995" s="334"/>
      <c r="Q995" s="334"/>
      <c r="R995" s="334"/>
      <c r="S995" s="334"/>
      <c r="T995" s="334"/>
      <c r="U995" s="334"/>
      <c r="V995" s="334"/>
      <c r="W995" s="334"/>
      <c r="X995" s="334"/>
      <c r="Y995" s="334"/>
      <c r="Z995" s="334"/>
      <c r="AA995" s="334"/>
      <c r="AB995" s="334"/>
      <c r="AC995" s="334"/>
      <c r="AD995" s="334"/>
    </row>
    <row r="996" ht="16.5" customHeight="1">
      <c r="A996" s="334"/>
      <c r="B996" s="329"/>
      <c r="C996" s="329" t="s">
        <v>585</v>
      </c>
      <c r="D996" s="331" t="s">
        <v>585</v>
      </c>
      <c r="E996" s="331" t="s">
        <v>585</v>
      </c>
      <c r="F996" s="331" t="s">
        <v>585</v>
      </c>
      <c r="G996" s="331">
        <f>iferror(sumifs('Hợp tác'!G:G,'Hợp tác'!A:A,B996,'Hợp tác'!H:H,$G$2,'Hợp tác'!I:I,$I$2),"")</f>
        <v>0</v>
      </c>
      <c r="H996" s="332">
        <f>SUMIF(View!J:J,View!B:B,B996)</f>
        <v>0</v>
      </c>
      <c r="I996" s="332">
        <f>sumifs('Hoa Hồng'!L:L,'Hoa Hồng'!A:A,B996)</f>
        <v>0</v>
      </c>
      <c r="J996" s="332">
        <v>0.0</v>
      </c>
      <c r="K996" s="333" t="s">
        <v>1211</v>
      </c>
      <c r="L996" s="334"/>
      <c r="M996" s="334"/>
      <c r="N996" s="334"/>
      <c r="O996" s="334"/>
      <c r="P996" s="334"/>
      <c r="Q996" s="334"/>
      <c r="R996" s="334"/>
      <c r="S996" s="334"/>
      <c r="T996" s="334"/>
      <c r="U996" s="334"/>
      <c r="V996" s="334"/>
      <c r="W996" s="334"/>
      <c r="X996" s="334"/>
      <c r="Y996" s="334"/>
      <c r="Z996" s="334"/>
      <c r="AA996" s="334"/>
      <c r="AB996" s="334"/>
      <c r="AC996" s="334"/>
      <c r="AD996" s="334"/>
    </row>
    <row r="997" ht="16.5" customHeight="1">
      <c r="A997" s="334"/>
      <c r="B997" s="329"/>
      <c r="C997" s="329" t="s">
        <v>585</v>
      </c>
      <c r="D997" s="331" t="s">
        <v>585</v>
      </c>
      <c r="E997" s="331" t="s">
        <v>585</v>
      </c>
      <c r="F997" s="331" t="s">
        <v>585</v>
      </c>
      <c r="G997" s="331">
        <f>iferror(sumifs('Hợp tác'!G:G,'Hợp tác'!A:A,B997,'Hợp tác'!H:H,$G$2,'Hợp tác'!I:I,$I$2),"")</f>
        <v>0</v>
      </c>
      <c r="H997" s="332">
        <f>SUMIF(View!J:J,View!B:B,B997)</f>
        <v>0</v>
      </c>
      <c r="I997" s="332">
        <f>sumifs('Hoa Hồng'!L:L,'Hoa Hồng'!A:A,B997)</f>
        <v>0</v>
      </c>
      <c r="J997" s="332">
        <v>0.0</v>
      </c>
      <c r="K997" s="333" t="s">
        <v>1211</v>
      </c>
      <c r="L997" s="334"/>
      <c r="M997" s="334"/>
      <c r="N997" s="334"/>
      <c r="O997" s="334"/>
      <c r="P997" s="334"/>
      <c r="Q997" s="334"/>
      <c r="R997" s="334"/>
      <c r="S997" s="334"/>
      <c r="T997" s="334"/>
      <c r="U997" s="334"/>
      <c r="V997" s="334"/>
      <c r="W997" s="334"/>
      <c r="X997" s="334"/>
      <c r="Y997" s="334"/>
      <c r="Z997" s="334"/>
      <c r="AA997" s="334"/>
      <c r="AB997" s="334"/>
      <c r="AC997" s="334"/>
      <c r="AD997" s="334"/>
    </row>
    <row r="998" ht="16.5" customHeight="1">
      <c r="A998" s="334"/>
      <c r="B998" s="329"/>
      <c r="C998" s="329" t="s">
        <v>585</v>
      </c>
      <c r="D998" s="331" t="s">
        <v>585</v>
      </c>
      <c r="E998" s="331" t="s">
        <v>585</v>
      </c>
      <c r="F998" s="331" t="s">
        <v>585</v>
      </c>
      <c r="G998" s="331">
        <f>iferror(sumifs('Hợp tác'!G:G,'Hợp tác'!A:A,B998,'Hợp tác'!H:H,$G$2,'Hợp tác'!I:I,$I$2),"")</f>
        <v>0</v>
      </c>
      <c r="H998" s="332">
        <f>SUMIF(View!J:J,View!B:B,B998)</f>
        <v>0</v>
      </c>
      <c r="I998" s="332">
        <f>sumifs('Hoa Hồng'!L:L,'Hoa Hồng'!A:A,B998)</f>
        <v>0</v>
      </c>
      <c r="J998" s="332">
        <v>0.0</v>
      </c>
      <c r="K998" s="333" t="s">
        <v>1211</v>
      </c>
      <c r="L998" s="334"/>
      <c r="M998" s="334"/>
      <c r="N998" s="334"/>
      <c r="O998" s="334"/>
      <c r="P998" s="334"/>
      <c r="Q998" s="334"/>
      <c r="R998" s="334"/>
      <c r="S998" s="334"/>
      <c r="T998" s="334"/>
      <c r="U998" s="334"/>
      <c r="V998" s="334"/>
      <c r="W998" s="334"/>
      <c r="X998" s="334"/>
      <c r="Y998" s="334"/>
      <c r="Z998" s="334"/>
      <c r="AA998" s="334"/>
      <c r="AB998" s="334"/>
      <c r="AC998" s="334"/>
      <c r="AD998" s="334"/>
    </row>
    <row r="999" ht="16.5" customHeight="1">
      <c r="A999" s="334"/>
      <c r="B999" s="329"/>
      <c r="C999" s="329" t="s">
        <v>585</v>
      </c>
      <c r="D999" s="331" t="s">
        <v>585</v>
      </c>
      <c r="E999" s="331" t="s">
        <v>585</v>
      </c>
      <c r="F999" s="331" t="s">
        <v>585</v>
      </c>
      <c r="G999" s="331">
        <f>iferror(sumifs('Hợp tác'!G:G,'Hợp tác'!A:A,B999,'Hợp tác'!H:H,$G$2,'Hợp tác'!I:I,$I$2),"")</f>
        <v>0</v>
      </c>
      <c r="H999" s="332">
        <f>SUMIF(View!J:J,View!B:B,B999)</f>
        <v>0</v>
      </c>
      <c r="I999" s="332">
        <f>sumifs('Hoa Hồng'!L:L,'Hoa Hồng'!A:A,B999)</f>
        <v>0</v>
      </c>
      <c r="J999" s="332">
        <v>0.0</v>
      </c>
      <c r="K999" s="333" t="s">
        <v>1211</v>
      </c>
      <c r="L999" s="334"/>
      <c r="M999" s="334"/>
      <c r="N999" s="334"/>
      <c r="O999" s="334"/>
      <c r="P999" s="334"/>
      <c r="Q999" s="334"/>
      <c r="R999" s="334"/>
      <c r="S999" s="334"/>
      <c r="T999" s="334"/>
      <c r="U999" s="334"/>
      <c r="V999" s="334"/>
      <c r="W999" s="334"/>
      <c r="X999" s="334"/>
      <c r="Y999" s="334"/>
      <c r="Z999" s="334"/>
      <c r="AA999" s="334"/>
      <c r="AB999" s="334"/>
      <c r="AC999" s="334"/>
      <c r="AD999" s="334"/>
    </row>
    <row r="1000" ht="16.5" customHeight="1">
      <c r="A1000" s="334"/>
      <c r="B1000" s="329"/>
      <c r="C1000" s="329" t="s">
        <v>585</v>
      </c>
      <c r="D1000" s="331" t="s">
        <v>585</v>
      </c>
      <c r="E1000" s="331" t="s">
        <v>585</v>
      </c>
      <c r="F1000" s="331" t="s">
        <v>585</v>
      </c>
      <c r="G1000" s="331">
        <f>iferror(sumifs('Hợp tác'!G:G,'Hợp tác'!A:A,B1000,'Hợp tác'!H:H,$G$2,'Hợp tác'!I:I,$I$2),"")</f>
        <v>0</v>
      </c>
      <c r="H1000" s="332">
        <f>SUMIF(View!J:J,View!B:B,B1000)</f>
        <v>0</v>
      </c>
      <c r="I1000" s="332">
        <f>sumifs('Hoa Hồng'!L:L,'Hoa Hồng'!A:A,B1000)</f>
        <v>0</v>
      </c>
      <c r="J1000" s="332">
        <v>0.0</v>
      </c>
      <c r="K1000" s="333" t="s">
        <v>1211</v>
      </c>
      <c r="L1000" s="334"/>
      <c r="M1000" s="334"/>
      <c r="N1000" s="334"/>
      <c r="O1000" s="334"/>
      <c r="P1000" s="334"/>
      <c r="Q1000" s="334"/>
      <c r="R1000" s="334"/>
      <c r="S1000" s="334"/>
      <c r="T1000" s="334"/>
      <c r="U1000" s="334"/>
      <c r="V1000" s="334"/>
      <c r="W1000" s="334"/>
      <c r="X1000" s="334"/>
      <c r="Y1000" s="334"/>
      <c r="Z1000" s="334"/>
      <c r="AA1000" s="334"/>
      <c r="AB1000" s="334"/>
      <c r="AC1000" s="334"/>
      <c r="AD1000" s="334"/>
    </row>
    <row r="1001" ht="16.5" customHeight="1">
      <c r="A1001" s="334"/>
      <c r="B1001" s="329"/>
      <c r="C1001" s="329" t="s">
        <v>585</v>
      </c>
      <c r="D1001" s="331" t="s">
        <v>585</v>
      </c>
      <c r="E1001" s="331" t="s">
        <v>585</v>
      </c>
      <c r="F1001" s="331" t="s">
        <v>585</v>
      </c>
      <c r="G1001" s="331">
        <f>iferror(sumifs('Hợp tác'!G:G,'Hợp tác'!A:A,B1001,'Hợp tác'!H:H,$G$2,'Hợp tác'!I:I,$I$2),"")</f>
        <v>0</v>
      </c>
      <c r="H1001" s="332">
        <f>SUMIF(View!J:J,View!B:B,B1001)</f>
        <v>0</v>
      </c>
      <c r="I1001" s="332">
        <f>sumifs('Hoa Hồng'!L:L,'Hoa Hồng'!A:A,B1001)</f>
        <v>0</v>
      </c>
      <c r="J1001" s="332">
        <v>0.0</v>
      </c>
      <c r="K1001" s="333" t="s">
        <v>1211</v>
      </c>
      <c r="L1001" s="334"/>
      <c r="M1001" s="334"/>
      <c r="N1001" s="334"/>
      <c r="O1001" s="334"/>
      <c r="P1001" s="334"/>
      <c r="Q1001" s="334"/>
      <c r="R1001" s="334"/>
      <c r="S1001" s="334"/>
      <c r="T1001" s="334"/>
      <c r="U1001" s="334"/>
      <c r="V1001" s="334"/>
      <c r="W1001" s="334"/>
      <c r="X1001" s="334"/>
      <c r="Y1001" s="334"/>
      <c r="Z1001" s="334"/>
      <c r="AA1001" s="334"/>
      <c r="AB1001" s="334"/>
      <c r="AC1001" s="334"/>
      <c r="AD1001" s="334"/>
    </row>
    <row r="1002" ht="16.5" customHeight="1">
      <c r="A1002" s="334"/>
      <c r="B1002" s="329"/>
      <c r="C1002" s="329" t="s">
        <v>585</v>
      </c>
      <c r="D1002" s="331" t="s">
        <v>585</v>
      </c>
      <c r="E1002" s="331" t="s">
        <v>585</v>
      </c>
      <c r="F1002" s="331" t="s">
        <v>585</v>
      </c>
      <c r="G1002" s="331">
        <f>iferror(sumifs('Hợp tác'!G:G,'Hợp tác'!A:A,B1002,'Hợp tác'!H:H,$G$2,'Hợp tác'!I:I,$I$2),"")</f>
        <v>0</v>
      </c>
      <c r="H1002" s="332">
        <f>SUMIF(View!J:J,View!B:B,B1002)</f>
        <v>0</v>
      </c>
      <c r="I1002" s="332">
        <f>sumifs('Hoa Hồng'!L:L,'Hoa Hồng'!A:A,B1002)</f>
        <v>0</v>
      </c>
      <c r="J1002" s="332">
        <v>0.0</v>
      </c>
      <c r="K1002" s="333" t="s">
        <v>1211</v>
      </c>
      <c r="L1002" s="334"/>
      <c r="M1002" s="334"/>
      <c r="N1002" s="334"/>
      <c r="O1002" s="334"/>
      <c r="P1002" s="334"/>
      <c r="Q1002" s="334"/>
      <c r="R1002" s="334"/>
      <c r="S1002" s="334"/>
      <c r="T1002" s="334"/>
      <c r="U1002" s="334"/>
      <c r="V1002" s="334"/>
      <c r="W1002" s="334"/>
      <c r="X1002" s="334"/>
      <c r="Y1002" s="334"/>
      <c r="Z1002" s="334"/>
      <c r="AA1002" s="334"/>
      <c r="AB1002" s="334"/>
      <c r="AC1002" s="334"/>
      <c r="AD1002" s="334"/>
    </row>
  </sheetData>
  <autoFilter ref="$A$1"/>
  <customSheetViews>
    <customSheetView guid="{1E6C9B4D-32F5-4B07-AAB1-AB231243A69C}" filter="1" showAutoFilter="1">
      <autoFilter ref="$A$2:$AD$1002">
        <filterColumn colId="9">
          <filters>
            <filter val="1,000,000"/>
            <filter val="3,500,000"/>
            <filter val="2,500,000"/>
            <filter val="2,000,000"/>
            <filter val="12,000,000"/>
            <filter val="1,500,000"/>
            <filter val="18,000,000"/>
            <filter val="51,000,000"/>
            <filter val="20,000,000"/>
            <filter val="10,500,000"/>
            <filter val="17,500,000"/>
            <filter val="18,500,000"/>
            <filter val="500,000"/>
            <filter val="Tổng tiền"/>
            <filter val="5,000,000"/>
            <filter val="15,000,000"/>
            <filter val="22,500,000"/>
            <filter val="3,000,000"/>
            <filter val="4,000,000"/>
            <filter val="52,500,000"/>
            <filter val="9,000,000"/>
            <filter val="13,500,000"/>
          </filters>
        </filterColumn>
      </autoFilter>
    </customSheetView>
  </customSheetViews>
  <conditionalFormatting sqref="G4:J1002">
    <cfRule type="cellIs" dxfId="0" priority="1" operator="greaterThan">
      <formula>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0.0"/>
    <col customWidth="1" min="3" max="3" width="11.0"/>
    <col customWidth="1" min="4" max="7" width="21.71"/>
    <col customWidth="1" min="8" max="8" width="25.86"/>
  </cols>
  <sheetData>
    <row r="1">
      <c r="A1" s="122"/>
    </row>
    <row r="2">
      <c r="A2" s="342" t="s">
        <v>409</v>
      </c>
      <c r="B2" s="342" t="s">
        <v>415</v>
      </c>
      <c r="C2" s="342" t="s">
        <v>416</v>
      </c>
      <c r="D2" s="342" t="s">
        <v>1869</v>
      </c>
      <c r="E2" s="342" t="s">
        <v>1870</v>
      </c>
      <c r="F2" s="342" t="s">
        <v>1871</v>
      </c>
      <c r="G2" s="342" t="s">
        <v>1872</v>
      </c>
      <c r="H2" s="342" t="s">
        <v>1873</v>
      </c>
      <c r="I2" s="342" t="s">
        <v>1874</v>
      </c>
      <c r="J2" s="342" t="s">
        <v>1875</v>
      </c>
      <c r="K2" s="342" t="s">
        <v>1876</v>
      </c>
      <c r="L2" s="343" t="s">
        <v>1877</v>
      </c>
      <c r="M2" s="344"/>
      <c r="N2" s="344"/>
      <c r="O2" s="344"/>
      <c r="P2" s="344"/>
      <c r="Q2" s="344"/>
      <c r="R2" s="344"/>
      <c r="S2" s="344"/>
      <c r="T2" s="344"/>
      <c r="U2" s="344"/>
      <c r="V2" s="344"/>
      <c r="W2" s="344"/>
      <c r="X2" s="344"/>
      <c r="Y2" s="344"/>
      <c r="Z2" s="344"/>
      <c r="AA2" s="344"/>
      <c r="AB2" s="344"/>
      <c r="AC2" s="344"/>
    </row>
    <row r="3">
      <c r="A3" s="12"/>
      <c r="C3" s="167">
        <v>2021.0</v>
      </c>
      <c r="K3" s="122">
        <f>H3-J3</f>
        <v>0</v>
      </c>
      <c r="L3" s="133">
        <f t="array" ref="L3:L1000">K3:K1000*15%</f>
        <v>0</v>
      </c>
    </row>
    <row r="4">
      <c r="A4" s="12"/>
      <c r="C4" s="167">
        <v>2021.0</v>
      </c>
      <c r="L4" s="133">
        <v>0.0</v>
      </c>
    </row>
    <row r="5">
      <c r="A5" s="12"/>
      <c r="C5" s="167">
        <v>2021.0</v>
      </c>
      <c r="L5" s="133">
        <v>0.0</v>
      </c>
    </row>
    <row r="6">
      <c r="A6" s="12"/>
      <c r="C6" s="167">
        <v>2021.0</v>
      </c>
      <c r="L6" s="133">
        <v>0.0</v>
      </c>
    </row>
    <row r="7">
      <c r="A7" s="12"/>
      <c r="C7" s="167">
        <v>2021.0</v>
      </c>
      <c r="L7" s="133">
        <v>0.0</v>
      </c>
    </row>
    <row r="8">
      <c r="A8" s="122"/>
      <c r="C8" s="167">
        <v>2021.0</v>
      </c>
      <c r="L8" s="133">
        <v>0.0</v>
      </c>
    </row>
    <row r="9">
      <c r="A9" s="122"/>
      <c r="C9" s="167">
        <v>2021.0</v>
      </c>
      <c r="L9" s="133">
        <v>0.0</v>
      </c>
    </row>
    <row r="10">
      <c r="A10" s="122"/>
      <c r="C10" s="167">
        <v>2021.0</v>
      </c>
      <c r="L10" s="133">
        <v>0.0</v>
      </c>
    </row>
    <row r="11">
      <c r="A11" s="122"/>
      <c r="C11" s="167">
        <v>2021.0</v>
      </c>
      <c r="L11" s="133">
        <v>0.0</v>
      </c>
    </row>
    <row r="12">
      <c r="A12" s="122"/>
      <c r="C12" s="167">
        <v>2021.0</v>
      </c>
      <c r="L12" s="133">
        <v>0.0</v>
      </c>
    </row>
    <row r="13">
      <c r="A13" s="122"/>
      <c r="C13" s="167">
        <v>2021.0</v>
      </c>
      <c r="L13" s="133">
        <v>0.0</v>
      </c>
    </row>
    <row r="14">
      <c r="A14" s="122"/>
      <c r="C14" s="167">
        <v>2021.0</v>
      </c>
      <c r="L14" s="133">
        <v>0.0</v>
      </c>
    </row>
    <row r="15">
      <c r="A15" s="122"/>
      <c r="C15" s="167">
        <v>2021.0</v>
      </c>
      <c r="L15" s="133">
        <v>0.0</v>
      </c>
    </row>
    <row r="16">
      <c r="A16" s="122"/>
      <c r="C16" s="167">
        <v>2021.0</v>
      </c>
      <c r="L16" s="133">
        <v>0.0</v>
      </c>
    </row>
    <row r="17">
      <c r="A17" s="122"/>
      <c r="C17" s="167">
        <v>2021.0</v>
      </c>
      <c r="L17" s="133">
        <v>0.0</v>
      </c>
    </row>
    <row r="18">
      <c r="A18" s="122"/>
      <c r="C18" s="167">
        <v>2021.0</v>
      </c>
      <c r="L18" s="133">
        <v>0.0</v>
      </c>
    </row>
    <row r="19">
      <c r="A19" s="122"/>
      <c r="C19" s="167">
        <v>2021.0</v>
      </c>
      <c r="L19" s="133">
        <v>0.0</v>
      </c>
    </row>
    <row r="20">
      <c r="A20" s="122"/>
      <c r="C20" s="167">
        <v>2021.0</v>
      </c>
      <c r="L20" s="133">
        <v>0.0</v>
      </c>
    </row>
    <row r="21">
      <c r="A21" s="122"/>
      <c r="C21" s="167">
        <v>2021.0</v>
      </c>
      <c r="L21" s="133">
        <v>0.0</v>
      </c>
    </row>
    <row r="22">
      <c r="A22" s="122"/>
      <c r="C22" s="167">
        <v>2021.0</v>
      </c>
      <c r="L22" s="133">
        <v>0.0</v>
      </c>
    </row>
    <row r="23">
      <c r="A23" s="122"/>
      <c r="C23" s="167">
        <v>2021.0</v>
      </c>
      <c r="L23" s="133">
        <v>0.0</v>
      </c>
    </row>
    <row r="24">
      <c r="A24" s="122"/>
      <c r="C24" s="167">
        <v>2021.0</v>
      </c>
      <c r="L24" s="133">
        <v>0.0</v>
      </c>
    </row>
    <row r="25">
      <c r="A25" s="122"/>
      <c r="C25" s="167">
        <v>2021.0</v>
      </c>
      <c r="L25" s="133">
        <v>0.0</v>
      </c>
    </row>
    <row r="26">
      <c r="A26" s="122"/>
      <c r="C26" s="167">
        <v>2021.0</v>
      </c>
      <c r="L26" s="133">
        <v>0.0</v>
      </c>
    </row>
    <row r="27">
      <c r="A27" s="122"/>
      <c r="C27" s="167">
        <v>2021.0</v>
      </c>
      <c r="L27" s="133">
        <v>0.0</v>
      </c>
    </row>
    <row r="28">
      <c r="A28" s="122"/>
      <c r="C28" s="167">
        <v>2021.0</v>
      </c>
      <c r="L28" s="133">
        <v>0.0</v>
      </c>
    </row>
    <row r="29">
      <c r="A29" s="122"/>
      <c r="C29" s="167">
        <v>2021.0</v>
      </c>
      <c r="L29" s="133">
        <v>0.0</v>
      </c>
    </row>
    <row r="30">
      <c r="A30" s="122"/>
      <c r="L30" s="133">
        <v>0.0</v>
      </c>
    </row>
    <row r="31">
      <c r="A31" s="122"/>
      <c r="L31" s="133">
        <v>0.0</v>
      </c>
    </row>
    <row r="32">
      <c r="A32" s="122"/>
      <c r="L32" s="133">
        <v>0.0</v>
      </c>
    </row>
    <row r="33">
      <c r="A33" s="122"/>
      <c r="L33" s="133">
        <v>0.0</v>
      </c>
    </row>
    <row r="34">
      <c r="A34" s="122"/>
      <c r="L34" s="133">
        <v>0.0</v>
      </c>
    </row>
    <row r="35">
      <c r="A35" s="122"/>
      <c r="L35" s="133">
        <v>0.0</v>
      </c>
    </row>
    <row r="36">
      <c r="A36" s="122"/>
      <c r="L36" s="133">
        <v>0.0</v>
      </c>
    </row>
    <row r="37">
      <c r="A37" s="122"/>
      <c r="L37" s="133">
        <v>0.0</v>
      </c>
    </row>
    <row r="38">
      <c r="A38" s="122"/>
      <c r="L38" s="133">
        <v>0.0</v>
      </c>
    </row>
    <row r="39">
      <c r="A39" s="122"/>
      <c r="L39" s="133">
        <v>0.0</v>
      </c>
    </row>
    <row r="40">
      <c r="A40" s="122"/>
      <c r="L40" s="133">
        <v>0.0</v>
      </c>
    </row>
    <row r="41">
      <c r="A41" s="122"/>
      <c r="L41" s="122">
        <v>0.0</v>
      </c>
    </row>
    <row r="42">
      <c r="A42" s="122"/>
      <c r="L42" s="122">
        <v>0.0</v>
      </c>
    </row>
    <row r="43">
      <c r="A43" s="122"/>
      <c r="L43" s="122">
        <v>0.0</v>
      </c>
    </row>
    <row r="44">
      <c r="A44" s="122"/>
      <c r="L44" s="122">
        <v>0.0</v>
      </c>
    </row>
    <row r="45">
      <c r="A45" s="122"/>
      <c r="L45" s="122">
        <v>0.0</v>
      </c>
    </row>
    <row r="46">
      <c r="A46" s="122"/>
      <c r="L46" s="122">
        <v>0.0</v>
      </c>
    </row>
    <row r="47">
      <c r="A47" s="122"/>
      <c r="L47" s="122">
        <v>0.0</v>
      </c>
    </row>
    <row r="48">
      <c r="A48" s="122"/>
      <c r="L48" s="122">
        <v>0.0</v>
      </c>
    </row>
    <row r="49">
      <c r="A49" s="122"/>
      <c r="L49" s="122">
        <v>0.0</v>
      </c>
    </row>
    <row r="50">
      <c r="A50" s="122"/>
      <c r="L50" s="122">
        <v>0.0</v>
      </c>
    </row>
    <row r="51">
      <c r="A51" s="122"/>
      <c r="L51" s="122">
        <v>0.0</v>
      </c>
    </row>
    <row r="52">
      <c r="A52" s="122"/>
      <c r="L52" s="122">
        <v>0.0</v>
      </c>
    </row>
    <row r="53">
      <c r="A53" s="122"/>
      <c r="L53" s="122">
        <v>0.0</v>
      </c>
    </row>
    <row r="54">
      <c r="A54" s="122"/>
      <c r="L54" s="122">
        <v>0.0</v>
      </c>
    </row>
    <row r="55">
      <c r="A55" s="122"/>
      <c r="L55" s="122">
        <v>0.0</v>
      </c>
    </row>
    <row r="56">
      <c r="A56" s="122"/>
      <c r="L56" s="122">
        <v>0.0</v>
      </c>
    </row>
    <row r="57">
      <c r="A57" s="122"/>
      <c r="L57" s="122">
        <v>0.0</v>
      </c>
    </row>
    <row r="58">
      <c r="A58" s="122"/>
      <c r="L58" s="122">
        <v>0.0</v>
      </c>
    </row>
    <row r="59">
      <c r="A59" s="122"/>
      <c r="L59" s="122">
        <v>0.0</v>
      </c>
    </row>
    <row r="60">
      <c r="A60" s="122"/>
      <c r="L60" s="122">
        <v>0.0</v>
      </c>
    </row>
    <row r="61">
      <c r="A61" s="122"/>
      <c r="L61" s="122">
        <v>0.0</v>
      </c>
    </row>
    <row r="62">
      <c r="A62" s="122"/>
      <c r="L62" s="122">
        <v>0.0</v>
      </c>
    </row>
    <row r="63">
      <c r="A63" s="122"/>
      <c r="L63" s="122">
        <v>0.0</v>
      </c>
    </row>
    <row r="64">
      <c r="A64" s="122"/>
      <c r="L64" s="122">
        <v>0.0</v>
      </c>
    </row>
    <row r="65">
      <c r="A65" s="122"/>
      <c r="L65" s="122">
        <v>0.0</v>
      </c>
    </row>
    <row r="66">
      <c r="A66" s="122"/>
      <c r="L66" s="122">
        <v>0.0</v>
      </c>
    </row>
    <row r="67">
      <c r="A67" s="122"/>
      <c r="L67" s="122">
        <v>0.0</v>
      </c>
    </row>
    <row r="68">
      <c r="A68" s="122"/>
      <c r="L68" s="122">
        <v>0.0</v>
      </c>
    </row>
    <row r="69">
      <c r="A69" s="122"/>
      <c r="L69" s="122">
        <v>0.0</v>
      </c>
    </row>
    <row r="70">
      <c r="A70" s="122"/>
      <c r="L70" s="122">
        <v>0.0</v>
      </c>
    </row>
    <row r="71">
      <c r="A71" s="122"/>
      <c r="L71" s="122">
        <v>0.0</v>
      </c>
    </row>
    <row r="72">
      <c r="A72" s="122"/>
      <c r="L72" s="122">
        <v>0.0</v>
      </c>
    </row>
    <row r="73">
      <c r="A73" s="122"/>
      <c r="L73" s="122">
        <v>0.0</v>
      </c>
    </row>
    <row r="74">
      <c r="A74" s="122"/>
      <c r="L74" s="122">
        <v>0.0</v>
      </c>
    </row>
    <row r="75">
      <c r="A75" s="122"/>
      <c r="L75" s="122">
        <v>0.0</v>
      </c>
    </row>
    <row r="76">
      <c r="A76" s="122"/>
      <c r="L76" s="122">
        <v>0.0</v>
      </c>
    </row>
    <row r="77">
      <c r="A77" s="122"/>
      <c r="L77" s="122">
        <v>0.0</v>
      </c>
    </row>
    <row r="78">
      <c r="A78" s="122"/>
      <c r="L78" s="122">
        <v>0.0</v>
      </c>
    </row>
    <row r="79">
      <c r="A79" s="122"/>
      <c r="L79" s="122">
        <v>0.0</v>
      </c>
    </row>
    <row r="80">
      <c r="A80" s="122"/>
      <c r="L80" s="122">
        <v>0.0</v>
      </c>
    </row>
    <row r="81">
      <c r="A81" s="122"/>
      <c r="L81" s="122">
        <v>0.0</v>
      </c>
    </row>
    <row r="82">
      <c r="A82" s="122"/>
      <c r="L82" s="122">
        <v>0.0</v>
      </c>
    </row>
    <row r="83">
      <c r="A83" s="122"/>
      <c r="L83" s="122">
        <v>0.0</v>
      </c>
    </row>
    <row r="84">
      <c r="A84" s="122"/>
      <c r="L84" s="122">
        <v>0.0</v>
      </c>
    </row>
    <row r="85">
      <c r="A85" s="122"/>
      <c r="L85" s="122">
        <v>0.0</v>
      </c>
    </row>
    <row r="86">
      <c r="A86" s="122"/>
      <c r="L86" s="122">
        <v>0.0</v>
      </c>
    </row>
    <row r="87">
      <c r="A87" s="122"/>
      <c r="L87" s="122">
        <v>0.0</v>
      </c>
    </row>
    <row r="88">
      <c r="A88" s="122"/>
      <c r="L88" s="122">
        <v>0.0</v>
      </c>
    </row>
    <row r="89">
      <c r="A89" s="122"/>
      <c r="L89" s="122">
        <v>0.0</v>
      </c>
    </row>
    <row r="90">
      <c r="A90" s="122"/>
      <c r="L90" s="122">
        <v>0.0</v>
      </c>
    </row>
    <row r="91">
      <c r="A91" s="122"/>
      <c r="L91" s="122">
        <v>0.0</v>
      </c>
    </row>
    <row r="92">
      <c r="A92" s="122"/>
      <c r="L92" s="122">
        <v>0.0</v>
      </c>
    </row>
    <row r="93">
      <c r="A93" s="122"/>
      <c r="L93" s="122">
        <v>0.0</v>
      </c>
    </row>
    <row r="94">
      <c r="A94" s="122"/>
      <c r="L94" s="122">
        <v>0.0</v>
      </c>
    </row>
    <row r="95">
      <c r="A95" s="122"/>
      <c r="L95" s="122">
        <v>0.0</v>
      </c>
    </row>
    <row r="96">
      <c r="A96" s="122"/>
      <c r="L96" s="122">
        <v>0.0</v>
      </c>
    </row>
    <row r="97">
      <c r="A97" s="122"/>
      <c r="L97" s="122">
        <v>0.0</v>
      </c>
    </row>
    <row r="98">
      <c r="A98" s="122"/>
      <c r="L98" s="122">
        <v>0.0</v>
      </c>
    </row>
    <row r="99">
      <c r="A99" s="122"/>
      <c r="L99" s="122">
        <v>0.0</v>
      </c>
    </row>
    <row r="100">
      <c r="A100" s="122"/>
      <c r="L100" s="122">
        <v>0.0</v>
      </c>
    </row>
    <row r="101">
      <c r="A101" s="122"/>
      <c r="L101" s="122">
        <v>0.0</v>
      </c>
    </row>
    <row r="102">
      <c r="A102" s="122"/>
      <c r="L102" s="122">
        <v>0.0</v>
      </c>
    </row>
    <row r="103">
      <c r="A103" s="122"/>
      <c r="L103" s="122">
        <v>0.0</v>
      </c>
    </row>
    <row r="104">
      <c r="A104" s="122"/>
      <c r="L104" s="122">
        <v>0.0</v>
      </c>
    </row>
    <row r="105">
      <c r="A105" s="122"/>
      <c r="L105" s="122">
        <v>0.0</v>
      </c>
    </row>
    <row r="106">
      <c r="A106" s="122"/>
      <c r="L106" s="122">
        <v>0.0</v>
      </c>
    </row>
    <row r="107">
      <c r="A107" s="122"/>
      <c r="L107" s="122">
        <v>0.0</v>
      </c>
    </row>
    <row r="108">
      <c r="A108" s="122"/>
      <c r="L108" s="122">
        <v>0.0</v>
      </c>
    </row>
    <row r="109">
      <c r="A109" s="122"/>
      <c r="L109" s="122">
        <v>0.0</v>
      </c>
    </row>
    <row r="110">
      <c r="A110" s="122"/>
      <c r="L110" s="122">
        <v>0.0</v>
      </c>
    </row>
    <row r="111">
      <c r="A111" s="122"/>
      <c r="L111" s="122">
        <v>0.0</v>
      </c>
    </row>
    <row r="112">
      <c r="A112" s="122"/>
      <c r="L112" s="122">
        <v>0.0</v>
      </c>
    </row>
    <row r="113">
      <c r="A113" s="122"/>
      <c r="L113" s="122">
        <v>0.0</v>
      </c>
    </row>
    <row r="114">
      <c r="A114" s="122"/>
      <c r="L114" s="122">
        <v>0.0</v>
      </c>
    </row>
    <row r="115">
      <c r="A115" s="122"/>
      <c r="L115" s="122">
        <v>0.0</v>
      </c>
    </row>
    <row r="116">
      <c r="A116" s="122"/>
      <c r="L116" s="122">
        <v>0.0</v>
      </c>
    </row>
    <row r="117">
      <c r="A117" s="122"/>
      <c r="L117" s="122">
        <v>0.0</v>
      </c>
    </row>
    <row r="118">
      <c r="A118" s="122"/>
      <c r="L118" s="122">
        <v>0.0</v>
      </c>
    </row>
    <row r="119">
      <c r="A119" s="122"/>
      <c r="L119" s="122">
        <v>0.0</v>
      </c>
    </row>
    <row r="120">
      <c r="A120" s="122"/>
      <c r="L120" s="122">
        <v>0.0</v>
      </c>
    </row>
    <row r="121">
      <c r="A121" s="122"/>
      <c r="L121" s="122">
        <v>0.0</v>
      </c>
    </row>
    <row r="122">
      <c r="A122" s="122"/>
      <c r="L122" s="122">
        <v>0.0</v>
      </c>
    </row>
    <row r="123">
      <c r="A123" s="122"/>
      <c r="L123" s="122">
        <v>0.0</v>
      </c>
    </row>
    <row r="124">
      <c r="A124" s="122"/>
      <c r="L124" s="122">
        <v>0.0</v>
      </c>
    </row>
    <row r="125">
      <c r="A125" s="122"/>
      <c r="L125" s="122">
        <v>0.0</v>
      </c>
    </row>
    <row r="126">
      <c r="A126" s="122"/>
      <c r="L126" s="122">
        <v>0.0</v>
      </c>
    </row>
    <row r="127">
      <c r="A127" s="122"/>
      <c r="L127" s="122">
        <v>0.0</v>
      </c>
    </row>
    <row r="128">
      <c r="A128" s="122"/>
      <c r="L128" s="122">
        <v>0.0</v>
      </c>
    </row>
    <row r="129">
      <c r="A129" s="122"/>
      <c r="L129" s="122">
        <v>0.0</v>
      </c>
    </row>
    <row r="130">
      <c r="A130" s="122"/>
      <c r="L130" s="122">
        <v>0.0</v>
      </c>
    </row>
    <row r="131">
      <c r="A131" s="122"/>
      <c r="L131" s="122">
        <v>0.0</v>
      </c>
    </row>
    <row r="132">
      <c r="A132" s="122"/>
      <c r="L132" s="122">
        <v>0.0</v>
      </c>
    </row>
    <row r="133">
      <c r="A133" s="122"/>
      <c r="L133" s="122">
        <v>0.0</v>
      </c>
    </row>
    <row r="134">
      <c r="A134" s="122"/>
      <c r="L134" s="122">
        <v>0.0</v>
      </c>
    </row>
    <row r="135">
      <c r="A135" s="122"/>
      <c r="L135" s="122">
        <v>0.0</v>
      </c>
    </row>
    <row r="136">
      <c r="A136" s="122"/>
      <c r="L136" s="122">
        <v>0.0</v>
      </c>
    </row>
    <row r="137">
      <c r="A137" s="122"/>
      <c r="L137" s="122">
        <v>0.0</v>
      </c>
    </row>
    <row r="138">
      <c r="A138" s="122"/>
      <c r="L138" s="122">
        <v>0.0</v>
      </c>
    </row>
    <row r="139">
      <c r="A139" s="122"/>
      <c r="L139" s="122">
        <v>0.0</v>
      </c>
    </row>
    <row r="140">
      <c r="A140" s="122"/>
      <c r="L140" s="122">
        <v>0.0</v>
      </c>
    </row>
    <row r="141">
      <c r="A141" s="122"/>
      <c r="L141" s="122">
        <v>0.0</v>
      </c>
    </row>
    <row r="142">
      <c r="A142" s="122"/>
      <c r="L142" s="122">
        <v>0.0</v>
      </c>
    </row>
    <row r="143">
      <c r="A143" s="122"/>
      <c r="L143" s="122">
        <v>0.0</v>
      </c>
    </row>
    <row r="144">
      <c r="A144" s="122"/>
      <c r="L144" s="122">
        <v>0.0</v>
      </c>
    </row>
    <row r="145">
      <c r="A145" s="122"/>
      <c r="L145" s="122">
        <v>0.0</v>
      </c>
    </row>
    <row r="146">
      <c r="A146" s="122"/>
      <c r="L146" s="122">
        <v>0.0</v>
      </c>
    </row>
    <row r="147">
      <c r="A147" s="122"/>
      <c r="L147" s="122">
        <v>0.0</v>
      </c>
    </row>
    <row r="148">
      <c r="A148" s="122"/>
      <c r="L148" s="122">
        <v>0.0</v>
      </c>
    </row>
    <row r="149">
      <c r="A149" s="122"/>
      <c r="L149" s="122">
        <v>0.0</v>
      </c>
    </row>
    <row r="150">
      <c r="A150" s="122"/>
      <c r="L150" s="122">
        <v>0.0</v>
      </c>
    </row>
    <row r="151">
      <c r="A151" s="122"/>
      <c r="L151" s="122">
        <v>0.0</v>
      </c>
    </row>
    <row r="152">
      <c r="A152" s="122"/>
      <c r="L152" s="122">
        <v>0.0</v>
      </c>
    </row>
    <row r="153">
      <c r="A153" s="122"/>
      <c r="L153" s="122">
        <v>0.0</v>
      </c>
    </row>
    <row r="154">
      <c r="A154" s="122"/>
      <c r="L154" s="122">
        <v>0.0</v>
      </c>
    </row>
    <row r="155">
      <c r="A155" s="122"/>
      <c r="L155" s="122">
        <v>0.0</v>
      </c>
    </row>
    <row r="156">
      <c r="A156" s="122"/>
      <c r="L156" s="122">
        <v>0.0</v>
      </c>
    </row>
    <row r="157">
      <c r="A157" s="122"/>
      <c r="L157" s="122">
        <v>0.0</v>
      </c>
    </row>
    <row r="158">
      <c r="A158" s="122"/>
      <c r="L158" s="122">
        <v>0.0</v>
      </c>
    </row>
    <row r="159">
      <c r="A159" s="122"/>
      <c r="L159" s="122">
        <v>0.0</v>
      </c>
    </row>
    <row r="160">
      <c r="A160" s="122"/>
      <c r="L160" s="122">
        <v>0.0</v>
      </c>
    </row>
    <row r="161">
      <c r="A161" s="122"/>
      <c r="L161" s="122">
        <v>0.0</v>
      </c>
    </row>
    <row r="162">
      <c r="A162" s="122"/>
      <c r="L162" s="122">
        <v>0.0</v>
      </c>
    </row>
    <row r="163">
      <c r="A163" s="122"/>
      <c r="L163" s="122">
        <v>0.0</v>
      </c>
    </row>
    <row r="164">
      <c r="A164" s="122"/>
      <c r="L164" s="122">
        <v>0.0</v>
      </c>
    </row>
    <row r="165">
      <c r="A165" s="122"/>
      <c r="L165" s="122">
        <v>0.0</v>
      </c>
    </row>
    <row r="166">
      <c r="A166" s="122"/>
      <c r="L166" s="122">
        <v>0.0</v>
      </c>
    </row>
    <row r="167">
      <c r="A167" s="122"/>
      <c r="L167" s="122">
        <v>0.0</v>
      </c>
    </row>
    <row r="168">
      <c r="A168" s="122"/>
      <c r="L168" s="122">
        <v>0.0</v>
      </c>
    </row>
    <row r="169">
      <c r="A169" s="122"/>
      <c r="L169" s="122">
        <v>0.0</v>
      </c>
    </row>
    <row r="170">
      <c r="A170" s="122"/>
      <c r="L170" s="122">
        <v>0.0</v>
      </c>
    </row>
    <row r="171">
      <c r="A171" s="122"/>
      <c r="L171" s="122">
        <v>0.0</v>
      </c>
    </row>
    <row r="172">
      <c r="A172" s="122"/>
      <c r="L172" s="122">
        <v>0.0</v>
      </c>
    </row>
    <row r="173">
      <c r="A173" s="122"/>
      <c r="L173" s="122">
        <v>0.0</v>
      </c>
    </row>
    <row r="174">
      <c r="A174" s="122"/>
      <c r="L174" s="122">
        <v>0.0</v>
      </c>
    </row>
    <row r="175">
      <c r="A175" s="122"/>
      <c r="L175" s="122">
        <v>0.0</v>
      </c>
    </row>
    <row r="176">
      <c r="A176" s="122"/>
      <c r="L176" s="122">
        <v>0.0</v>
      </c>
    </row>
    <row r="177">
      <c r="A177" s="122"/>
      <c r="L177" s="122">
        <v>0.0</v>
      </c>
    </row>
    <row r="178">
      <c r="A178" s="122"/>
      <c r="L178" s="122">
        <v>0.0</v>
      </c>
    </row>
    <row r="179">
      <c r="A179" s="122"/>
      <c r="L179" s="122">
        <v>0.0</v>
      </c>
    </row>
    <row r="180">
      <c r="A180" s="122"/>
      <c r="L180" s="122">
        <v>0.0</v>
      </c>
    </row>
    <row r="181">
      <c r="A181" s="122"/>
      <c r="L181" s="122">
        <v>0.0</v>
      </c>
    </row>
    <row r="182">
      <c r="A182" s="122"/>
      <c r="L182" s="122">
        <v>0.0</v>
      </c>
    </row>
    <row r="183">
      <c r="A183" s="122"/>
      <c r="L183" s="122">
        <v>0.0</v>
      </c>
    </row>
    <row r="184">
      <c r="A184" s="122"/>
      <c r="L184" s="122">
        <v>0.0</v>
      </c>
    </row>
    <row r="185">
      <c r="A185" s="122"/>
      <c r="L185" s="122">
        <v>0.0</v>
      </c>
    </row>
    <row r="186">
      <c r="A186" s="122"/>
      <c r="L186" s="122">
        <v>0.0</v>
      </c>
    </row>
    <row r="187">
      <c r="A187" s="122"/>
      <c r="L187" s="122">
        <v>0.0</v>
      </c>
    </row>
    <row r="188">
      <c r="A188" s="122"/>
      <c r="L188" s="122">
        <v>0.0</v>
      </c>
    </row>
    <row r="189">
      <c r="A189" s="122"/>
      <c r="L189" s="122">
        <v>0.0</v>
      </c>
    </row>
    <row r="190">
      <c r="A190" s="122"/>
      <c r="L190" s="122">
        <v>0.0</v>
      </c>
    </row>
    <row r="191">
      <c r="A191" s="122"/>
      <c r="L191" s="122">
        <v>0.0</v>
      </c>
    </row>
    <row r="192">
      <c r="A192" s="122"/>
      <c r="L192" s="122">
        <v>0.0</v>
      </c>
    </row>
    <row r="193">
      <c r="A193" s="122"/>
      <c r="L193" s="122">
        <v>0.0</v>
      </c>
    </row>
    <row r="194">
      <c r="A194" s="122"/>
      <c r="L194" s="122">
        <v>0.0</v>
      </c>
    </row>
    <row r="195">
      <c r="A195" s="122"/>
      <c r="L195" s="122">
        <v>0.0</v>
      </c>
    </row>
    <row r="196">
      <c r="A196" s="122"/>
      <c r="L196" s="122">
        <v>0.0</v>
      </c>
    </row>
    <row r="197">
      <c r="A197" s="122"/>
      <c r="L197" s="122">
        <v>0.0</v>
      </c>
    </row>
    <row r="198">
      <c r="A198" s="122"/>
      <c r="L198" s="122">
        <v>0.0</v>
      </c>
    </row>
    <row r="199">
      <c r="A199" s="122"/>
      <c r="L199" s="122">
        <v>0.0</v>
      </c>
    </row>
    <row r="200">
      <c r="A200" s="122"/>
      <c r="L200" s="122">
        <v>0.0</v>
      </c>
    </row>
    <row r="201">
      <c r="A201" s="122"/>
      <c r="L201" s="122">
        <v>0.0</v>
      </c>
    </row>
    <row r="202">
      <c r="A202" s="122"/>
      <c r="L202" s="122">
        <v>0.0</v>
      </c>
    </row>
    <row r="203">
      <c r="A203" s="122"/>
      <c r="L203" s="122">
        <v>0.0</v>
      </c>
    </row>
    <row r="204">
      <c r="A204" s="122"/>
      <c r="L204" s="122">
        <v>0.0</v>
      </c>
    </row>
    <row r="205">
      <c r="A205" s="122"/>
      <c r="L205" s="122">
        <v>0.0</v>
      </c>
    </row>
    <row r="206">
      <c r="A206" s="122"/>
      <c r="L206" s="122">
        <v>0.0</v>
      </c>
    </row>
    <row r="207">
      <c r="A207" s="122"/>
      <c r="L207" s="122">
        <v>0.0</v>
      </c>
    </row>
    <row r="208">
      <c r="A208" s="122"/>
      <c r="L208" s="122">
        <v>0.0</v>
      </c>
    </row>
    <row r="209">
      <c r="A209" s="122"/>
      <c r="L209" s="122">
        <v>0.0</v>
      </c>
    </row>
    <row r="210">
      <c r="A210" s="122"/>
      <c r="L210" s="122">
        <v>0.0</v>
      </c>
    </row>
    <row r="211">
      <c r="A211" s="122"/>
      <c r="L211" s="122">
        <v>0.0</v>
      </c>
    </row>
    <row r="212">
      <c r="A212" s="122"/>
      <c r="L212" s="122">
        <v>0.0</v>
      </c>
    </row>
    <row r="213">
      <c r="A213" s="122"/>
      <c r="L213" s="122">
        <v>0.0</v>
      </c>
    </row>
    <row r="214">
      <c r="A214" s="122"/>
      <c r="L214" s="122">
        <v>0.0</v>
      </c>
    </row>
    <row r="215">
      <c r="A215" s="122"/>
      <c r="L215" s="122">
        <v>0.0</v>
      </c>
    </row>
    <row r="216">
      <c r="A216" s="122"/>
      <c r="L216" s="122">
        <v>0.0</v>
      </c>
    </row>
    <row r="217">
      <c r="A217" s="122"/>
      <c r="L217" s="122">
        <v>0.0</v>
      </c>
    </row>
    <row r="218">
      <c r="A218" s="122"/>
      <c r="L218" s="122">
        <v>0.0</v>
      </c>
    </row>
    <row r="219">
      <c r="A219" s="122"/>
      <c r="L219" s="122">
        <v>0.0</v>
      </c>
    </row>
    <row r="220">
      <c r="A220" s="122"/>
      <c r="L220" s="122">
        <v>0.0</v>
      </c>
    </row>
    <row r="221">
      <c r="A221" s="122"/>
      <c r="L221" s="122">
        <v>0.0</v>
      </c>
    </row>
    <row r="222">
      <c r="A222" s="122"/>
      <c r="L222" s="122">
        <v>0.0</v>
      </c>
    </row>
    <row r="223">
      <c r="A223" s="122"/>
      <c r="L223" s="122">
        <v>0.0</v>
      </c>
    </row>
    <row r="224">
      <c r="A224" s="122"/>
      <c r="L224" s="122">
        <v>0.0</v>
      </c>
    </row>
    <row r="225">
      <c r="A225" s="122"/>
      <c r="L225" s="122">
        <v>0.0</v>
      </c>
    </row>
    <row r="226">
      <c r="A226" s="122"/>
      <c r="L226" s="122">
        <v>0.0</v>
      </c>
    </row>
    <row r="227">
      <c r="A227" s="122"/>
      <c r="L227" s="122">
        <v>0.0</v>
      </c>
    </row>
    <row r="228">
      <c r="A228" s="122"/>
      <c r="L228" s="122">
        <v>0.0</v>
      </c>
    </row>
    <row r="229">
      <c r="A229" s="122"/>
      <c r="L229" s="122">
        <v>0.0</v>
      </c>
    </row>
    <row r="230">
      <c r="A230" s="122"/>
      <c r="L230" s="122">
        <v>0.0</v>
      </c>
    </row>
    <row r="231">
      <c r="A231" s="122"/>
      <c r="L231" s="122">
        <v>0.0</v>
      </c>
    </row>
    <row r="232">
      <c r="A232" s="122"/>
      <c r="L232" s="122">
        <v>0.0</v>
      </c>
    </row>
    <row r="233">
      <c r="A233" s="122"/>
      <c r="L233" s="122">
        <v>0.0</v>
      </c>
    </row>
    <row r="234">
      <c r="A234" s="122"/>
      <c r="L234" s="122">
        <v>0.0</v>
      </c>
    </row>
    <row r="235">
      <c r="A235" s="122"/>
      <c r="L235" s="122">
        <v>0.0</v>
      </c>
    </row>
    <row r="236">
      <c r="A236" s="122"/>
      <c r="L236" s="122">
        <v>0.0</v>
      </c>
    </row>
    <row r="237">
      <c r="A237" s="122"/>
      <c r="L237" s="122">
        <v>0.0</v>
      </c>
    </row>
    <row r="238">
      <c r="A238" s="122"/>
      <c r="L238" s="122">
        <v>0.0</v>
      </c>
    </row>
    <row r="239">
      <c r="A239" s="122"/>
      <c r="L239" s="122">
        <v>0.0</v>
      </c>
    </row>
    <row r="240">
      <c r="A240" s="122"/>
      <c r="L240" s="122">
        <v>0.0</v>
      </c>
    </row>
    <row r="241">
      <c r="A241" s="122"/>
      <c r="L241" s="122">
        <v>0.0</v>
      </c>
    </row>
    <row r="242">
      <c r="A242" s="122"/>
      <c r="L242" s="122">
        <v>0.0</v>
      </c>
    </row>
    <row r="243">
      <c r="A243" s="122"/>
      <c r="L243" s="122">
        <v>0.0</v>
      </c>
    </row>
    <row r="244">
      <c r="A244" s="122"/>
      <c r="L244" s="122">
        <v>0.0</v>
      </c>
    </row>
    <row r="245">
      <c r="A245" s="122"/>
      <c r="L245" s="122">
        <v>0.0</v>
      </c>
    </row>
    <row r="246">
      <c r="A246" s="122"/>
      <c r="L246" s="122">
        <v>0.0</v>
      </c>
    </row>
    <row r="247">
      <c r="A247" s="122"/>
      <c r="L247" s="122">
        <v>0.0</v>
      </c>
    </row>
    <row r="248">
      <c r="A248" s="122"/>
      <c r="L248" s="122">
        <v>0.0</v>
      </c>
    </row>
    <row r="249">
      <c r="A249" s="122"/>
      <c r="L249" s="122">
        <v>0.0</v>
      </c>
    </row>
    <row r="250">
      <c r="A250" s="122"/>
      <c r="L250" s="122">
        <v>0.0</v>
      </c>
    </row>
    <row r="251">
      <c r="A251" s="122"/>
      <c r="L251" s="122">
        <v>0.0</v>
      </c>
    </row>
    <row r="252">
      <c r="A252" s="122"/>
      <c r="L252" s="122">
        <v>0.0</v>
      </c>
    </row>
    <row r="253">
      <c r="A253" s="122"/>
      <c r="L253" s="122">
        <v>0.0</v>
      </c>
    </row>
    <row r="254">
      <c r="A254" s="122"/>
      <c r="L254" s="122">
        <v>0.0</v>
      </c>
    </row>
    <row r="255">
      <c r="A255" s="122"/>
      <c r="L255" s="122">
        <v>0.0</v>
      </c>
    </row>
    <row r="256">
      <c r="A256" s="122"/>
      <c r="L256" s="122">
        <v>0.0</v>
      </c>
    </row>
    <row r="257">
      <c r="A257" s="122"/>
      <c r="L257" s="122">
        <v>0.0</v>
      </c>
    </row>
    <row r="258">
      <c r="A258" s="122"/>
      <c r="L258" s="122">
        <v>0.0</v>
      </c>
    </row>
    <row r="259">
      <c r="A259" s="122"/>
      <c r="L259" s="122">
        <v>0.0</v>
      </c>
    </row>
    <row r="260">
      <c r="A260" s="122"/>
      <c r="L260" s="122">
        <v>0.0</v>
      </c>
    </row>
    <row r="261">
      <c r="A261" s="122"/>
      <c r="L261" s="122">
        <v>0.0</v>
      </c>
    </row>
    <row r="262">
      <c r="A262" s="122"/>
      <c r="L262" s="122">
        <v>0.0</v>
      </c>
    </row>
    <row r="263">
      <c r="A263" s="122"/>
      <c r="L263" s="122">
        <v>0.0</v>
      </c>
    </row>
    <row r="264">
      <c r="A264" s="122"/>
      <c r="L264" s="122">
        <v>0.0</v>
      </c>
    </row>
    <row r="265">
      <c r="A265" s="122"/>
      <c r="L265" s="122">
        <v>0.0</v>
      </c>
    </row>
    <row r="266">
      <c r="A266" s="122"/>
      <c r="L266" s="122">
        <v>0.0</v>
      </c>
    </row>
    <row r="267">
      <c r="A267" s="122"/>
      <c r="L267" s="122">
        <v>0.0</v>
      </c>
    </row>
    <row r="268">
      <c r="A268" s="122"/>
      <c r="L268" s="122">
        <v>0.0</v>
      </c>
    </row>
    <row r="269">
      <c r="A269" s="122"/>
      <c r="L269" s="122">
        <v>0.0</v>
      </c>
    </row>
    <row r="270">
      <c r="A270" s="122"/>
      <c r="L270" s="122">
        <v>0.0</v>
      </c>
    </row>
    <row r="271">
      <c r="A271" s="122"/>
      <c r="L271" s="122">
        <v>0.0</v>
      </c>
    </row>
    <row r="272">
      <c r="A272" s="122"/>
      <c r="L272" s="122">
        <v>0.0</v>
      </c>
    </row>
    <row r="273">
      <c r="A273" s="122"/>
      <c r="L273" s="122">
        <v>0.0</v>
      </c>
    </row>
    <row r="274">
      <c r="A274" s="122"/>
      <c r="L274" s="122">
        <v>0.0</v>
      </c>
    </row>
    <row r="275">
      <c r="A275" s="122"/>
      <c r="L275" s="122">
        <v>0.0</v>
      </c>
    </row>
    <row r="276">
      <c r="A276" s="122"/>
      <c r="L276" s="122">
        <v>0.0</v>
      </c>
    </row>
    <row r="277">
      <c r="A277" s="122"/>
      <c r="L277" s="122">
        <v>0.0</v>
      </c>
    </row>
    <row r="278">
      <c r="A278" s="122"/>
      <c r="L278" s="122">
        <v>0.0</v>
      </c>
    </row>
    <row r="279">
      <c r="A279" s="122"/>
      <c r="L279" s="122">
        <v>0.0</v>
      </c>
    </row>
    <row r="280">
      <c r="A280" s="122"/>
      <c r="L280" s="122">
        <v>0.0</v>
      </c>
    </row>
    <row r="281">
      <c r="A281" s="122"/>
      <c r="L281" s="122">
        <v>0.0</v>
      </c>
    </row>
    <row r="282">
      <c r="A282" s="122"/>
      <c r="L282" s="122">
        <v>0.0</v>
      </c>
    </row>
    <row r="283">
      <c r="A283" s="122"/>
      <c r="L283" s="122">
        <v>0.0</v>
      </c>
    </row>
    <row r="284">
      <c r="A284" s="122"/>
      <c r="L284" s="122">
        <v>0.0</v>
      </c>
    </row>
    <row r="285">
      <c r="A285" s="122"/>
      <c r="L285" s="122">
        <v>0.0</v>
      </c>
    </row>
    <row r="286">
      <c r="A286" s="122"/>
      <c r="L286" s="122">
        <v>0.0</v>
      </c>
    </row>
    <row r="287">
      <c r="A287" s="122"/>
      <c r="L287" s="122">
        <v>0.0</v>
      </c>
    </row>
    <row r="288">
      <c r="A288" s="122"/>
      <c r="L288" s="122">
        <v>0.0</v>
      </c>
    </row>
    <row r="289">
      <c r="A289" s="122"/>
      <c r="L289" s="122">
        <v>0.0</v>
      </c>
    </row>
    <row r="290">
      <c r="A290" s="122"/>
      <c r="L290" s="122">
        <v>0.0</v>
      </c>
    </row>
    <row r="291">
      <c r="A291" s="122"/>
      <c r="L291" s="122">
        <v>0.0</v>
      </c>
    </row>
    <row r="292">
      <c r="A292" s="122"/>
      <c r="L292" s="122">
        <v>0.0</v>
      </c>
    </row>
    <row r="293">
      <c r="A293" s="122"/>
      <c r="L293" s="122">
        <v>0.0</v>
      </c>
    </row>
    <row r="294">
      <c r="A294" s="122"/>
      <c r="L294" s="122">
        <v>0.0</v>
      </c>
    </row>
    <row r="295">
      <c r="A295" s="122"/>
      <c r="L295" s="122">
        <v>0.0</v>
      </c>
    </row>
    <row r="296">
      <c r="A296" s="122"/>
      <c r="L296" s="122">
        <v>0.0</v>
      </c>
    </row>
    <row r="297">
      <c r="A297" s="122"/>
      <c r="L297" s="122">
        <v>0.0</v>
      </c>
    </row>
    <row r="298">
      <c r="A298" s="122"/>
      <c r="L298" s="122">
        <v>0.0</v>
      </c>
    </row>
    <row r="299">
      <c r="A299" s="122"/>
      <c r="L299" s="122">
        <v>0.0</v>
      </c>
    </row>
    <row r="300">
      <c r="A300" s="122"/>
      <c r="L300" s="122">
        <v>0.0</v>
      </c>
    </row>
    <row r="301">
      <c r="A301" s="122"/>
      <c r="L301" s="122">
        <v>0.0</v>
      </c>
    </row>
    <row r="302">
      <c r="A302" s="122"/>
      <c r="L302" s="122">
        <v>0.0</v>
      </c>
    </row>
    <row r="303">
      <c r="A303" s="122"/>
      <c r="L303" s="122">
        <v>0.0</v>
      </c>
    </row>
    <row r="304">
      <c r="A304" s="122"/>
      <c r="L304" s="122">
        <v>0.0</v>
      </c>
    </row>
    <row r="305">
      <c r="A305" s="122"/>
      <c r="L305" s="122">
        <v>0.0</v>
      </c>
    </row>
    <row r="306">
      <c r="A306" s="122"/>
      <c r="L306" s="122">
        <v>0.0</v>
      </c>
    </row>
    <row r="307">
      <c r="A307" s="122"/>
      <c r="L307" s="122">
        <v>0.0</v>
      </c>
    </row>
    <row r="308">
      <c r="A308" s="122"/>
      <c r="L308" s="122">
        <v>0.0</v>
      </c>
    </row>
    <row r="309">
      <c r="A309" s="122"/>
      <c r="L309" s="122">
        <v>0.0</v>
      </c>
    </row>
    <row r="310">
      <c r="A310" s="122"/>
      <c r="L310" s="122">
        <v>0.0</v>
      </c>
    </row>
    <row r="311">
      <c r="A311" s="122"/>
      <c r="L311" s="122">
        <v>0.0</v>
      </c>
    </row>
    <row r="312">
      <c r="A312" s="122"/>
      <c r="L312" s="122">
        <v>0.0</v>
      </c>
    </row>
    <row r="313">
      <c r="A313" s="122"/>
      <c r="L313" s="122">
        <v>0.0</v>
      </c>
    </row>
    <row r="314">
      <c r="A314" s="122"/>
      <c r="L314" s="122">
        <v>0.0</v>
      </c>
    </row>
    <row r="315">
      <c r="A315" s="122"/>
      <c r="L315" s="122">
        <v>0.0</v>
      </c>
    </row>
    <row r="316">
      <c r="A316" s="122"/>
      <c r="L316" s="122">
        <v>0.0</v>
      </c>
    </row>
    <row r="317">
      <c r="A317" s="122"/>
      <c r="L317" s="122">
        <v>0.0</v>
      </c>
    </row>
    <row r="318">
      <c r="A318" s="122"/>
      <c r="L318" s="122">
        <v>0.0</v>
      </c>
    </row>
    <row r="319">
      <c r="A319" s="122"/>
      <c r="L319" s="122">
        <v>0.0</v>
      </c>
    </row>
    <row r="320">
      <c r="A320" s="122"/>
      <c r="L320" s="122">
        <v>0.0</v>
      </c>
    </row>
    <row r="321">
      <c r="A321" s="122"/>
      <c r="L321" s="122">
        <v>0.0</v>
      </c>
    </row>
    <row r="322">
      <c r="A322" s="122"/>
      <c r="L322" s="122">
        <v>0.0</v>
      </c>
    </row>
    <row r="323">
      <c r="A323" s="122"/>
      <c r="L323" s="122">
        <v>0.0</v>
      </c>
    </row>
    <row r="324">
      <c r="A324" s="122"/>
      <c r="L324" s="122">
        <v>0.0</v>
      </c>
    </row>
    <row r="325">
      <c r="A325" s="122"/>
      <c r="L325" s="122">
        <v>0.0</v>
      </c>
    </row>
    <row r="326">
      <c r="A326" s="122"/>
      <c r="L326" s="122">
        <v>0.0</v>
      </c>
    </row>
    <row r="327">
      <c r="A327" s="122"/>
      <c r="L327" s="122">
        <v>0.0</v>
      </c>
    </row>
    <row r="328">
      <c r="A328" s="122"/>
      <c r="L328" s="122">
        <v>0.0</v>
      </c>
    </row>
    <row r="329">
      <c r="A329" s="122"/>
      <c r="L329" s="122">
        <v>0.0</v>
      </c>
    </row>
    <row r="330">
      <c r="A330" s="122"/>
      <c r="L330" s="122">
        <v>0.0</v>
      </c>
    </row>
    <row r="331">
      <c r="A331" s="122"/>
      <c r="L331" s="122">
        <v>0.0</v>
      </c>
    </row>
    <row r="332">
      <c r="A332" s="122"/>
      <c r="L332" s="122">
        <v>0.0</v>
      </c>
    </row>
    <row r="333">
      <c r="A333" s="122"/>
      <c r="L333" s="122">
        <v>0.0</v>
      </c>
    </row>
    <row r="334">
      <c r="A334" s="122"/>
      <c r="L334" s="122">
        <v>0.0</v>
      </c>
    </row>
    <row r="335">
      <c r="A335" s="122"/>
      <c r="L335" s="122">
        <v>0.0</v>
      </c>
    </row>
    <row r="336">
      <c r="A336" s="122"/>
      <c r="L336" s="122">
        <v>0.0</v>
      </c>
    </row>
    <row r="337">
      <c r="A337" s="122"/>
      <c r="L337" s="122">
        <v>0.0</v>
      </c>
    </row>
    <row r="338">
      <c r="A338" s="122"/>
      <c r="L338" s="122">
        <v>0.0</v>
      </c>
    </row>
    <row r="339">
      <c r="A339" s="122"/>
      <c r="L339" s="122">
        <v>0.0</v>
      </c>
    </row>
    <row r="340">
      <c r="A340" s="122"/>
      <c r="L340" s="122">
        <v>0.0</v>
      </c>
    </row>
    <row r="341">
      <c r="A341" s="122"/>
      <c r="L341" s="122">
        <v>0.0</v>
      </c>
    </row>
    <row r="342">
      <c r="A342" s="122"/>
      <c r="L342" s="122">
        <v>0.0</v>
      </c>
    </row>
    <row r="343">
      <c r="A343" s="122"/>
      <c r="L343" s="122">
        <v>0.0</v>
      </c>
    </row>
    <row r="344">
      <c r="A344" s="122"/>
      <c r="L344" s="122">
        <v>0.0</v>
      </c>
    </row>
    <row r="345">
      <c r="A345" s="122"/>
      <c r="L345" s="122">
        <v>0.0</v>
      </c>
    </row>
    <row r="346">
      <c r="A346" s="122"/>
      <c r="L346" s="122">
        <v>0.0</v>
      </c>
    </row>
    <row r="347">
      <c r="A347" s="122"/>
      <c r="L347" s="122">
        <v>0.0</v>
      </c>
    </row>
    <row r="348">
      <c r="A348" s="122"/>
      <c r="L348" s="122">
        <v>0.0</v>
      </c>
    </row>
    <row r="349">
      <c r="A349" s="122"/>
      <c r="L349" s="122">
        <v>0.0</v>
      </c>
    </row>
    <row r="350">
      <c r="A350" s="122"/>
      <c r="L350" s="122">
        <v>0.0</v>
      </c>
    </row>
    <row r="351">
      <c r="A351" s="122"/>
      <c r="L351" s="122">
        <v>0.0</v>
      </c>
    </row>
    <row r="352">
      <c r="A352" s="122"/>
      <c r="L352" s="122">
        <v>0.0</v>
      </c>
    </row>
    <row r="353">
      <c r="A353" s="122"/>
      <c r="L353" s="122">
        <v>0.0</v>
      </c>
    </row>
    <row r="354">
      <c r="A354" s="122"/>
      <c r="L354" s="122">
        <v>0.0</v>
      </c>
    </row>
    <row r="355">
      <c r="A355" s="122"/>
      <c r="L355" s="122">
        <v>0.0</v>
      </c>
    </row>
    <row r="356">
      <c r="A356" s="122"/>
      <c r="L356" s="122">
        <v>0.0</v>
      </c>
    </row>
    <row r="357">
      <c r="A357" s="122"/>
      <c r="L357" s="122">
        <v>0.0</v>
      </c>
    </row>
    <row r="358">
      <c r="A358" s="122"/>
      <c r="L358" s="122">
        <v>0.0</v>
      </c>
    </row>
    <row r="359">
      <c r="A359" s="122"/>
      <c r="L359" s="122">
        <v>0.0</v>
      </c>
    </row>
    <row r="360">
      <c r="A360" s="122"/>
      <c r="L360" s="122">
        <v>0.0</v>
      </c>
    </row>
    <row r="361">
      <c r="A361" s="122"/>
      <c r="L361" s="122">
        <v>0.0</v>
      </c>
    </row>
    <row r="362">
      <c r="A362" s="122"/>
      <c r="L362" s="122">
        <v>0.0</v>
      </c>
    </row>
    <row r="363">
      <c r="A363" s="122"/>
      <c r="L363" s="122">
        <v>0.0</v>
      </c>
    </row>
    <row r="364">
      <c r="A364" s="122"/>
      <c r="L364" s="122">
        <v>0.0</v>
      </c>
    </row>
    <row r="365">
      <c r="A365" s="122"/>
      <c r="L365" s="122">
        <v>0.0</v>
      </c>
    </row>
    <row r="366">
      <c r="A366" s="122"/>
      <c r="L366" s="122">
        <v>0.0</v>
      </c>
    </row>
    <row r="367">
      <c r="A367" s="122"/>
      <c r="L367" s="122">
        <v>0.0</v>
      </c>
    </row>
    <row r="368">
      <c r="A368" s="122"/>
      <c r="L368" s="122">
        <v>0.0</v>
      </c>
    </row>
    <row r="369">
      <c r="A369" s="122"/>
      <c r="L369" s="122">
        <v>0.0</v>
      </c>
    </row>
    <row r="370">
      <c r="A370" s="122"/>
      <c r="L370" s="122">
        <v>0.0</v>
      </c>
    </row>
    <row r="371">
      <c r="A371" s="122"/>
      <c r="L371" s="122">
        <v>0.0</v>
      </c>
    </row>
    <row r="372">
      <c r="A372" s="122"/>
      <c r="L372" s="122">
        <v>0.0</v>
      </c>
    </row>
    <row r="373">
      <c r="A373" s="122"/>
      <c r="L373" s="122">
        <v>0.0</v>
      </c>
    </row>
    <row r="374">
      <c r="A374" s="122"/>
      <c r="L374" s="122">
        <v>0.0</v>
      </c>
    </row>
    <row r="375">
      <c r="A375" s="122"/>
      <c r="L375" s="122">
        <v>0.0</v>
      </c>
    </row>
    <row r="376">
      <c r="A376" s="122"/>
      <c r="L376" s="122">
        <v>0.0</v>
      </c>
    </row>
    <row r="377">
      <c r="A377" s="122"/>
      <c r="L377" s="122">
        <v>0.0</v>
      </c>
    </row>
    <row r="378">
      <c r="A378" s="122"/>
      <c r="L378" s="122">
        <v>0.0</v>
      </c>
    </row>
    <row r="379">
      <c r="A379" s="122"/>
      <c r="L379" s="122">
        <v>0.0</v>
      </c>
    </row>
    <row r="380">
      <c r="A380" s="122"/>
      <c r="L380" s="122">
        <v>0.0</v>
      </c>
    </row>
    <row r="381">
      <c r="A381" s="122"/>
      <c r="L381" s="122">
        <v>0.0</v>
      </c>
    </row>
    <row r="382">
      <c r="A382" s="122"/>
      <c r="L382" s="122">
        <v>0.0</v>
      </c>
    </row>
    <row r="383">
      <c r="A383" s="122"/>
      <c r="L383" s="122">
        <v>0.0</v>
      </c>
    </row>
    <row r="384">
      <c r="A384" s="122"/>
      <c r="L384" s="122">
        <v>0.0</v>
      </c>
    </row>
    <row r="385">
      <c r="A385" s="122"/>
      <c r="L385" s="122">
        <v>0.0</v>
      </c>
    </row>
    <row r="386">
      <c r="A386" s="122"/>
      <c r="L386" s="122">
        <v>0.0</v>
      </c>
    </row>
    <row r="387">
      <c r="A387" s="122"/>
      <c r="L387" s="122">
        <v>0.0</v>
      </c>
    </row>
    <row r="388">
      <c r="A388" s="122"/>
      <c r="L388" s="122">
        <v>0.0</v>
      </c>
    </row>
    <row r="389">
      <c r="A389" s="122"/>
      <c r="L389" s="122">
        <v>0.0</v>
      </c>
    </row>
    <row r="390">
      <c r="A390" s="122"/>
      <c r="L390" s="122">
        <v>0.0</v>
      </c>
    </row>
    <row r="391">
      <c r="A391" s="122"/>
      <c r="L391" s="122">
        <v>0.0</v>
      </c>
    </row>
    <row r="392">
      <c r="A392" s="122"/>
      <c r="L392" s="122">
        <v>0.0</v>
      </c>
    </row>
    <row r="393">
      <c r="A393" s="122"/>
      <c r="L393" s="122">
        <v>0.0</v>
      </c>
    </row>
    <row r="394">
      <c r="A394" s="122"/>
      <c r="L394" s="122">
        <v>0.0</v>
      </c>
    </row>
    <row r="395">
      <c r="A395" s="122"/>
      <c r="L395" s="122">
        <v>0.0</v>
      </c>
    </row>
    <row r="396">
      <c r="A396" s="122"/>
      <c r="L396" s="122">
        <v>0.0</v>
      </c>
    </row>
    <row r="397">
      <c r="A397" s="122"/>
      <c r="L397" s="122">
        <v>0.0</v>
      </c>
    </row>
    <row r="398">
      <c r="A398" s="122"/>
      <c r="L398" s="122">
        <v>0.0</v>
      </c>
    </row>
    <row r="399">
      <c r="A399" s="122"/>
      <c r="L399" s="122">
        <v>0.0</v>
      </c>
    </row>
    <row r="400">
      <c r="A400" s="122"/>
      <c r="L400" s="122">
        <v>0.0</v>
      </c>
    </row>
    <row r="401">
      <c r="A401" s="122"/>
      <c r="L401" s="122">
        <v>0.0</v>
      </c>
    </row>
    <row r="402">
      <c r="A402" s="122"/>
      <c r="L402" s="122">
        <v>0.0</v>
      </c>
    </row>
    <row r="403">
      <c r="A403" s="122"/>
      <c r="L403" s="122">
        <v>0.0</v>
      </c>
    </row>
    <row r="404">
      <c r="A404" s="122"/>
      <c r="L404" s="122">
        <v>0.0</v>
      </c>
    </row>
    <row r="405">
      <c r="A405" s="122"/>
      <c r="L405" s="122">
        <v>0.0</v>
      </c>
    </row>
    <row r="406">
      <c r="A406" s="122"/>
      <c r="L406" s="122">
        <v>0.0</v>
      </c>
    </row>
    <row r="407">
      <c r="A407" s="122"/>
      <c r="L407" s="122">
        <v>0.0</v>
      </c>
    </row>
    <row r="408">
      <c r="A408" s="122"/>
      <c r="L408" s="122">
        <v>0.0</v>
      </c>
    </row>
    <row r="409">
      <c r="A409" s="122"/>
      <c r="L409" s="122">
        <v>0.0</v>
      </c>
    </row>
    <row r="410">
      <c r="A410" s="122"/>
      <c r="L410" s="122">
        <v>0.0</v>
      </c>
    </row>
    <row r="411">
      <c r="A411" s="122"/>
      <c r="L411" s="122">
        <v>0.0</v>
      </c>
    </row>
    <row r="412">
      <c r="A412" s="122"/>
      <c r="L412" s="122">
        <v>0.0</v>
      </c>
    </row>
    <row r="413">
      <c r="A413" s="122"/>
      <c r="L413" s="122">
        <v>0.0</v>
      </c>
    </row>
    <row r="414">
      <c r="A414" s="122"/>
      <c r="L414" s="122">
        <v>0.0</v>
      </c>
    </row>
    <row r="415">
      <c r="A415" s="122"/>
      <c r="L415" s="122">
        <v>0.0</v>
      </c>
    </row>
    <row r="416">
      <c r="A416" s="122"/>
      <c r="L416" s="122">
        <v>0.0</v>
      </c>
    </row>
    <row r="417">
      <c r="A417" s="122"/>
      <c r="L417" s="122">
        <v>0.0</v>
      </c>
    </row>
    <row r="418">
      <c r="A418" s="122"/>
      <c r="L418" s="122">
        <v>0.0</v>
      </c>
    </row>
    <row r="419">
      <c r="A419" s="122"/>
      <c r="L419" s="122">
        <v>0.0</v>
      </c>
    </row>
    <row r="420">
      <c r="A420" s="122"/>
      <c r="L420" s="122">
        <v>0.0</v>
      </c>
    </row>
    <row r="421">
      <c r="A421" s="122"/>
      <c r="L421" s="122">
        <v>0.0</v>
      </c>
    </row>
    <row r="422">
      <c r="A422" s="122"/>
      <c r="L422" s="122">
        <v>0.0</v>
      </c>
    </row>
    <row r="423">
      <c r="A423" s="122"/>
      <c r="L423" s="122">
        <v>0.0</v>
      </c>
    </row>
    <row r="424">
      <c r="A424" s="122"/>
      <c r="L424" s="122">
        <v>0.0</v>
      </c>
    </row>
    <row r="425">
      <c r="A425" s="122"/>
      <c r="L425" s="122">
        <v>0.0</v>
      </c>
    </row>
    <row r="426">
      <c r="A426" s="122"/>
      <c r="L426" s="122">
        <v>0.0</v>
      </c>
    </row>
    <row r="427">
      <c r="A427" s="122"/>
      <c r="L427" s="122">
        <v>0.0</v>
      </c>
    </row>
    <row r="428">
      <c r="A428" s="122"/>
      <c r="L428" s="122">
        <v>0.0</v>
      </c>
    </row>
    <row r="429">
      <c r="A429" s="122"/>
      <c r="L429" s="122">
        <v>0.0</v>
      </c>
    </row>
    <row r="430">
      <c r="A430" s="122"/>
      <c r="L430" s="122">
        <v>0.0</v>
      </c>
    </row>
    <row r="431">
      <c r="A431" s="122"/>
      <c r="L431" s="122">
        <v>0.0</v>
      </c>
    </row>
    <row r="432">
      <c r="A432" s="122"/>
      <c r="L432" s="122">
        <v>0.0</v>
      </c>
    </row>
    <row r="433">
      <c r="A433" s="122"/>
      <c r="L433" s="122">
        <v>0.0</v>
      </c>
    </row>
    <row r="434">
      <c r="A434" s="122"/>
      <c r="L434" s="122">
        <v>0.0</v>
      </c>
    </row>
    <row r="435">
      <c r="A435" s="122"/>
      <c r="L435" s="122">
        <v>0.0</v>
      </c>
    </row>
    <row r="436">
      <c r="A436" s="122"/>
      <c r="L436" s="122">
        <v>0.0</v>
      </c>
    </row>
    <row r="437">
      <c r="A437" s="122"/>
      <c r="L437" s="122">
        <v>0.0</v>
      </c>
    </row>
    <row r="438">
      <c r="A438" s="122"/>
      <c r="L438" s="122">
        <v>0.0</v>
      </c>
    </row>
    <row r="439">
      <c r="A439" s="122"/>
      <c r="L439" s="122">
        <v>0.0</v>
      </c>
    </row>
    <row r="440">
      <c r="A440" s="122"/>
      <c r="L440" s="122">
        <v>0.0</v>
      </c>
    </row>
    <row r="441">
      <c r="A441" s="122"/>
      <c r="L441" s="122">
        <v>0.0</v>
      </c>
    </row>
    <row r="442">
      <c r="A442" s="122"/>
      <c r="L442" s="122">
        <v>0.0</v>
      </c>
    </row>
    <row r="443">
      <c r="A443" s="122"/>
      <c r="L443" s="122">
        <v>0.0</v>
      </c>
    </row>
    <row r="444">
      <c r="A444" s="122"/>
      <c r="L444" s="122">
        <v>0.0</v>
      </c>
    </row>
    <row r="445">
      <c r="A445" s="122"/>
      <c r="L445" s="122">
        <v>0.0</v>
      </c>
    </row>
    <row r="446">
      <c r="A446" s="122"/>
      <c r="L446" s="122">
        <v>0.0</v>
      </c>
    </row>
    <row r="447">
      <c r="A447" s="122"/>
      <c r="L447" s="122">
        <v>0.0</v>
      </c>
    </row>
    <row r="448">
      <c r="A448" s="122"/>
      <c r="L448" s="122">
        <v>0.0</v>
      </c>
    </row>
    <row r="449">
      <c r="A449" s="122"/>
      <c r="L449" s="122">
        <v>0.0</v>
      </c>
    </row>
    <row r="450">
      <c r="A450" s="122"/>
      <c r="L450" s="122">
        <v>0.0</v>
      </c>
    </row>
    <row r="451">
      <c r="A451" s="122"/>
      <c r="L451" s="122">
        <v>0.0</v>
      </c>
    </row>
    <row r="452">
      <c r="A452" s="122"/>
      <c r="L452" s="122">
        <v>0.0</v>
      </c>
    </row>
    <row r="453">
      <c r="A453" s="122"/>
      <c r="L453" s="122">
        <v>0.0</v>
      </c>
    </row>
    <row r="454">
      <c r="A454" s="122"/>
      <c r="L454" s="122">
        <v>0.0</v>
      </c>
    </row>
    <row r="455">
      <c r="A455" s="122"/>
      <c r="L455" s="122">
        <v>0.0</v>
      </c>
    </row>
    <row r="456">
      <c r="A456" s="122"/>
      <c r="L456" s="122">
        <v>0.0</v>
      </c>
    </row>
    <row r="457">
      <c r="A457" s="122"/>
      <c r="L457" s="122">
        <v>0.0</v>
      </c>
    </row>
    <row r="458">
      <c r="A458" s="122"/>
      <c r="L458" s="122">
        <v>0.0</v>
      </c>
    </row>
    <row r="459">
      <c r="A459" s="122"/>
      <c r="L459" s="122">
        <v>0.0</v>
      </c>
    </row>
    <row r="460">
      <c r="A460" s="122"/>
      <c r="L460" s="122">
        <v>0.0</v>
      </c>
    </row>
    <row r="461">
      <c r="A461" s="122"/>
      <c r="L461" s="122">
        <v>0.0</v>
      </c>
    </row>
    <row r="462">
      <c r="A462" s="122"/>
      <c r="L462" s="122">
        <v>0.0</v>
      </c>
    </row>
    <row r="463">
      <c r="A463" s="122"/>
      <c r="L463" s="122">
        <v>0.0</v>
      </c>
    </row>
    <row r="464">
      <c r="A464" s="122"/>
      <c r="L464" s="122">
        <v>0.0</v>
      </c>
    </row>
    <row r="465">
      <c r="A465" s="122"/>
      <c r="L465" s="122">
        <v>0.0</v>
      </c>
    </row>
    <row r="466">
      <c r="A466" s="122"/>
      <c r="L466" s="122">
        <v>0.0</v>
      </c>
    </row>
    <row r="467">
      <c r="A467" s="122"/>
      <c r="L467" s="122">
        <v>0.0</v>
      </c>
    </row>
    <row r="468">
      <c r="A468" s="122"/>
      <c r="L468" s="122">
        <v>0.0</v>
      </c>
    </row>
    <row r="469">
      <c r="A469" s="122"/>
      <c r="L469" s="122">
        <v>0.0</v>
      </c>
    </row>
    <row r="470">
      <c r="A470" s="122"/>
      <c r="L470" s="122">
        <v>0.0</v>
      </c>
    </row>
    <row r="471">
      <c r="A471" s="122"/>
      <c r="L471" s="122">
        <v>0.0</v>
      </c>
    </row>
    <row r="472">
      <c r="A472" s="122"/>
      <c r="L472" s="122">
        <v>0.0</v>
      </c>
    </row>
    <row r="473">
      <c r="A473" s="122"/>
      <c r="L473" s="122">
        <v>0.0</v>
      </c>
    </row>
    <row r="474">
      <c r="A474" s="122"/>
      <c r="L474" s="122">
        <v>0.0</v>
      </c>
    </row>
    <row r="475">
      <c r="A475" s="122"/>
      <c r="L475" s="122">
        <v>0.0</v>
      </c>
    </row>
    <row r="476">
      <c r="A476" s="122"/>
      <c r="L476" s="122">
        <v>0.0</v>
      </c>
    </row>
    <row r="477">
      <c r="A477" s="122"/>
      <c r="L477" s="122">
        <v>0.0</v>
      </c>
    </row>
    <row r="478">
      <c r="A478" s="122"/>
      <c r="L478" s="122">
        <v>0.0</v>
      </c>
    </row>
    <row r="479">
      <c r="A479" s="122"/>
      <c r="L479" s="122">
        <v>0.0</v>
      </c>
    </row>
    <row r="480">
      <c r="A480" s="122"/>
      <c r="L480" s="122">
        <v>0.0</v>
      </c>
    </row>
    <row r="481">
      <c r="A481" s="122"/>
      <c r="L481" s="122">
        <v>0.0</v>
      </c>
    </row>
    <row r="482">
      <c r="A482" s="122"/>
      <c r="L482" s="122">
        <v>0.0</v>
      </c>
    </row>
    <row r="483">
      <c r="A483" s="122"/>
      <c r="L483" s="122">
        <v>0.0</v>
      </c>
    </row>
    <row r="484">
      <c r="A484" s="122"/>
      <c r="L484" s="122">
        <v>0.0</v>
      </c>
    </row>
    <row r="485">
      <c r="A485" s="122"/>
      <c r="L485" s="122">
        <v>0.0</v>
      </c>
    </row>
    <row r="486">
      <c r="A486" s="122"/>
      <c r="L486" s="122">
        <v>0.0</v>
      </c>
    </row>
    <row r="487">
      <c r="A487" s="122"/>
      <c r="L487" s="122">
        <v>0.0</v>
      </c>
    </row>
    <row r="488">
      <c r="A488" s="122"/>
      <c r="L488" s="122">
        <v>0.0</v>
      </c>
    </row>
    <row r="489">
      <c r="A489" s="122"/>
      <c r="L489" s="122">
        <v>0.0</v>
      </c>
    </row>
    <row r="490">
      <c r="A490" s="122"/>
      <c r="L490" s="122">
        <v>0.0</v>
      </c>
    </row>
    <row r="491">
      <c r="A491" s="122"/>
      <c r="L491" s="122">
        <v>0.0</v>
      </c>
    </row>
    <row r="492">
      <c r="A492" s="122"/>
      <c r="L492" s="122">
        <v>0.0</v>
      </c>
    </row>
    <row r="493">
      <c r="A493" s="122"/>
      <c r="L493" s="122">
        <v>0.0</v>
      </c>
    </row>
    <row r="494">
      <c r="A494" s="122"/>
      <c r="L494" s="122">
        <v>0.0</v>
      </c>
    </row>
    <row r="495">
      <c r="A495" s="122"/>
      <c r="L495" s="122">
        <v>0.0</v>
      </c>
    </row>
    <row r="496">
      <c r="A496" s="122"/>
      <c r="L496" s="122">
        <v>0.0</v>
      </c>
    </row>
    <row r="497">
      <c r="A497" s="122"/>
      <c r="L497" s="122">
        <v>0.0</v>
      </c>
    </row>
    <row r="498">
      <c r="A498" s="122"/>
      <c r="L498" s="122">
        <v>0.0</v>
      </c>
    </row>
    <row r="499">
      <c r="A499" s="122"/>
      <c r="L499" s="122">
        <v>0.0</v>
      </c>
    </row>
    <row r="500">
      <c r="A500" s="122"/>
      <c r="L500" s="122">
        <v>0.0</v>
      </c>
    </row>
    <row r="501">
      <c r="A501" s="122"/>
      <c r="L501" s="122">
        <v>0.0</v>
      </c>
    </row>
    <row r="502">
      <c r="A502" s="122"/>
      <c r="L502" s="122">
        <v>0.0</v>
      </c>
    </row>
    <row r="503">
      <c r="A503" s="122"/>
      <c r="L503" s="122">
        <v>0.0</v>
      </c>
    </row>
    <row r="504">
      <c r="A504" s="122"/>
      <c r="L504" s="122">
        <v>0.0</v>
      </c>
    </row>
    <row r="505">
      <c r="A505" s="122"/>
      <c r="L505" s="122">
        <v>0.0</v>
      </c>
    </row>
    <row r="506">
      <c r="A506" s="122"/>
      <c r="L506" s="122">
        <v>0.0</v>
      </c>
    </row>
    <row r="507">
      <c r="A507" s="122"/>
      <c r="L507" s="122">
        <v>0.0</v>
      </c>
    </row>
    <row r="508">
      <c r="A508" s="122"/>
      <c r="L508" s="122">
        <v>0.0</v>
      </c>
    </row>
    <row r="509">
      <c r="A509" s="122"/>
      <c r="L509" s="122">
        <v>0.0</v>
      </c>
    </row>
    <row r="510">
      <c r="A510" s="122"/>
      <c r="L510" s="122">
        <v>0.0</v>
      </c>
    </row>
    <row r="511">
      <c r="A511" s="122"/>
      <c r="L511" s="122">
        <v>0.0</v>
      </c>
    </row>
    <row r="512">
      <c r="A512" s="122"/>
      <c r="L512" s="122">
        <v>0.0</v>
      </c>
    </row>
    <row r="513">
      <c r="A513" s="122"/>
      <c r="L513" s="122">
        <v>0.0</v>
      </c>
    </row>
    <row r="514">
      <c r="A514" s="122"/>
      <c r="L514" s="122">
        <v>0.0</v>
      </c>
    </row>
    <row r="515">
      <c r="A515" s="122"/>
      <c r="L515" s="122">
        <v>0.0</v>
      </c>
    </row>
    <row r="516">
      <c r="A516" s="122"/>
      <c r="L516" s="122">
        <v>0.0</v>
      </c>
    </row>
    <row r="517">
      <c r="A517" s="122"/>
      <c r="L517" s="122">
        <v>0.0</v>
      </c>
    </row>
    <row r="518">
      <c r="A518" s="122"/>
      <c r="L518" s="122">
        <v>0.0</v>
      </c>
    </row>
    <row r="519">
      <c r="A519" s="122"/>
      <c r="L519" s="122">
        <v>0.0</v>
      </c>
    </row>
    <row r="520">
      <c r="A520" s="122"/>
      <c r="L520" s="122">
        <v>0.0</v>
      </c>
    </row>
    <row r="521">
      <c r="A521" s="122"/>
      <c r="L521" s="122">
        <v>0.0</v>
      </c>
    </row>
    <row r="522">
      <c r="A522" s="122"/>
      <c r="L522" s="122">
        <v>0.0</v>
      </c>
    </row>
    <row r="523">
      <c r="A523" s="122"/>
      <c r="L523" s="122">
        <v>0.0</v>
      </c>
    </row>
    <row r="524">
      <c r="A524" s="122"/>
      <c r="L524" s="122">
        <v>0.0</v>
      </c>
    </row>
    <row r="525">
      <c r="A525" s="122"/>
      <c r="L525" s="122">
        <v>0.0</v>
      </c>
    </row>
    <row r="526">
      <c r="A526" s="122"/>
      <c r="L526" s="122">
        <v>0.0</v>
      </c>
    </row>
    <row r="527">
      <c r="A527" s="122"/>
      <c r="L527" s="122">
        <v>0.0</v>
      </c>
    </row>
    <row r="528">
      <c r="A528" s="122"/>
      <c r="L528" s="122">
        <v>0.0</v>
      </c>
    </row>
    <row r="529">
      <c r="A529" s="122"/>
      <c r="L529" s="122">
        <v>0.0</v>
      </c>
    </row>
    <row r="530">
      <c r="A530" s="122"/>
      <c r="L530" s="122">
        <v>0.0</v>
      </c>
    </row>
    <row r="531">
      <c r="A531" s="122"/>
      <c r="L531" s="122">
        <v>0.0</v>
      </c>
    </row>
    <row r="532">
      <c r="A532" s="122"/>
      <c r="L532" s="122">
        <v>0.0</v>
      </c>
    </row>
    <row r="533">
      <c r="A533" s="122"/>
      <c r="L533" s="122">
        <v>0.0</v>
      </c>
    </row>
    <row r="534">
      <c r="A534" s="122"/>
      <c r="L534" s="122">
        <v>0.0</v>
      </c>
    </row>
    <row r="535">
      <c r="A535" s="122"/>
      <c r="L535" s="122">
        <v>0.0</v>
      </c>
    </row>
    <row r="536">
      <c r="A536" s="122"/>
      <c r="L536" s="122">
        <v>0.0</v>
      </c>
    </row>
    <row r="537">
      <c r="A537" s="122"/>
      <c r="L537" s="122">
        <v>0.0</v>
      </c>
    </row>
    <row r="538">
      <c r="A538" s="122"/>
      <c r="L538" s="122">
        <v>0.0</v>
      </c>
    </row>
    <row r="539">
      <c r="A539" s="122"/>
      <c r="L539" s="122">
        <v>0.0</v>
      </c>
    </row>
    <row r="540">
      <c r="A540" s="122"/>
      <c r="L540" s="122">
        <v>0.0</v>
      </c>
    </row>
    <row r="541">
      <c r="A541" s="122"/>
      <c r="L541" s="122">
        <v>0.0</v>
      </c>
    </row>
    <row r="542">
      <c r="A542" s="122"/>
      <c r="L542" s="122">
        <v>0.0</v>
      </c>
    </row>
    <row r="543">
      <c r="A543" s="122"/>
      <c r="L543" s="122">
        <v>0.0</v>
      </c>
    </row>
    <row r="544">
      <c r="A544" s="122"/>
      <c r="L544" s="122">
        <v>0.0</v>
      </c>
    </row>
    <row r="545">
      <c r="A545" s="122"/>
      <c r="L545" s="122">
        <v>0.0</v>
      </c>
    </row>
    <row r="546">
      <c r="A546" s="122"/>
      <c r="L546" s="122">
        <v>0.0</v>
      </c>
    </row>
    <row r="547">
      <c r="A547" s="122"/>
      <c r="L547" s="122">
        <v>0.0</v>
      </c>
    </row>
    <row r="548">
      <c r="A548" s="122"/>
      <c r="L548" s="122">
        <v>0.0</v>
      </c>
    </row>
    <row r="549">
      <c r="A549" s="122"/>
      <c r="L549" s="122">
        <v>0.0</v>
      </c>
    </row>
    <row r="550">
      <c r="A550" s="122"/>
      <c r="L550" s="122">
        <v>0.0</v>
      </c>
    </row>
    <row r="551">
      <c r="A551" s="122"/>
      <c r="L551" s="122">
        <v>0.0</v>
      </c>
    </row>
    <row r="552">
      <c r="A552" s="122"/>
      <c r="L552" s="122">
        <v>0.0</v>
      </c>
    </row>
    <row r="553">
      <c r="A553" s="122"/>
      <c r="L553" s="122">
        <v>0.0</v>
      </c>
    </row>
    <row r="554">
      <c r="A554" s="122"/>
      <c r="L554" s="122">
        <v>0.0</v>
      </c>
    </row>
    <row r="555">
      <c r="A555" s="122"/>
      <c r="L555" s="122">
        <v>0.0</v>
      </c>
    </row>
    <row r="556">
      <c r="A556" s="122"/>
      <c r="L556" s="122">
        <v>0.0</v>
      </c>
    </row>
    <row r="557">
      <c r="A557" s="122"/>
      <c r="L557" s="122">
        <v>0.0</v>
      </c>
    </row>
    <row r="558">
      <c r="A558" s="122"/>
      <c r="L558" s="122">
        <v>0.0</v>
      </c>
    </row>
    <row r="559">
      <c r="A559" s="122"/>
      <c r="L559" s="122">
        <v>0.0</v>
      </c>
    </row>
    <row r="560">
      <c r="A560" s="122"/>
      <c r="L560" s="122">
        <v>0.0</v>
      </c>
    </row>
    <row r="561">
      <c r="A561" s="122"/>
      <c r="L561" s="122">
        <v>0.0</v>
      </c>
    </row>
    <row r="562">
      <c r="A562" s="122"/>
      <c r="L562" s="122">
        <v>0.0</v>
      </c>
    </row>
    <row r="563">
      <c r="A563" s="122"/>
      <c r="L563" s="122">
        <v>0.0</v>
      </c>
    </row>
    <row r="564">
      <c r="A564" s="122"/>
      <c r="L564" s="122">
        <v>0.0</v>
      </c>
    </row>
    <row r="565">
      <c r="A565" s="122"/>
      <c r="L565" s="122">
        <v>0.0</v>
      </c>
    </row>
    <row r="566">
      <c r="A566" s="122"/>
      <c r="L566" s="122">
        <v>0.0</v>
      </c>
    </row>
    <row r="567">
      <c r="A567" s="122"/>
      <c r="L567" s="122">
        <v>0.0</v>
      </c>
    </row>
    <row r="568">
      <c r="A568" s="122"/>
      <c r="L568" s="122">
        <v>0.0</v>
      </c>
    </row>
    <row r="569">
      <c r="A569" s="122"/>
      <c r="L569" s="122">
        <v>0.0</v>
      </c>
    </row>
    <row r="570">
      <c r="A570" s="122"/>
      <c r="L570" s="122">
        <v>0.0</v>
      </c>
    </row>
    <row r="571">
      <c r="A571" s="122"/>
      <c r="L571" s="122">
        <v>0.0</v>
      </c>
    </row>
    <row r="572">
      <c r="A572" s="122"/>
      <c r="L572" s="122">
        <v>0.0</v>
      </c>
    </row>
    <row r="573">
      <c r="A573" s="122"/>
      <c r="L573" s="122">
        <v>0.0</v>
      </c>
    </row>
    <row r="574">
      <c r="A574" s="122"/>
      <c r="L574" s="122">
        <v>0.0</v>
      </c>
    </row>
    <row r="575">
      <c r="A575" s="122"/>
      <c r="L575" s="122">
        <v>0.0</v>
      </c>
    </row>
    <row r="576">
      <c r="A576" s="122"/>
      <c r="L576" s="122">
        <v>0.0</v>
      </c>
    </row>
    <row r="577">
      <c r="A577" s="122"/>
      <c r="L577" s="122">
        <v>0.0</v>
      </c>
    </row>
    <row r="578">
      <c r="A578" s="122"/>
      <c r="L578" s="122">
        <v>0.0</v>
      </c>
    </row>
    <row r="579">
      <c r="A579" s="122"/>
      <c r="L579" s="122">
        <v>0.0</v>
      </c>
    </row>
    <row r="580">
      <c r="A580" s="122"/>
      <c r="L580" s="122">
        <v>0.0</v>
      </c>
    </row>
    <row r="581">
      <c r="A581" s="122"/>
      <c r="L581" s="122">
        <v>0.0</v>
      </c>
    </row>
    <row r="582">
      <c r="A582" s="122"/>
      <c r="L582" s="122">
        <v>0.0</v>
      </c>
    </row>
    <row r="583">
      <c r="A583" s="122"/>
      <c r="L583" s="122">
        <v>0.0</v>
      </c>
    </row>
    <row r="584">
      <c r="A584" s="122"/>
      <c r="L584" s="122">
        <v>0.0</v>
      </c>
    </row>
    <row r="585">
      <c r="A585" s="122"/>
      <c r="L585" s="122">
        <v>0.0</v>
      </c>
    </row>
    <row r="586">
      <c r="A586" s="122"/>
      <c r="L586" s="122">
        <v>0.0</v>
      </c>
    </row>
    <row r="587">
      <c r="A587" s="122"/>
      <c r="L587" s="122">
        <v>0.0</v>
      </c>
    </row>
    <row r="588">
      <c r="A588" s="122"/>
      <c r="L588" s="122">
        <v>0.0</v>
      </c>
    </row>
    <row r="589">
      <c r="A589" s="122"/>
      <c r="L589" s="122">
        <v>0.0</v>
      </c>
    </row>
    <row r="590">
      <c r="A590" s="122"/>
      <c r="L590" s="122">
        <v>0.0</v>
      </c>
    </row>
    <row r="591">
      <c r="A591" s="122"/>
      <c r="L591" s="122">
        <v>0.0</v>
      </c>
    </row>
    <row r="592">
      <c r="A592" s="122"/>
      <c r="L592" s="122">
        <v>0.0</v>
      </c>
    </row>
    <row r="593">
      <c r="A593" s="122"/>
      <c r="L593" s="122">
        <v>0.0</v>
      </c>
    </row>
    <row r="594">
      <c r="A594" s="122"/>
      <c r="L594" s="122">
        <v>0.0</v>
      </c>
    </row>
    <row r="595">
      <c r="A595" s="122"/>
      <c r="L595" s="122">
        <v>0.0</v>
      </c>
    </row>
    <row r="596">
      <c r="A596" s="122"/>
      <c r="L596" s="122">
        <v>0.0</v>
      </c>
    </row>
    <row r="597">
      <c r="A597" s="122"/>
      <c r="L597" s="122">
        <v>0.0</v>
      </c>
    </row>
    <row r="598">
      <c r="A598" s="122"/>
      <c r="L598" s="122">
        <v>0.0</v>
      </c>
    </row>
    <row r="599">
      <c r="A599" s="122"/>
      <c r="L599" s="122">
        <v>0.0</v>
      </c>
    </row>
    <row r="600">
      <c r="A600" s="122"/>
      <c r="L600" s="122">
        <v>0.0</v>
      </c>
    </row>
    <row r="601">
      <c r="A601" s="122"/>
      <c r="L601" s="122">
        <v>0.0</v>
      </c>
    </row>
    <row r="602">
      <c r="A602" s="122"/>
      <c r="L602" s="122">
        <v>0.0</v>
      </c>
    </row>
    <row r="603">
      <c r="A603" s="122"/>
      <c r="L603" s="122">
        <v>0.0</v>
      </c>
    </row>
    <row r="604">
      <c r="A604" s="122"/>
      <c r="L604" s="122">
        <v>0.0</v>
      </c>
    </row>
    <row r="605">
      <c r="A605" s="122"/>
      <c r="L605" s="122">
        <v>0.0</v>
      </c>
    </row>
    <row r="606">
      <c r="A606" s="122"/>
      <c r="L606" s="122">
        <v>0.0</v>
      </c>
    </row>
    <row r="607">
      <c r="A607" s="122"/>
      <c r="L607" s="122">
        <v>0.0</v>
      </c>
    </row>
    <row r="608">
      <c r="A608" s="122"/>
      <c r="L608" s="122">
        <v>0.0</v>
      </c>
    </row>
    <row r="609">
      <c r="A609" s="122"/>
      <c r="L609" s="122">
        <v>0.0</v>
      </c>
    </row>
    <row r="610">
      <c r="A610" s="122"/>
      <c r="L610" s="122">
        <v>0.0</v>
      </c>
    </row>
    <row r="611">
      <c r="A611" s="122"/>
      <c r="L611" s="122">
        <v>0.0</v>
      </c>
    </row>
    <row r="612">
      <c r="A612" s="122"/>
      <c r="L612" s="122">
        <v>0.0</v>
      </c>
    </row>
    <row r="613">
      <c r="A613" s="122"/>
      <c r="L613" s="122">
        <v>0.0</v>
      </c>
    </row>
    <row r="614">
      <c r="A614" s="122"/>
      <c r="L614" s="122">
        <v>0.0</v>
      </c>
    </row>
    <row r="615">
      <c r="A615" s="122"/>
      <c r="L615" s="122">
        <v>0.0</v>
      </c>
    </row>
    <row r="616">
      <c r="A616" s="122"/>
      <c r="L616" s="122">
        <v>0.0</v>
      </c>
    </row>
    <row r="617">
      <c r="A617" s="122"/>
      <c r="L617" s="122">
        <v>0.0</v>
      </c>
    </row>
    <row r="618">
      <c r="A618" s="122"/>
      <c r="L618" s="122">
        <v>0.0</v>
      </c>
    </row>
    <row r="619">
      <c r="A619" s="122"/>
      <c r="L619" s="122">
        <v>0.0</v>
      </c>
    </row>
    <row r="620">
      <c r="A620" s="122"/>
      <c r="L620" s="122">
        <v>0.0</v>
      </c>
    </row>
    <row r="621">
      <c r="A621" s="122"/>
      <c r="L621" s="122">
        <v>0.0</v>
      </c>
    </row>
    <row r="622">
      <c r="A622" s="122"/>
      <c r="L622" s="122">
        <v>0.0</v>
      </c>
    </row>
    <row r="623">
      <c r="A623" s="122"/>
      <c r="L623" s="122">
        <v>0.0</v>
      </c>
    </row>
    <row r="624">
      <c r="A624" s="122"/>
      <c r="L624" s="122">
        <v>0.0</v>
      </c>
    </row>
    <row r="625">
      <c r="A625" s="122"/>
      <c r="L625" s="122">
        <v>0.0</v>
      </c>
    </row>
    <row r="626">
      <c r="A626" s="122"/>
      <c r="L626" s="122">
        <v>0.0</v>
      </c>
    </row>
    <row r="627">
      <c r="A627" s="122"/>
      <c r="L627" s="122">
        <v>0.0</v>
      </c>
    </row>
    <row r="628">
      <c r="A628" s="122"/>
      <c r="L628" s="122">
        <v>0.0</v>
      </c>
    </row>
    <row r="629">
      <c r="A629" s="122"/>
      <c r="L629" s="122">
        <v>0.0</v>
      </c>
    </row>
    <row r="630">
      <c r="A630" s="122"/>
      <c r="L630" s="122">
        <v>0.0</v>
      </c>
    </row>
    <row r="631">
      <c r="A631" s="122"/>
      <c r="L631" s="122">
        <v>0.0</v>
      </c>
    </row>
    <row r="632">
      <c r="A632" s="122"/>
      <c r="L632" s="122">
        <v>0.0</v>
      </c>
    </row>
    <row r="633">
      <c r="A633" s="122"/>
      <c r="L633" s="122">
        <v>0.0</v>
      </c>
    </row>
    <row r="634">
      <c r="A634" s="122"/>
      <c r="L634" s="122">
        <v>0.0</v>
      </c>
    </row>
    <row r="635">
      <c r="A635" s="122"/>
      <c r="L635" s="122">
        <v>0.0</v>
      </c>
    </row>
    <row r="636">
      <c r="A636" s="122"/>
      <c r="L636" s="122">
        <v>0.0</v>
      </c>
    </row>
    <row r="637">
      <c r="A637" s="122"/>
      <c r="L637" s="122">
        <v>0.0</v>
      </c>
    </row>
    <row r="638">
      <c r="A638" s="122"/>
      <c r="L638" s="122">
        <v>0.0</v>
      </c>
    </row>
    <row r="639">
      <c r="A639" s="122"/>
      <c r="L639" s="122">
        <v>0.0</v>
      </c>
    </row>
    <row r="640">
      <c r="A640" s="122"/>
      <c r="L640" s="122">
        <v>0.0</v>
      </c>
    </row>
    <row r="641">
      <c r="A641" s="122"/>
      <c r="L641" s="122">
        <v>0.0</v>
      </c>
    </row>
    <row r="642">
      <c r="A642" s="122"/>
      <c r="L642" s="122">
        <v>0.0</v>
      </c>
    </row>
    <row r="643">
      <c r="A643" s="122"/>
      <c r="L643" s="122">
        <v>0.0</v>
      </c>
    </row>
    <row r="644">
      <c r="A644" s="122"/>
      <c r="L644" s="122">
        <v>0.0</v>
      </c>
    </row>
    <row r="645">
      <c r="A645" s="122"/>
      <c r="L645" s="122">
        <v>0.0</v>
      </c>
    </row>
    <row r="646">
      <c r="A646" s="122"/>
      <c r="L646" s="122">
        <v>0.0</v>
      </c>
    </row>
    <row r="647">
      <c r="A647" s="122"/>
      <c r="L647" s="122">
        <v>0.0</v>
      </c>
    </row>
    <row r="648">
      <c r="A648" s="122"/>
      <c r="L648" s="122">
        <v>0.0</v>
      </c>
    </row>
    <row r="649">
      <c r="A649" s="122"/>
      <c r="L649" s="122">
        <v>0.0</v>
      </c>
    </row>
    <row r="650">
      <c r="A650" s="122"/>
      <c r="L650" s="122">
        <v>0.0</v>
      </c>
    </row>
    <row r="651">
      <c r="A651" s="122"/>
      <c r="L651" s="122">
        <v>0.0</v>
      </c>
    </row>
    <row r="652">
      <c r="A652" s="122"/>
      <c r="L652" s="122">
        <v>0.0</v>
      </c>
    </row>
    <row r="653">
      <c r="A653" s="122"/>
      <c r="L653" s="122">
        <v>0.0</v>
      </c>
    </row>
    <row r="654">
      <c r="A654" s="122"/>
      <c r="L654" s="122">
        <v>0.0</v>
      </c>
    </row>
    <row r="655">
      <c r="A655" s="122"/>
      <c r="L655" s="122">
        <v>0.0</v>
      </c>
    </row>
    <row r="656">
      <c r="A656" s="122"/>
      <c r="L656" s="122">
        <v>0.0</v>
      </c>
    </row>
    <row r="657">
      <c r="A657" s="122"/>
      <c r="L657" s="122">
        <v>0.0</v>
      </c>
    </row>
    <row r="658">
      <c r="A658" s="122"/>
      <c r="L658" s="122">
        <v>0.0</v>
      </c>
    </row>
    <row r="659">
      <c r="A659" s="122"/>
      <c r="L659" s="122">
        <v>0.0</v>
      </c>
    </row>
    <row r="660">
      <c r="A660" s="122"/>
      <c r="L660" s="122">
        <v>0.0</v>
      </c>
    </row>
    <row r="661">
      <c r="A661" s="122"/>
      <c r="L661" s="122">
        <v>0.0</v>
      </c>
    </row>
    <row r="662">
      <c r="A662" s="122"/>
      <c r="L662" s="122">
        <v>0.0</v>
      </c>
    </row>
    <row r="663">
      <c r="A663" s="122"/>
      <c r="L663" s="122">
        <v>0.0</v>
      </c>
    </row>
    <row r="664">
      <c r="A664" s="122"/>
      <c r="L664" s="122">
        <v>0.0</v>
      </c>
    </row>
    <row r="665">
      <c r="A665" s="122"/>
      <c r="L665" s="122">
        <v>0.0</v>
      </c>
    </row>
    <row r="666">
      <c r="A666" s="122"/>
      <c r="L666" s="122">
        <v>0.0</v>
      </c>
    </row>
    <row r="667">
      <c r="A667" s="122"/>
      <c r="L667" s="122">
        <v>0.0</v>
      </c>
    </row>
    <row r="668">
      <c r="A668" s="122"/>
      <c r="L668" s="122">
        <v>0.0</v>
      </c>
    </row>
    <row r="669">
      <c r="A669" s="122"/>
      <c r="L669" s="122">
        <v>0.0</v>
      </c>
    </row>
    <row r="670">
      <c r="A670" s="122"/>
      <c r="L670" s="122">
        <v>0.0</v>
      </c>
    </row>
    <row r="671">
      <c r="A671" s="122"/>
      <c r="L671" s="122">
        <v>0.0</v>
      </c>
    </row>
    <row r="672">
      <c r="A672" s="122"/>
      <c r="L672" s="122">
        <v>0.0</v>
      </c>
    </row>
    <row r="673">
      <c r="A673" s="122"/>
      <c r="L673" s="122">
        <v>0.0</v>
      </c>
    </row>
    <row r="674">
      <c r="A674" s="122"/>
      <c r="L674" s="122">
        <v>0.0</v>
      </c>
    </row>
    <row r="675">
      <c r="A675" s="122"/>
      <c r="L675" s="122">
        <v>0.0</v>
      </c>
    </row>
    <row r="676">
      <c r="A676" s="122"/>
      <c r="L676" s="122">
        <v>0.0</v>
      </c>
    </row>
    <row r="677">
      <c r="A677" s="122"/>
      <c r="L677" s="122">
        <v>0.0</v>
      </c>
    </row>
    <row r="678">
      <c r="A678" s="122"/>
      <c r="L678" s="122">
        <v>0.0</v>
      </c>
    </row>
    <row r="679">
      <c r="A679" s="122"/>
      <c r="L679" s="122">
        <v>0.0</v>
      </c>
    </row>
    <row r="680">
      <c r="A680" s="122"/>
      <c r="L680" s="122">
        <v>0.0</v>
      </c>
    </row>
    <row r="681">
      <c r="A681" s="122"/>
      <c r="L681" s="122">
        <v>0.0</v>
      </c>
    </row>
    <row r="682">
      <c r="A682" s="122"/>
      <c r="L682" s="122">
        <v>0.0</v>
      </c>
    </row>
    <row r="683">
      <c r="A683" s="122"/>
      <c r="L683" s="122">
        <v>0.0</v>
      </c>
    </row>
    <row r="684">
      <c r="A684" s="122"/>
      <c r="L684" s="122">
        <v>0.0</v>
      </c>
    </row>
    <row r="685">
      <c r="A685" s="122"/>
      <c r="L685" s="122">
        <v>0.0</v>
      </c>
    </row>
    <row r="686">
      <c r="A686" s="122"/>
      <c r="L686" s="122">
        <v>0.0</v>
      </c>
    </row>
    <row r="687">
      <c r="A687" s="122"/>
      <c r="L687" s="122">
        <v>0.0</v>
      </c>
    </row>
    <row r="688">
      <c r="A688" s="122"/>
      <c r="L688" s="122">
        <v>0.0</v>
      </c>
    </row>
    <row r="689">
      <c r="A689" s="122"/>
      <c r="L689" s="122">
        <v>0.0</v>
      </c>
    </row>
    <row r="690">
      <c r="A690" s="122"/>
      <c r="L690" s="122">
        <v>0.0</v>
      </c>
    </row>
    <row r="691">
      <c r="A691" s="122"/>
      <c r="L691" s="122">
        <v>0.0</v>
      </c>
    </row>
    <row r="692">
      <c r="A692" s="122"/>
      <c r="L692" s="122">
        <v>0.0</v>
      </c>
    </row>
    <row r="693">
      <c r="A693" s="122"/>
      <c r="L693" s="122">
        <v>0.0</v>
      </c>
    </row>
    <row r="694">
      <c r="A694" s="122"/>
      <c r="L694" s="122">
        <v>0.0</v>
      </c>
    </row>
    <row r="695">
      <c r="A695" s="122"/>
      <c r="L695" s="122">
        <v>0.0</v>
      </c>
    </row>
    <row r="696">
      <c r="A696" s="122"/>
      <c r="L696" s="122">
        <v>0.0</v>
      </c>
    </row>
    <row r="697">
      <c r="A697" s="122"/>
      <c r="L697" s="122">
        <v>0.0</v>
      </c>
    </row>
    <row r="698">
      <c r="A698" s="122"/>
      <c r="L698" s="122">
        <v>0.0</v>
      </c>
    </row>
    <row r="699">
      <c r="A699" s="122"/>
      <c r="L699" s="122">
        <v>0.0</v>
      </c>
    </row>
    <row r="700">
      <c r="A700" s="122"/>
      <c r="L700" s="122">
        <v>0.0</v>
      </c>
    </row>
    <row r="701">
      <c r="A701" s="122"/>
      <c r="L701" s="122">
        <v>0.0</v>
      </c>
    </row>
    <row r="702">
      <c r="A702" s="122"/>
      <c r="L702" s="122">
        <v>0.0</v>
      </c>
    </row>
    <row r="703">
      <c r="A703" s="122"/>
      <c r="L703" s="122">
        <v>0.0</v>
      </c>
    </row>
    <row r="704">
      <c r="A704" s="122"/>
      <c r="L704" s="122">
        <v>0.0</v>
      </c>
    </row>
    <row r="705">
      <c r="A705" s="122"/>
      <c r="L705" s="122">
        <v>0.0</v>
      </c>
    </row>
    <row r="706">
      <c r="A706" s="122"/>
      <c r="L706" s="122">
        <v>0.0</v>
      </c>
    </row>
    <row r="707">
      <c r="A707" s="122"/>
      <c r="L707" s="122">
        <v>0.0</v>
      </c>
    </row>
    <row r="708">
      <c r="A708" s="122"/>
      <c r="L708" s="122">
        <v>0.0</v>
      </c>
    </row>
    <row r="709">
      <c r="A709" s="122"/>
      <c r="L709" s="122">
        <v>0.0</v>
      </c>
    </row>
    <row r="710">
      <c r="A710" s="122"/>
      <c r="L710" s="122">
        <v>0.0</v>
      </c>
    </row>
    <row r="711">
      <c r="A711" s="122"/>
      <c r="L711" s="122">
        <v>0.0</v>
      </c>
    </row>
    <row r="712">
      <c r="A712" s="122"/>
      <c r="L712" s="122">
        <v>0.0</v>
      </c>
    </row>
    <row r="713">
      <c r="A713" s="122"/>
      <c r="L713" s="122">
        <v>0.0</v>
      </c>
    </row>
    <row r="714">
      <c r="A714" s="122"/>
      <c r="L714" s="122">
        <v>0.0</v>
      </c>
    </row>
    <row r="715">
      <c r="A715" s="122"/>
      <c r="L715" s="122">
        <v>0.0</v>
      </c>
    </row>
    <row r="716">
      <c r="A716" s="122"/>
      <c r="L716" s="122">
        <v>0.0</v>
      </c>
    </row>
    <row r="717">
      <c r="A717" s="122"/>
      <c r="L717" s="122">
        <v>0.0</v>
      </c>
    </row>
    <row r="718">
      <c r="A718" s="122"/>
      <c r="L718" s="122">
        <v>0.0</v>
      </c>
    </row>
    <row r="719">
      <c r="A719" s="122"/>
      <c r="L719" s="122">
        <v>0.0</v>
      </c>
    </row>
    <row r="720">
      <c r="A720" s="122"/>
      <c r="L720" s="122">
        <v>0.0</v>
      </c>
    </row>
    <row r="721">
      <c r="A721" s="122"/>
      <c r="L721" s="122">
        <v>0.0</v>
      </c>
    </row>
    <row r="722">
      <c r="A722" s="122"/>
      <c r="L722" s="122">
        <v>0.0</v>
      </c>
    </row>
    <row r="723">
      <c r="A723" s="122"/>
      <c r="L723" s="122">
        <v>0.0</v>
      </c>
    </row>
    <row r="724">
      <c r="A724" s="122"/>
      <c r="L724" s="122">
        <v>0.0</v>
      </c>
    </row>
    <row r="725">
      <c r="A725" s="122"/>
      <c r="L725" s="122">
        <v>0.0</v>
      </c>
    </row>
    <row r="726">
      <c r="A726" s="122"/>
      <c r="L726" s="122">
        <v>0.0</v>
      </c>
    </row>
    <row r="727">
      <c r="A727" s="122"/>
      <c r="L727" s="122">
        <v>0.0</v>
      </c>
    </row>
    <row r="728">
      <c r="A728" s="122"/>
      <c r="L728" s="122">
        <v>0.0</v>
      </c>
    </row>
    <row r="729">
      <c r="A729" s="122"/>
      <c r="L729" s="122">
        <v>0.0</v>
      </c>
    </row>
    <row r="730">
      <c r="A730" s="122"/>
      <c r="L730" s="122">
        <v>0.0</v>
      </c>
    </row>
    <row r="731">
      <c r="A731" s="122"/>
      <c r="L731" s="122">
        <v>0.0</v>
      </c>
    </row>
    <row r="732">
      <c r="A732" s="122"/>
      <c r="L732" s="122">
        <v>0.0</v>
      </c>
    </row>
    <row r="733">
      <c r="A733" s="122"/>
      <c r="L733" s="122">
        <v>0.0</v>
      </c>
    </row>
    <row r="734">
      <c r="A734" s="122"/>
      <c r="L734" s="122">
        <v>0.0</v>
      </c>
    </row>
    <row r="735">
      <c r="A735" s="122"/>
      <c r="L735" s="122">
        <v>0.0</v>
      </c>
    </row>
    <row r="736">
      <c r="A736" s="122"/>
      <c r="L736" s="122">
        <v>0.0</v>
      </c>
    </row>
    <row r="737">
      <c r="A737" s="122"/>
      <c r="L737" s="122">
        <v>0.0</v>
      </c>
    </row>
    <row r="738">
      <c r="A738" s="122"/>
      <c r="L738" s="122">
        <v>0.0</v>
      </c>
    </row>
    <row r="739">
      <c r="A739" s="122"/>
      <c r="L739" s="122">
        <v>0.0</v>
      </c>
    </row>
    <row r="740">
      <c r="A740" s="122"/>
      <c r="L740" s="122">
        <v>0.0</v>
      </c>
    </row>
    <row r="741">
      <c r="A741" s="122"/>
      <c r="L741" s="122">
        <v>0.0</v>
      </c>
    </row>
    <row r="742">
      <c r="A742" s="122"/>
      <c r="L742" s="122">
        <v>0.0</v>
      </c>
    </row>
    <row r="743">
      <c r="A743" s="122"/>
      <c r="L743" s="122">
        <v>0.0</v>
      </c>
    </row>
    <row r="744">
      <c r="A744" s="122"/>
      <c r="L744" s="122">
        <v>0.0</v>
      </c>
    </row>
    <row r="745">
      <c r="A745" s="122"/>
      <c r="L745" s="122">
        <v>0.0</v>
      </c>
    </row>
    <row r="746">
      <c r="A746" s="122"/>
      <c r="L746" s="122">
        <v>0.0</v>
      </c>
    </row>
    <row r="747">
      <c r="A747" s="122"/>
      <c r="L747" s="122">
        <v>0.0</v>
      </c>
    </row>
    <row r="748">
      <c r="A748" s="122"/>
      <c r="L748" s="122">
        <v>0.0</v>
      </c>
    </row>
    <row r="749">
      <c r="A749" s="122"/>
      <c r="L749" s="122">
        <v>0.0</v>
      </c>
    </row>
    <row r="750">
      <c r="A750" s="122"/>
      <c r="L750" s="122">
        <v>0.0</v>
      </c>
    </row>
    <row r="751">
      <c r="A751" s="122"/>
      <c r="L751" s="122">
        <v>0.0</v>
      </c>
    </row>
    <row r="752">
      <c r="A752" s="122"/>
      <c r="L752" s="122">
        <v>0.0</v>
      </c>
    </row>
    <row r="753">
      <c r="A753" s="122"/>
      <c r="L753" s="122">
        <v>0.0</v>
      </c>
    </row>
    <row r="754">
      <c r="A754" s="122"/>
      <c r="L754" s="122">
        <v>0.0</v>
      </c>
    </row>
    <row r="755">
      <c r="A755" s="122"/>
      <c r="L755" s="122">
        <v>0.0</v>
      </c>
    </row>
    <row r="756">
      <c r="A756" s="122"/>
      <c r="L756" s="122">
        <v>0.0</v>
      </c>
    </row>
    <row r="757">
      <c r="A757" s="122"/>
      <c r="L757" s="122">
        <v>0.0</v>
      </c>
    </row>
    <row r="758">
      <c r="A758" s="122"/>
      <c r="L758" s="122">
        <v>0.0</v>
      </c>
    </row>
    <row r="759">
      <c r="A759" s="122"/>
      <c r="L759" s="122">
        <v>0.0</v>
      </c>
    </row>
    <row r="760">
      <c r="A760" s="122"/>
      <c r="L760" s="122">
        <v>0.0</v>
      </c>
    </row>
    <row r="761">
      <c r="A761" s="122"/>
      <c r="L761" s="122">
        <v>0.0</v>
      </c>
    </row>
    <row r="762">
      <c r="A762" s="122"/>
      <c r="L762" s="122">
        <v>0.0</v>
      </c>
    </row>
    <row r="763">
      <c r="A763" s="122"/>
      <c r="L763" s="122">
        <v>0.0</v>
      </c>
    </row>
    <row r="764">
      <c r="A764" s="122"/>
      <c r="L764" s="122">
        <v>0.0</v>
      </c>
    </row>
    <row r="765">
      <c r="A765" s="122"/>
      <c r="L765" s="122">
        <v>0.0</v>
      </c>
    </row>
    <row r="766">
      <c r="A766" s="122"/>
      <c r="L766" s="122">
        <v>0.0</v>
      </c>
    </row>
    <row r="767">
      <c r="A767" s="122"/>
      <c r="L767" s="122">
        <v>0.0</v>
      </c>
    </row>
    <row r="768">
      <c r="A768" s="122"/>
      <c r="L768" s="122">
        <v>0.0</v>
      </c>
    </row>
    <row r="769">
      <c r="A769" s="122"/>
      <c r="L769" s="122">
        <v>0.0</v>
      </c>
    </row>
    <row r="770">
      <c r="A770" s="122"/>
      <c r="L770" s="122">
        <v>0.0</v>
      </c>
    </row>
    <row r="771">
      <c r="A771" s="122"/>
      <c r="L771" s="122">
        <v>0.0</v>
      </c>
    </row>
    <row r="772">
      <c r="A772" s="122"/>
      <c r="L772" s="122">
        <v>0.0</v>
      </c>
    </row>
    <row r="773">
      <c r="A773" s="122"/>
      <c r="L773" s="122">
        <v>0.0</v>
      </c>
    </row>
    <row r="774">
      <c r="A774" s="122"/>
      <c r="L774" s="122">
        <v>0.0</v>
      </c>
    </row>
    <row r="775">
      <c r="A775" s="122"/>
      <c r="L775" s="122">
        <v>0.0</v>
      </c>
    </row>
    <row r="776">
      <c r="A776" s="122"/>
      <c r="L776" s="122">
        <v>0.0</v>
      </c>
    </row>
    <row r="777">
      <c r="A777" s="122"/>
      <c r="L777" s="122">
        <v>0.0</v>
      </c>
    </row>
    <row r="778">
      <c r="A778" s="122"/>
      <c r="L778" s="122">
        <v>0.0</v>
      </c>
    </row>
    <row r="779">
      <c r="A779" s="122"/>
      <c r="L779" s="122">
        <v>0.0</v>
      </c>
    </row>
    <row r="780">
      <c r="A780" s="122"/>
      <c r="L780" s="122">
        <v>0.0</v>
      </c>
    </row>
    <row r="781">
      <c r="A781" s="122"/>
      <c r="L781" s="122">
        <v>0.0</v>
      </c>
    </row>
    <row r="782">
      <c r="A782" s="122"/>
      <c r="L782" s="122">
        <v>0.0</v>
      </c>
    </row>
    <row r="783">
      <c r="A783" s="122"/>
      <c r="L783" s="122">
        <v>0.0</v>
      </c>
    </row>
    <row r="784">
      <c r="A784" s="122"/>
      <c r="L784" s="122">
        <v>0.0</v>
      </c>
    </row>
    <row r="785">
      <c r="A785" s="122"/>
      <c r="L785" s="122">
        <v>0.0</v>
      </c>
    </row>
    <row r="786">
      <c r="A786" s="122"/>
      <c r="L786" s="122">
        <v>0.0</v>
      </c>
    </row>
    <row r="787">
      <c r="A787" s="122"/>
      <c r="L787" s="122">
        <v>0.0</v>
      </c>
    </row>
    <row r="788">
      <c r="A788" s="122"/>
      <c r="L788" s="122">
        <v>0.0</v>
      </c>
    </row>
    <row r="789">
      <c r="A789" s="122"/>
      <c r="L789" s="122">
        <v>0.0</v>
      </c>
    </row>
    <row r="790">
      <c r="A790" s="122"/>
      <c r="L790" s="122">
        <v>0.0</v>
      </c>
    </row>
    <row r="791">
      <c r="A791" s="122"/>
      <c r="L791" s="122">
        <v>0.0</v>
      </c>
    </row>
    <row r="792">
      <c r="A792" s="122"/>
      <c r="L792" s="122">
        <v>0.0</v>
      </c>
    </row>
    <row r="793">
      <c r="A793" s="122"/>
      <c r="L793" s="122">
        <v>0.0</v>
      </c>
    </row>
    <row r="794">
      <c r="A794" s="122"/>
      <c r="L794" s="122">
        <v>0.0</v>
      </c>
    </row>
    <row r="795">
      <c r="A795" s="122"/>
      <c r="L795" s="122">
        <v>0.0</v>
      </c>
    </row>
    <row r="796">
      <c r="A796" s="122"/>
      <c r="L796" s="122">
        <v>0.0</v>
      </c>
    </row>
    <row r="797">
      <c r="A797" s="122"/>
      <c r="L797" s="122">
        <v>0.0</v>
      </c>
    </row>
    <row r="798">
      <c r="A798" s="122"/>
      <c r="L798" s="122">
        <v>0.0</v>
      </c>
    </row>
    <row r="799">
      <c r="A799" s="122"/>
      <c r="L799" s="122">
        <v>0.0</v>
      </c>
    </row>
    <row r="800">
      <c r="A800" s="122"/>
      <c r="L800" s="122">
        <v>0.0</v>
      </c>
    </row>
    <row r="801">
      <c r="A801" s="122"/>
      <c r="L801" s="122">
        <v>0.0</v>
      </c>
    </row>
    <row r="802">
      <c r="A802" s="122"/>
      <c r="L802" s="122">
        <v>0.0</v>
      </c>
    </row>
    <row r="803">
      <c r="A803" s="122"/>
      <c r="L803" s="122">
        <v>0.0</v>
      </c>
    </row>
    <row r="804">
      <c r="A804" s="122"/>
      <c r="L804" s="122">
        <v>0.0</v>
      </c>
    </row>
    <row r="805">
      <c r="A805" s="122"/>
      <c r="L805" s="122">
        <v>0.0</v>
      </c>
    </row>
    <row r="806">
      <c r="A806" s="122"/>
      <c r="L806" s="122">
        <v>0.0</v>
      </c>
    </row>
    <row r="807">
      <c r="A807" s="122"/>
      <c r="L807" s="122">
        <v>0.0</v>
      </c>
    </row>
    <row r="808">
      <c r="A808" s="122"/>
      <c r="L808" s="122">
        <v>0.0</v>
      </c>
    </row>
    <row r="809">
      <c r="A809" s="122"/>
      <c r="L809" s="122">
        <v>0.0</v>
      </c>
    </row>
    <row r="810">
      <c r="A810" s="122"/>
      <c r="L810" s="122">
        <v>0.0</v>
      </c>
    </row>
    <row r="811">
      <c r="A811" s="122"/>
      <c r="L811" s="122">
        <v>0.0</v>
      </c>
    </row>
    <row r="812">
      <c r="A812" s="122"/>
      <c r="L812" s="122">
        <v>0.0</v>
      </c>
    </row>
    <row r="813">
      <c r="A813" s="122"/>
      <c r="L813" s="122">
        <v>0.0</v>
      </c>
    </row>
    <row r="814">
      <c r="A814" s="122"/>
      <c r="L814" s="122">
        <v>0.0</v>
      </c>
    </row>
    <row r="815">
      <c r="A815" s="122"/>
      <c r="L815" s="122">
        <v>0.0</v>
      </c>
    </row>
    <row r="816">
      <c r="A816" s="122"/>
      <c r="L816" s="122">
        <v>0.0</v>
      </c>
    </row>
    <row r="817">
      <c r="A817" s="122"/>
      <c r="L817" s="122">
        <v>0.0</v>
      </c>
    </row>
    <row r="818">
      <c r="A818" s="122"/>
      <c r="L818" s="122">
        <v>0.0</v>
      </c>
    </row>
    <row r="819">
      <c r="A819" s="122"/>
      <c r="L819" s="122">
        <v>0.0</v>
      </c>
    </row>
    <row r="820">
      <c r="A820" s="122"/>
      <c r="L820" s="122">
        <v>0.0</v>
      </c>
    </row>
    <row r="821">
      <c r="A821" s="122"/>
      <c r="L821" s="122">
        <v>0.0</v>
      </c>
    </row>
    <row r="822">
      <c r="A822" s="122"/>
      <c r="L822" s="122">
        <v>0.0</v>
      </c>
    </row>
    <row r="823">
      <c r="A823" s="122"/>
      <c r="L823" s="122">
        <v>0.0</v>
      </c>
    </row>
    <row r="824">
      <c r="A824" s="122"/>
      <c r="L824" s="122">
        <v>0.0</v>
      </c>
    </row>
    <row r="825">
      <c r="A825" s="122"/>
      <c r="L825" s="122">
        <v>0.0</v>
      </c>
    </row>
    <row r="826">
      <c r="A826" s="122"/>
      <c r="L826" s="122">
        <v>0.0</v>
      </c>
    </row>
    <row r="827">
      <c r="A827" s="122"/>
      <c r="L827" s="122">
        <v>0.0</v>
      </c>
    </row>
    <row r="828">
      <c r="A828" s="122"/>
      <c r="L828" s="122">
        <v>0.0</v>
      </c>
    </row>
    <row r="829">
      <c r="A829" s="122"/>
      <c r="L829" s="122">
        <v>0.0</v>
      </c>
    </row>
    <row r="830">
      <c r="A830" s="122"/>
      <c r="L830" s="122">
        <v>0.0</v>
      </c>
    </row>
    <row r="831">
      <c r="A831" s="122"/>
      <c r="L831" s="122">
        <v>0.0</v>
      </c>
    </row>
    <row r="832">
      <c r="A832" s="122"/>
      <c r="L832" s="122">
        <v>0.0</v>
      </c>
    </row>
    <row r="833">
      <c r="A833" s="122"/>
      <c r="L833" s="122">
        <v>0.0</v>
      </c>
    </row>
    <row r="834">
      <c r="A834" s="122"/>
      <c r="L834" s="122">
        <v>0.0</v>
      </c>
    </row>
    <row r="835">
      <c r="A835" s="122"/>
      <c r="L835" s="122">
        <v>0.0</v>
      </c>
    </row>
    <row r="836">
      <c r="A836" s="122"/>
      <c r="L836" s="122">
        <v>0.0</v>
      </c>
    </row>
    <row r="837">
      <c r="A837" s="122"/>
      <c r="L837" s="122">
        <v>0.0</v>
      </c>
    </row>
    <row r="838">
      <c r="A838" s="122"/>
      <c r="L838" s="122">
        <v>0.0</v>
      </c>
    </row>
    <row r="839">
      <c r="A839" s="122"/>
      <c r="L839" s="122">
        <v>0.0</v>
      </c>
    </row>
    <row r="840">
      <c r="A840" s="122"/>
      <c r="L840" s="122">
        <v>0.0</v>
      </c>
    </row>
    <row r="841">
      <c r="A841" s="122"/>
      <c r="L841" s="122">
        <v>0.0</v>
      </c>
    </row>
    <row r="842">
      <c r="A842" s="122"/>
      <c r="L842" s="122">
        <v>0.0</v>
      </c>
    </row>
    <row r="843">
      <c r="A843" s="122"/>
      <c r="L843" s="122">
        <v>0.0</v>
      </c>
    </row>
    <row r="844">
      <c r="A844" s="122"/>
      <c r="L844" s="122">
        <v>0.0</v>
      </c>
    </row>
    <row r="845">
      <c r="A845" s="122"/>
      <c r="L845" s="122">
        <v>0.0</v>
      </c>
    </row>
    <row r="846">
      <c r="A846" s="122"/>
      <c r="L846" s="122">
        <v>0.0</v>
      </c>
    </row>
    <row r="847">
      <c r="A847" s="122"/>
      <c r="L847" s="122">
        <v>0.0</v>
      </c>
    </row>
    <row r="848">
      <c r="A848" s="122"/>
      <c r="L848" s="122">
        <v>0.0</v>
      </c>
    </row>
    <row r="849">
      <c r="A849" s="122"/>
      <c r="L849" s="122">
        <v>0.0</v>
      </c>
    </row>
    <row r="850">
      <c r="A850" s="122"/>
      <c r="L850" s="122">
        <v>0.0</v>
      </c>
    </row>
    <row r="851">
      <c r="A851" s="122"/>
      <c r="L851" s="122">
        <v>0.0</v>
      </c>
    </row>
    <row r="852">
      <c r="A852" s="122"/>
      <c r="L852" s="122">
        <v>0.0</v>
      </c>
    </row>
    <row r="853">
      <c r="A853" s="122"/>
      <c r="L853" s="122">
        <v>0.0</v>
      </c>
    </row>
    <row r="854">
      <c r="A854" s="122"/>
      <c r="L854" s="122">
        <v>0.0</v>
      </c>
    </row>
    <row r="855">
      <c r="A855" s="122"/>
      <c r="L855" s="122">
        <v>0.0</v>
      </c>
    </row>
    <row r="856">
      <c r="A856" s="122"/>
      <c r="L856" s="122">
        <v>0.0</v>
      </c>
    </row>
    <row r="857">
      <c r="A857" s="122"/>
      <c r="L857" s="122">
        <v>0.0</v>
      </c>
    </row>
    <row r="858">
      <c r="A858" s="122"/>
      <c r="L858" s="122">
        <v>0.0</v>
      </c>
    </row>
    <row r="859">
      <c r="A859" s="122"/>
      <c r="L859" s="122">
        <v>0.0</v>
      </c>
    </row>
    <row r="860">
      <c r="A860" s="122"/>
      <c r="L860" s="122">
        <v>0.0</v>
      </c>
    </row>
    <row r="861">
      <c r="A861" s="122"/>
      <c r="L861" s="122">
        <v>0.0</v>
      </c>
    </row>
    <row r="862">
      <c r="A862" s="122"/>
      <c r="L862" s="122">
        <v>0.0</v>
      </c>
    </row>
    <row r="863">
      <c r="A863" s="122"/>
      <c r="L863" s="122">
        <v>0.0</v>
      </c>
    </row>
    <row r="864">
      <c r="A864" s="122"/>
      <c r="L864" s="122">
        <v>0.0</v>
      </c>
    </row>
    <row r="865">
      <c r="A865" s="122"/>
      <c r="L865" s="122">
        <v>0.0</v>
      </c>
    </row>
    <row r="866">
      <c r="A866" s="122"/>
      <c r="L866" s="122">
        <v>0.0</v>
      </c>
    </row>
    <row r="867">
      <c r="A867" s="122"/>
      <c r="L867" s="122">
        <v>0.0</v>
      </c>
    </row>
    <row r="868">
      <c r="A868" s="122"/>
      <c r="L868" s="122">
        <v>0.0</v>
      </c>
    </row>
    <row r="869">
      <c r="A869" s="122"/>
      <c r="L869" s="122">
        <v>0.0</v>
      </c>
    </row>
    <row r="870">
      <c r="A870" s="122"/>
      <c r="L870" s="122">
        <v>0.0</v>
      </c>
    </row>
    <row r="871">
      <c r="A871" s="122"/>
      <c r="L871" s="122">
        <v>0.0</v>
      </c>
    </row>
    <row r="872">
      <c r="A872" s="122"/>
      <c r="L872" s="122">
        <v>0.0</v>
      </c>
    </row>
    <row r="873">
      <c r="A873" s="122"/>
      <c r="L873" s="122">
        <v>0.0</v>
      </c>
    </row>
    <row r="874">
      <c r="A874" s="122"/>
      <c r="L874" s="122">
        <v>0.0</v>
      </c>
    </row>
    <row r="875">
      <c r="A875" s="122"/>
      <c r="L875" s="122">
        <v>0.0</v>
      </c>
    </row>
    <row r="876">
      <c r="A876" s="122"/>
      <c r="L876" s="122">
        <v>0.0</v>
      </c>
    </row>
    <row r="877">
      <c r="A877" s="122"/>
      <c r="L877" s="122">
        <v>0.0</v>
      </c>
    </row>
    <row r="878">
      <c r="A878" s="122"/>
      <c r="L878" s="122">
        <v>0.0</v>
      </c>
    </row>
    <row r="879">
      <c r="A879" s="122"/>
      <c r="L879" s="122">
        <v>0.0</v>
      </c>
    </row>
    <row r="880">
      <c r="A880" s="122"/>
      <c r="L880" s="122">
        <v>0.0</v>
      </c>
    </row>
    <row r="881">
      <c r="A881" s="122"/>
      <c r="L881" s="122">
        <v>0.0</v>
      </c>
    </row>
    <row r="882">
      <c r="A882" s="122"/>
      <c r="L882" s="122">
        <v>0.0</v>
      </c>
    </row>
    <row r="883">
      <c r="A883" s="122"/>
      <c r="L883" s="122">
        <v>0.0</v>
      </c>
    </row>
    <row r="884">
      <c r="A884" s="122"/>
      <c r="L884" s="122">
        <v>0.0</v>
      </c>
    </row>
    <row r="885">
      <c r="A885" s="122"/>
      <c r="L885" s="122">
        <v>0.0</v>
      </c>
    </row>
    <row r="886">
      <c r="A886" s="122"/>
      <c r="L886" s="122">
        <v>0.0</v>
      </c>
    </row>
    <row r="887">
      <c r="A887" s="122"/>
      <c r="L887" s="122">
        <v>0.0</v>
      </c>
    </row>
    <row r="888">
      <c r="A888" s="122"/>
      <c r="L888" s="122">
        <v>0.0</v>
      </c>
    </row>
    <row r="889">
      <c r="A889" s="122"/>
      <c r="L889" s="122">
        <v>0.0</v>
      </c>
    </row>
    <row r="890">
      <c r="A890" s="122"/>
      <c r="L890" s="122">
        <v>0.0</v>
      </c>
    </row>
    <row r="891">
      <c r="A891" s="122"/>
      <c r="L891" s="122">
        <v>0.0</v>
      </c>
    </row>
    <row r="892">
      <c r="A892" s="122"/>
      <c r="L892" s="122">
        <v>0.0</v>
      </c>
    </row>
    <row r="893">
      <c r="A893" s="122"/>
      <c r="L893" s="122">
        <v>0.0</v>
      </c>
    </row>
    <row r="894">
      <c r="A894" s="122"/>
      <c r="L894" s="122">
        <v>0.0</v>
      </c>
    </row>
    <row r="895">
      <c r="A895" s="122"/>
      <c r="L895" s="122">
        <v>0.0</v>
      </c>
    </row>
    <row r="896">
      <c r="A896" s="122"/>
      <c r="L896" s="122">
        <v>0.0</v>
      </c>
    </row>
    <row r="897">
      <c r="A897" s="122"/>
      <c r="L897" s="122">
        <v>0.0</v>
      </c>
    </row>
    <row r="898">
      <c r="A898" s="122"/>
      <c r="L898" s="122">
        <v>0.0</v>
      </c>
    </row>
    <row r="899">
      <c r="A899" s="122"/>
      <c r="L899" s="122">
        <v>0.0</v>
      </c>
    </row>
    <row r="900">
      <c r="A900" s="122"/>
      <c r="L900" s="122">
        <v>0.0</v>
      </c>
    </row>
    <row r="901">
      <c r="A901" s="122"/>
      <c r="L901" s="122">
        <v>0.0</v>
      </c>
    </row>
    <row r="902">
      <c r="A902" s="122"/>
      <c r="L902" s="122">
        <v>0.0</v>
      </c>
    </row>
    <row r="903">
      <c r="A903" s="122"/>
      <c r="L903" s="122">
        <v>0.0</v>
      </c>
    </row>
    <row r="904">
      <c r="A904" s="122"/>
      <c r="L904" s="122">
        <v>0.0</v>
      </c>
    </row>
    <row r="905">
      <c r="A905" s="122"/>
      <c r="L905" s="122">
        <v>0.0</v>
      </c>
    </row>
    <row r="906">
      <c r="A906" s="122"/>
      <c r="L906" s="122">
        <v>0.0</v>
      </c>
    </row>
    <row r="907">
      <c r="A907" s="122"/>
      <c r="L907" s="122">
        <v>0.0</v>
      </c>
    </row>
    <row r="908">
      <c r="A908" s="122"/>
      <c r="L908" s="122">
        <v>0.0</v>
      </c>
    </row>
    <row r="909">
      <c r="A909" s="122"/>
      <c r="L909" s="122">
        <v>0.0</v>
      </c>
    </row>
    <row r="910">
      <c r="A910" s="122"/>
      <c r="L910" s="122">
        <v>0.0</v>
      </c>
    </row>
    <row r="911">
      <c r="A911" s="122"/>
      <c r="L911" s="122">
        <v>0.0</v>
      </c>
    </row>
    <row r="912">
      <c r="A912" s="122"/>
      <c r="L912" s="122">
        <v>0.0</v>
      </c>
    </row>
    <row r="913">
      <c r="A913" s="122"/>
      <c r="L913" s="122">
        <v>0.0</v>
      </c>
    </row>
    <row r="914">
      <c r="A914" s="122"/>
      <c r="L914" s="122">
        <v>0.0</v>
      </c>
    </row>
    <row r="915">
      <c r="A915" s="122"/>
      <c r="L915" s="122">
        <v>0.0</v>
      </c>
    </row>
    <row r="916">
      <c r="A916" s="122"/>
      <c r="L916" s="122">
        <v>0.0</v>
      </c>
    </row>
    <row r="917">
      <c r="A917" s="122"/>
      <c r="L917" s="122">
        <v>0.0</v>
      </c>
    </row>
    <row r="918">
      <c r="A918" s="122"/>
      <c r="L918" s="122">
        <v>0.0</v>
      </c>
    </row>
    <row r="919">
      <c r="A919" s="122"/>
      <c r="L919" s="122">
        <v>0.0</v>
      </c>
    </row>
    <row r="920">
      <c r="A920" s="122"/>
      <c r="L920" s="122">
        <v>0.0</v>
      </c>
    </row>
    <row r="921">
      <c r="A921" s="122"/>
      <c r="L921" s="122">
        <v>0.0</v>
      </c>
    </row>
    <row r="922">
      <c r="A922" s="122"/>
      <c r="L922" s="122">
        <v>0.0</v>
      </c>
    </row>
    <row r="923">
      <c r="A923" s="122"/>
      <c r="L923" s="122">
        <v>0.0</v>
      </c>
    </row>
    <row r="924">
      <c r="A924" s="122"/>
      <c r="L924" s="122">
        <v>0.0</v>
      </c>
    </row>
    <row r="925">
      <c r="A925" s="122"/>
      <c r="L925" s="122">
        <v>0.0</v>
      </c>
    </row>
    <row r="926">
      <c r="A926" s="122"/>
      <c r="L926" s="122">
        <v>0.0</v>
      </c>
    </row>
    <row r="927">
      <c r="A927" s="122"/>
      <c r="L927" s="122">
        <v>0.0</v>
      </c>
    </row>
    <row r="928">
      <c r="A928" s="122"/>
      <c r="L928" s="122">
        <v>0.0</v>
      </c>
    </row>
    <row r="929">
      <c r="A929" s="122"/>
      <c r="L929" s="122">
        <v>0.0</v>
      </c>
    </row>
    <row r="930">
      <c r="A930" s="122"/>
      <c r="L930" s="122">
        <v>0.0</v>
      </c>
    </row>
    <row r="931">
      <c r="A931" s="122"/>
      <c r="L931" s="122">
        <v>0.0</v>
      </c>
    </row>
    <row r="932">
      <c r="A932" s="122"/>
      <c r="L932" s="122">
        <v>0.0</v>
      </c>
    </row>
    <row r="933">
      <c r="A933" s="122"/>
      <c r="L933" s="122">
        <v>0.0</v>
      </c>
    </row>
    <row r="934">
      <c r="A934" s="122"/>
      <c r="L934" s="122">
        <v>0.0</v>
      </c>
    </row>
    <row r="935">
      <c r="A935" s="122"/>
      <c r="L935" s="122">
        <v>0.0</v>
      </c>
    </row>
    <row r="936">
      <c r="A936" s="122"/>
      <c r="L936" s="122">
        <v>0.0</v>
      </c>
    </row>
    <row r="937">
      <c r="A937" s="122"/>
      <c r="L937" s="122">
        <v>0.0</v>
      </c>
    </row>
    <row r="938">
      <c r="A938" s="122"/>
      <c r="L938" s="122">
        <v>0.0</v>
      </c>
    </row>
    <row r="939">
      <c r="A939" s="122"/>
      <c r="L939" s="122">
        <v>0.0</v>
      </c>
    </row>
    <row r="940">
      <c r="A940" s="122"/>
      <c r="L940" s="122">
        <v>0.0</v>
      </c>
    </row>
    <row r="941">
      <c r="A941" s="122"/>
      <c r="L941" s="122">
        <v>0.0</v>
      </c>
    </row>
    <row r="942">
      <c r="A942" s="122"/>
      <c r="L942" s="122">
        <v>0.0</v>
      </c>
    </row>
    <row r="943">
      <c r="A943" s="122"/>
      <c r="L943" s="122">
        <v>0.0</v>
      </c>
    </row>
    <row r="944">
      <c r="A944" s="122"/>
      <c r="L944" s="122">
        <v>0.0</v>
      </c>
    </row>
    <row r="945">
      <c r="A945" s="122"/>
      <c r="L945" s="122">
        <v>0.0</v>
      </c>
    </row>
    <row r="946">
      <c r="A946" s="122"/>
      <c r="L946" s="122">
        <v>0.0</v>
      </c>
    </row>
    <row r="947">
      <c r="A947" s="122"/>
      <c r="L947" s="122">
        <v>0.0</v>
      </c>
    </row>
    <row r="948">
      <c r="A948" s="122"/>
      <c r="L948" s="122">
        <v>0.0</v>
      </c>
    </row>
    <row r="949">
      <c r="A949" s="122"/>
      <c r="L949" s="122">
        <v>0.0</v>
      </c>
    </row>
    <row r="950">
      <c r="A950" s="122"/>
      <c r="L950" s="122">
        <v>0.0</v>
      </c>
    </row>
    <row r="951">
      <c r="A951" s="122"/>
      <c r="L951" s="122">
        <v>0.0</v>
      </c>
    </row>
    <row r="952">
      <c r="A952" s="122"/>
      <c r="L952" s="122">
        <v>0.0</v>
      </c>
    </row>
    <row r="953">
      <c r="A953" s="122"/>
      <c r="L953" s="122">
        <v>0.0</v>
      </c>
    </row>
    <row r="954">
      <c r="A954" s="122"/>
      <c r="L954" s="122">
        <v>0.0</v>
      </c>
    </row>
    <row r="955">
      <c r="A955" s="122"/>
      <c r="L955" s="122">
        <v>0.0</v>
      </c>
    </row>
    <row r="956">
      <c r="A956" s="122"/>
      <c r="L956" s="122">
        <v>0.0</v>
      </c>
    </row>
    <row r="957">
      <c r="A957" s="122"/>
      <c r="L957" s="122">
        <v>0.0</v>
      </c>
    </row>
    <row r="958">
      <c r="A958" s="122"/>
      <c r="L958" s="122">
        <v>0.0</v>
      </c>
    </row>
    <row r="959">
      <c r="A959" s="122"/>
      <c r="L959" s="122">
        <v>0.0</v>
      </c>
    </row>
    <row r="960">
      <c r="A960" s="122"/>
      <c r="L960" s="122">
        <v>0.0</v>
      </c>
    </row>
    <row r="961">
      <c r="A961" s="122"/>
      <c r="L961" s="122">
        <v>0.0</v>
      </c>
    </row>
    <row r="962">
      <c r="A962" s="122"/>
      <c r="L962" s="122">
        <v>0.0</v>
      </c>
    </row>
    <row r="963">
      <c r="A963" s="122"/>
      <c r="L963" s="122">
        <v>0.0</v>
      </c>
    </row>
    <row r="964">
      <c r="A964" s="122"/>
      <c r="L964" s="122">
        <v>0.0</v>
      </c>
    </row>
    <row r="965">
      <c r="A965" s="122"/>
      <c r="L965" s="122">
        <v>0.0</v>
      </c>
    </row>
    <row r="966">
      <c r="A966" s="122"/>
      <c r="L966" s="122">
        <v>0.0</v>
      </c>
    </row>
    <row r="967">
      <c r="A967" s="122"/>
      <c r="L967" s="122">
        <v>0.0</v>
      </c>
    </row>
    <row r="968">
      <c r="A968" s="122"/>
      <c r="L968" s="122">
        <v>0.0</v>
      </c>
    </row>
    <row r="969">
      <c r="A969" s="122"/>
      <c r="L969" s="122">
        <v>0.0</v>
      </c>
    </row>
    <row r="970">
      <c r="A970" s="122"/>
      <c r="L970" s="122">
        <v>0.0</v>
      </c>
    </row>
    <row r="971">
      <c r="A971" s="122"/>
      <c r="L971" s="122">
        <v>0.0</v>
      </c>
    </row>
    <row r="972">
      <c r="A972" s="122"/>
      <c r="L972" s="122">
        <v>0.0</v>
      </c>
    </row>
    <row r="973">
      <c r="A973" s="122"/>
      <c r="L973" s="122">
        <v>0.0</v>
      </c>
    </row>
    <row r="974">
      <c r="A974" s="122"/>
      <c r="L974" s="122">
        <v>0.0</v>
      </c>
    </row>
    <row r="975">
      <c r="A975" s="122"/>
      <c r="L975" s="122">
        <v>0.0</v>
      </c>
    </row>
    <row r="976">
      <c r="A976" s="122"/>
      <c r="L976" s="122">
        <v>0.0</v>
      </c>
    </row>
    <row r="977">
      <c r="A977" s="122"/>
      <c r="L977" s="122">
        <v>0.0</v>
      </c>
    </row>
    <row r="978">
      <c r="A978" s="122"/>
      <c r="L978" s="122">
        <v>0.0</v>
      </c>
    </row>
    <row r="979">
      <c r="A979" s="122"/>
      <c r="L979" s="122">
        <v>0.0</v>
      </c>
    </row>
    <row r="980">
      <c r="A980" s="122"/>
      <c r="L980" s="122">
        <v>0.0</v>
      </c>
    </row>
    <row r="981">
      <c r="A981" s="122"/>
      <c r="L981" s="122">
        <v>0.0</v>
      </c>
    </row>
    <row r="982">
      <c r="A982" s="122"/>
      <c r="L982" s="122">
        <v>0.0</v>
      </c>
    </row>
    <row r="983">
      <c r="A983" s="122"/>
      <c r="L983" s="122">
        <v>0.0</v>
      </c>
    </row>
    <row r="984">
      <c r="A984" s="122"/>
      <c r="L984" s="122">
        <v>0.0</v>
      </c>
    </row>
    <row r="985">
      <c r="A985" s="122"/>
      <c r="L985" s="122">
        <v>0.0</v>
      </c>
    </row>
    <row r="986">
      <c r="A986" s="122"/>
      <c r="L986" s="122">
        <v>0.0</v>
      </c>
    </row>
    <row r="987">
      <c r="A987" s="122"/>
      <c r="L987" s="122">
        <v>0.0</v>
      </c>
    </row>
    <row r="988">
      <c r="A988" s="122"/>
      <c r="L988" s="122">
        <v>0.0</v>
      </c>
    </row>
    <row r="989">
      <c r="A989" s="122"/>
      <c r="L989" s="122">
        <v>0.0</v>
      </c>
    </row>
    <row r="990">
      <c r="A990" s="122"/>
      <c r="L990" s="122">
        <v>0.0</v>
      </c>
    </row>
    <row r="991">
      <c r="A991" s="122"/>
      <c r="L991" s="122">
        <v>0.0</v>
      </c>
    </row>
    <row r="992">
      <c r="A992" s="122"/>
      <c r="L992" s="122">
        <v>0.0</v>
      </c>
    </row>
    <row r="993">
      <c r="A993" s="122"/>
      <c r="L993" s="122">
        <v>0.0</v>
      </c>
    </row>
    <row r="994">
      <c r="A994" s="122"/>
      <c r="L994" s="122">
        <v>0.0</v>
      </c>
    </row>
    <row r="995">
      <c r="A995" s="122"/>
      <c r="L995" s="122">
        <v>0.0</v>
      </c>
    </row>
    <row r="996">
      <c r="A996" s="122"/>
      <c r="L996" s="122">
        <v>0.0</v>
      </c>
    </row>
    <row r="997">
      <c r="A997" s="122"/>
      <c r="L997" s="122">
        <v>0.0</v>
      </c>
    </row>
    <row r="998">
      <c r="A998" s="122"/>
      <c r="L998" s="122">
        <v>0.0</v>
      </c>
    </row>
    <row r="999">
      <c r="A999" s="122"/>
      <c r="L999" s="122">
        <v>0.0</v>
      </c>
    </row>
    <row r="1000">
      <c r="A1000" s="122"/>
      <c r="L1000" s="122">
        <v>0.0</v>
      </c>
    </row>
  </sheetData>
  <dataValidations>
    <dataValidation type="list" allowBlank="1" sqref="A1:A1000">
      <formula1>data!$A:$A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7.14"/>
    <col customWidth="1" min="2" max="2" width="18.71"/>
    <col customWidth="1" min="3" max="3" width="18.43"/>
    <col customWidth="1" min="4" max="4" width="27.86"/>
    <col customWidth="1" min="5" max="6" width="17.57"/>
    <col customWidth="1" min="7" max="7" width="12.71"/>
    <col customWidth="1" min="8" max="8" width="8.71"/>
  </cols>
  <sheetData>
    <row r="1" hidden="1">
      <c r="B1" s="122"/>
      <c r="D1" s="345"/>
      <c r="E1" s="346"/>
      <c r="F1" s="346"/>
      <c r="G1" s="347"/>
      <c r="H1" s="347"/>
      <c r="I1" s="348"/>
      <c r="J1" s="349">
        <v>7.0</v>
      </c>
      <c r="K1" s="350"/>
      <c r="L1" s="351">
        <f>J1+1</f>
        <v>8</v>
      </c>
      <c r="M1" s="348"/>
      <c r="N1" s="351">
        <f>L1+1</f>
        <v>9</v>
      </c>
      <c r="O1" s="347"/>
      <c r="P1" s="351">
        <f>N1+1</f>
        <v>10</v>
      </c>
      <c r="Q1" s="348"/>
      <c r="R1" s="351">
        <f>P1+1</f>
        <v>11</v>
      </c>
      <c r="S1" s="347"/>
      <c r="T1" s="351">
        <f>R1+1</f>
        <v>12</v>
      </c>
    </row>
    <row r="2">
      <c r="B2" s="122"/>
      <c r="D2" s="345"/>
      <c r="E2" s="346"/>
      <c r="F2" s="346"/>
      <c r="G2" s="347"/>
      <c r="H2" s="347"/>
      <c r="I2" s="348" t="s">
        <v>627</v>
      </c>
      <c r="K2" s="350" t="s">
        <v>628</v>
      </c>
      <c r="M2" s="348" t="s">
        <v>629</v>
      </c>
      <c r="O2" s="347" t="s">
        <v>630</v>
      </c>
      <c r="Q2" s="348" t="s">
        <v>631</v>
      </c>
      <c r="S2" s="347" t="s">
        <v>632</v>
      </c>
    </row>
    <row r="3">
      <c r="A3" s="352" t="s">
        <v>633</v>
      </c>
      <c r="B3" s="352" t="s">
        <v>409</v>
      </c>
      <c r="C3" s="352" t="s">
        <v>634</v>
      </c>
      <c r="D3" s="353" t="s">
        <v>635</v>
      </c>
      <c r="E3" s="354" t="s">
        <v>636</v>
      </c>
      <c r="F3" s="354" t="s">
        <v>637</v>
      </c>
      <c r="G3" s="355" t="s">
        <v>13</v>
      </c>
      <c r="H3" s="355" t="s">
        <v>638</v>
      </c>
      <c r="I3" s="356" t="s">
        <v>639</v>
      </c>
      <c r="J3" s="357" t="s">
        <v>640</v>
      </c>
      <c r="K3" s="358" t="s">
        <v>639</v>
      </c>
      <c r="L3" s="359" t="s">
        <v>640</v>
      </c>
      <c r="M3" s="356" t="s">
        <v>639</v>
      </c>
      <c r="N3" s="357" t="s">
        <v>640</v>
      </c>
      <c r="O3" s="356" t="s">
        <v>639</v>
      </c>
      <c r="P3" s="359" t="s">
        <v>640</v>
      </c>
      <c r="Q3" s="356" t="s">
        <v>639</v>
      </c>
      <c r="R3" s="359" t="s">
        <v>640</v>
      </c>
      <c r="S3" s="356" t="s">
        <v>639</v>
      </c>
      <c r="T3" s="359" t="s">
        <v>640</v>
      </c>
    </row>
    <row r="4" ht="17.25" customHeight="1">
      <c r="A4" s="119"/>
      <c r="B4" s="314"/>
      <c r="C4" s="167"/>
      <c r="D4" s="360"/>
      <c r="E4" s="361"/>
      <c r="F4" s="361"/>
      <c r="G4" s="133" t="str">
        <f t="array" ref="G4:G1088">iferror(VLOOKUP(B4:B1088,data!A:P,16,0),"")</f>
        <v/>
      </c>
      <c r="I4" s="362">
        <f t="shared" ref="I4:J4" si="1">sum(I5:I1088)</f>
        <v>62166.9091</v>
      </c>
      <c r="J4" s="363">
        <f t="shared" si="1"/>
        <v>300000000</v>
      </c>
      <c r="K4" s="364" t="str">
        <f t="shared" ref="K4:L4" si="2">sum(K176:K1088)</f>
        <v>#N/A</v>
      </c>
      <c r="L4" s="363" t="str">
        <f t="shared" si="2"/>
        <v>#N/A</v>
      </c>
      <c r="N4" s="133"/>
      <c r="P4" s="133"/>
      <c r="R4" s="133"/>
      <c r="T4" s="133"/>
    </row>
    <row r="5" ht="17.25" customHeight="1">
      <c r="A5" s="119">
        <v>1.0</v>
      </c>
      <c r="B5" s="314" t="s">
        <v>417</v>
      </c>
      <c r="C5" s="167" t="s">
        <v>418</v>
      </c>
      <c r="D5" s="360" t="s">
        <v>419</v>
      </c>
      <c r="E5" s="365">
        <v>44390.0</v>
      </c>
      <c r="F5" s="361" t="s">
        <v>641</v>
      </c>
      <c r="G5" s="122" t="s">
        <v>92</v>
      </c>
      <c r="H5" s="122">
        <f t="array" ref="H5:H1088">countif(D:D,D5:D1088)</f>
        <v>1</v>
      </c>
      <c r="I5" s="309">
        <v>10.0</v>
      </c>
      <c r="J5" s="133">
        <f t="array" ref="J5:J1088">if($C5:C1088="TikTok",rounddown(I5:I1088/100)*500000,if(or($C5:C1088="Facebook",$C5:C1088="Instagram",$C5:C1088="YouTube"),rounddown(I5:I1088/50)*1000000,0))</f>
        <v>0</v>
      </c>
      <c r="K5" s="366">
        <f>vlookup($D5,Python!$D$2:$F$1000,3,FALSE)</f>
        <v>11</v>
      </c>
      <c r="L5" s="133">
        <f t="array" ref="L5:L1088">if(K5:K1088="","", if($C5:$C1088="TikTok",rounddown((K5:K1088-ROUNDDOWN(I5:I1088/100,0)*100)/100)*500000,if(or($C5:$C1088="Facebook",$C5:$C1088="Instagram",$C5:$C1088="YouTube"),rounddown((K5:K1088-ROUNDDOWN(I5:I1088/50,0)*50)/50)*1000000,0)))</f>
        <v>0</v>
      </c>
      <c r="N5" s="133" t="str">
        <f t="array" ref="N5:N1088">if(M5:M1088="","",if($C5:$C1088="TikTok",rounddown((M5:M1088-ROUNDDOWN(K5:K1088/100,0)*100)/100)*500000,if(or($C5:$C1088="Facebook",$C5:$C1088="Instagram",$C5:$C1088="YouTube"),rounddown((M5:M1088-ROUNDDOWN(K5:K1088/50,0)*50)/50)*1000000,0)))</f>
        <v/>
      </c>
      <c r="P5" s="133" t="str">
        <f t="array" ref="P5:P1088">if(O5:O1088="","",if($C5:$C1088="TikTok",rounddown((O5:O1088-ROUNDDOWN(M5:M1088/100,0)*100)/100)*500000,if(or($C5:$C1088="Facebook",$C5:$C1088="Instagram",$C5:$C1088="YouTube"),rounddown((O5:O1088-ROUNDDOWN(M5:M1088/50,0)*50)/50)*1000000,0)))</f>
        <v/>
      </c>
      <c r="R5" s="133" t="str">
        <f t="array" ref="R5:R1088">if(Q5:Q1088="","",if($C5:$C1088="TikTok",rounddown((Q5:Q1088-ROUNDDOWN(O5:O1088/100,0)*100)/100)*500000,if(or($C5:$C1088="Facebook",$C5:$C1088="Instagram",$C5:$C1088="YouTube"),rounddown((Q5:Q1088-ROUNDDOWN(O5:O1088/50,0)*50)/50)*1000000,0)))</f>
        <v/>
      </c>
      <c r="T5" s="133" t="str">
        <f t="array" ref="T5:T1088">if(S5:S1088="","",if($C5:$C1088="TikTok",rounddown((S5:S1088-ROUNDDOWN(Q5:Q1088/100,0)*100)/100)*500000,if(or($C5:$C1088="Facebook",$C5:$C1088="Instagram",$C5:$C1088="YouTube"),rounddown((S5:S1088-ROUNDDOWN(Q5:Q1088/50,0)*50)/50)*1000000,0)))</f>
        <v/>
      </c>
    </row>
    <row r="6">
      <c r="A6" s="167">
        <v>3.0</v>
      </c>
      <c r="B6" s="314" t="s">
        <v>421</v>
      </c>
      <c r="C6" s="167" t="s">
        <v>422</v>
      </c>
      <c r="D6" s="311" t="s">
        <v>423</v>
      </c>
      <c r="E6" s="367">
        <v>44399.0</v>
      </c>
      <c r="F6" s="368" t="s">
        <v>642</v>
      </c>
      <c r="G6" s="122" t="s">
        <v>92</v>
      </c>
      <c r="H6" s="122">
        <v>1.0</v>
      </c>
      <c r="I6" s="167">
        <v>30.0</v>
      </c>
      <c r="J6" s="133">
        <v>0.0</v>
      </c>
      <c r="K6" s="366">
        <f>vlookup($D6,Python!$D$2:$F$1000,3,FALSE)</f>
        <v>122.9</v>
      </c>
      <c r="L6" s="133">
        <v>500000.0</v>
      </c>
      <c r="N6" s="133" t="s">
        <v>585</v>
      </c>
      <c r="P6" s="133" t="s">
        <v>585</v>
      </c>
      <c r="R6" s="133" t="s">
        <v>585</v>
      </c>
      <c r="T6" s="133" t="s">
        <v>585</v>
      </c>
    </row>
    <row r="7">
      <c r="A7" s="119">
        <v>4.0</v>
      </c>
      <c r="B7" s="314" t="s">
        <v>424</v>
      </c>
      <c r="C7" s="167" t="s">
        <v>422</v>
      </c>
      <c r="D7" s="311" t="s">
        <v>425</v>
      </c>
      <c r="E7" s="369">
        <v>44395.0</v>
      </c>
      <c r="F7" s="370" t="s">
        <v>642</v>
      </c>
      <c r="G7" s="122" t="s">
        <v>92</v>
      </c>
      <c r="H7" s="122">
        <v>1.0</v>
      </c>
      <c r="I7" s="167">
        <v>36.0</v>
      </c>
      <c r="J7" s="133">
        <v>0.0</v>
      </c>
      <c r="K7" s="366">
        <f>vlookup($D7,Python!$D$2:$F$1000,3,FALSE)</f>
        <v>42.3</v>
      </c>
      <c r="L7" s="133">
        <v>0.0</v>
      </c>
      <c r="N7" s="133" t="s">
        <v>585</v>
      </c>
      <c r="P7" s="133" t="s">
        <v>585</v>
      </c>
      <c r="R7" s="133" t="s">
        <v>585</v>
      </c>
      <c r="T7" s="133" t="s">
        <v>585</v>
      </c>
    </row>
    <row r="8">
      <c r="A8" s="167">
        <v>5.0</v>
      </c>
      <c r="B8" s="314" t="s">
        <v>424</v>
      </c>
      <c r="C8" s="167" t="s">
        <v>422</v>
      </c>
      <c r="D8" s="311" t="s">
        <v>643</v>
      </c>
      <c r="E8" s="369">
        <v>44398.0</v>
      </c>
      <c r="F8" s="370" t="s">
        <v>642</v>
      </c>
      <c r="G8" s="122" t="s">
        <v>92</v>
      </c>
      <c r="H8" s="122">
        <v>1.0</v>
      </c>
      <c r="I8" s="167">
        <v>61.0</v>
      </c>
      <c r="J8" s="133">
        <v>0.0</v>
      </c>
      <c r="K8" s="366">
        <f>vlookup($D8,Python!$D$2:$F$1000,3,FALSE)</f>
        <v>63.3</v>
      </c>
      <c r="L8" s="133">
        <v>0.0</v>
      </c>
      <c r="N8" s="133" t="s">
        <v>585</v>
      </c>
      <c r="P8" s="133" t="s">
        <v>585</v>
      </c>
      <c r="R8" s="133" t="s">
        <v>585</v>
      </c>
      <c r="T8" s="133" t="s">
        <v>585</v>
      </c>
    </row>
    <row r="9">
      <c r="A9" s="167">
        <v>6.0</v>
      </c>
      <c r="B9" s="314" t="s">
        <v>424</v>
      </c>
      <c r="C9" s="167" t="s">
        <v>422</v>
      </c>
      <c r="D9" s="311" t="s">
        <v>644</v>
      </c>
      <c r="E9" s="369">
        <v>44398.0</v>
      </c>
      <c r="F9" s="370" t="s">
        <v>642</v>
      </c>
      <c r="G9" s="122" t="s">
        <v>92</v>
      </c>
      <c r="H9" s="122">
        <v>1.0</v>
      </c>
      <c r="I9" s="167">
        <v>71.0</v>
      </c>
      <c r="J9" s="133">
        <v>0.0</v>
      </c>
      <c r="K9" s="366">
        <f>vlookup($D9,Python!$D$2:$F$1000,3,FALSE)</f>
        <v>101.4</v>
      </c>
      <c r="L9" s="133">
        <v>500000.0</v>
      </c>
      <c r="N9" s="133" t="s">
        <v>585</v>
      </c>
      <c r="P9" s="133" t="s">
        <v>585</v>
      </c>
      <c r="R9" s="133" t="s">
        <v>585</v>
      </c>
      <c r="T9" s="133" t="s">
        <v>585</v>
      </c>
    </row>
    <row r="10">
      <c r="A10" s="119">
        <v>7.0</v>
      </c>
      <c r="B10" s="314" t="s">
        <v>424</v>
      </c>
      <c r="C10" s="167" t="s">
        <v>422</v>
      </c>
      <c r="D10" s="311" t="s">
        <v>645</v>
      </c>
      <c r="E10" s="369">
        <v>44399.0</v>
      </c>
      <c r="F10" s="370" t="s">
        <v>642</v>
      </c>
      <c r="G10" s="122" t="s">
        <v>92</v>
      </c>
      <c r="H10" s="122">
        <v>1.0</v>
      </c>
      <c r="I10" s="167">
        <v>6.0</v>
      </c>
      <c r="J10" s="133">
        <v>0.0</v>
      </c>
      <c r="K10" s="366">
        <f>vlookup($D10,Python!$D$2:$F$1000,3,FALSE)</f>
        <v>14.9</v>
      </c>
      <c r="L10" s="133">
        <v>0.0</v>
      </c>
      <c r="N10" s="133" t="s">
        <v>585</v>
      </c>
      <c r="P10" s="133" t="s">
        <v>585</v>
      </c>
      <c r="R10" s="133" t="s">
        <v>585</v>
      </c>
      <c r="T10" s="133" t="s">
        <v>585</v>
      </c>
    </row>
    <row r="11">
      <c r="A11" s="119">
        <v>8.0</v>
      </c>
      <c r="B11" s="314" t="s">
        <v>426</v>
      </c>
      <c r="C11" s="167" t="s">
        <v>422</v>
      </c>
      <c r="D11" s="311" t="s">
        <v>646</v>
      </c>
      <c r="E11" s="369">
        <v>44401.0</v>
      </c>
      <c r="F11" s="370" t="s">
        <v>642</v>
      </c>
      <c r="G11" s="122" t="s">
        <v>92</v>
      </c>
      <c r="H11" s="122">
        <v>1.0</v>
      </c>
      <c r="I11" s="167">
        <v>62.0</v>
      </c>
      <c r="J11" s="133">
        <v>0.0</v>
      </c>
      <c r="K11" s="366">
        <f>vlookup($D11,Python!$D$2:$F$1000,3,FALSE)</f>
        <v>64.6</v>
      </c>
      <c r="L11" s="133">
        <v>0.0</v>
      </c>
      <c r="N11" s="133" t="s">
        <v>585</v>
      </c>
      <c r="P11" s="133" t="s">
        <v>585</v>
      </c>
      <c r="R11" s="133" t="s">
        <v>585</v>
      </c>
      <c r="T11" s="133" t="s">
        <v>585</v>
      </c>
    </row>
    <row r="12">
      <c r="A12" s="167">
        <v>9.0</v>
      </c>
      <c r="B12" s="314" t="s">
        <v>428</v>
      </c>
      <c r="C12" s="167" t="s">
        <v>422</v>
      </c>
      <c r="D12" s="311" t="s">
        <v>429</v>
      </c>
      <c r="E12" s="369">
        <v>44394.0</v>
      </c>
      <c r="F12" s="370" t="s">
        <v>642</v>
      </c>
      <c r="G12" s="122" t="s">
        <v>92</v>
      </c>
      <c r="H12" s="122">
        <v>1.0</v>
      </c>
      <c r="I12" s="167">
        <v>123.0</v>
      </c>
      <c r="J12" s="133">
        <v>500000.0</v>
      </c>
      <c r="K12" s="366">
        <f>vlookup($D12,Python!$D$2:$F$1000,3,FALSE)</f>
        <v>203.7</v>
      </c>
      <c r="L12" s="133">
        <v>500000.0</v>
      </c>
      <c r="N12" s="133" t="s">
        <v>585</v>
      </c>
      <c r="P12" s="133" t="s">
        <v>585</v>
      </c>
      <c r="R12" s="133" t="s">
        <v>585</v>
      </c>
      <c r="T12" s="133" t="s">
        <v>585</v>
      </c>
    </row>
    <row r="13">
      <c r="A13" s="119">
        <v>11.0</v>
      </c>
      <c r="B13" s="314" t="s">
        <v>431</v>
      </c>
      <c r="C13" s="167" t="s">
        <v>422</v>
      </c>
      <c r="D13" s="311" t="s">
        <v>432</v>
      </c>
      <c r="E13" s="369">
        <v>44391.0</v>
      </c>
      <c r="F13" s="370" t="s">
        <v>647</v>
      </c>
      <c r="G13" s="122" t="s">
        <v>92</v>
      </c>
      <c r="H13" s="122">
        <v>1.0</v>
      </c>
      <c r="I13" s="167">
        <v>3.0</v>
      </c>
      <c r="J13" s="133">
        <v>0.0</v>
      </c>
      <c r="K13" s="366">
        <f>vlookup($D13,Python!$D$2:$F$1000,3,FALSE)</f>
        <v>3.633</v>
      </c>
      <c r="L13" s="133">
        <v>0.0</v>
      </c>
      <c r="N13" s="133" t="s">
        <v>585</v>
      </c>
      <c r="P13" s="133" t="s">
        <v>585</v>
      </c>
      <c r="R13" s="133" t="s">
        <v>585</v>
      </c>
      <c r="T13" s="133" t="s">
        <v>585</v>
      </c>
    </row>
    <row r="14">
      <c r="A14" s="167">
        <v>12.0</v>
      </c>
      <c r="B14" s="314" t="s">
        <v>431</v>
      </c>
      <c r="C14" s="167" t="s">
        <v>422</v>
      </c>
      <c r="D14" s="311" t="s">
        <v>648</v>
      </c>
      <c r="E14" s="369">
        <v>44394.0</v>
      </c>
      <c r="F14" s="370" t="s">
        <v>642</v>
      </c>
      <c r="G14" s="122" t="s">
        <v>92</v>
      </c>
      <c r="H14" s="122">
        <v>1.0</v>
      </c>
      <c r="I14" s="167">
        <v>3.0</v>
      </c>
      <c r="J14" s="133">
        <v>0.0</v>
      </c>
      <c r="K14" s="366">
        <f>vlookup($D14,Python!$D$2:$F$1000,3,FALSE)</f>
        <v>4.033</v>
      </c>
      <c r="L14" s="133">
        <v>0.0</v>
      </c>
      <c r="N14" s="133" t="s">
        <v>585</v>
      </c>
      <c r="P14" s="133" t="s">
        <v>585</v>
      </c>
      <c r="R14" s="133" t="s">
        <v>585</v>
      </c>
      <c r="T14" s="133" t="s">
        <v>585</v>
      </c>
    </row>
    <row r="15">
      <c r="A15" s="167">
        <v>13.0</v>
      </c>
      <c r="B15" s="314" t="s">
        <v>431</v>
      </c>
      <c r="C15" s="167" t="s">
        <v>422</v>
      </c>
      <c r="D15" s="311" t="s">
        <v>649</v>
      </c>
      <c r="E15" s="369">
        <v>44399.0</v>
      </c>
      <c r="F15" s="370" t="s">
        <v>642</v>
      </c>
      <c r="G15" s="122" t="s">
        <v>92</v>
      </c>
      <c r="H15" s="122">
        <v>1.0</v>
      </c>
      <c r="I15" s="167">
        <v>3.0</v>
      </c>
      <c r="J15" s="133">
        <v>0.0</v>
      </c>
      <c r="K15" s="366">
        <f>vlookup($D15,Python!$D$2:$F$1000,3,FALSE)</f>
        <v>4.7</v>
      </c>
      <c r="L15" s="133">
        <v>0.0</v>
      </c>
      <c r="N15" s="133" t="s">
        <v>585</v>
      </c>
      <c r="P15" s="133" t="s">
        <v>585</v>
      </c>
      <c r="R15" s="133" t="s">
        <v>585</v>
      </c>
      <c r="T15" s="133" t="s">
        <v>585</v>
      </c>
    </row>
    <row r="16">
      <c r="A16" s="119">
        <v>14.0</v>
      </c>
      <c r="B16" s="314" t="s">
        <v>433</v>
      </c>
      <c r="C16" s="167" t="s">
        <v>422</v>
      </c>
      <c r="D16" s="311" t="s">
        <v>434</v>
      </c>
      <c r="E16" s="369">
        <v>44399.0</v>
      </c>
      <c r="F16" s="370" t="s">
        <v>647</v>
      </c>
      <c r="G16" s="122" t="s">
        <v>92</v>
      </c>
      <c r="H16" s="122">
        <v>1.0</v>
      </c>
      <c r="I16" s="167">
        <v>505.0</v>
      </c>
      <c r="J16" s="133">
        <v>2500000.0</v>
      </c>
      <c r="K16" s="366">
        <f>vlookup($D16,Python!$D$2:$F$1000,3,FALSE)</f>
        <v>737.6</v>
      </c>
      <c r="L16" s="133">
        <v>1000000.0</v>
      </c>
      <c r="N16" s="133" t="s">
        <v>585</v>
      </c>
      <c r="P16" s="133" t="s">
        <v>585</v>
      </c>
      <c r="R16" s="133" t="s">
        <v>585</v>
      </c>
      <c r="T16" s="133" t="s">
        <v>585</v>
      </c>
    </row>
    <row r="17">
      <c r="A17" s="119">
        <v>15.0</v>
      </c>
      <c r="B17" s="314" t="s">
        <v>435</v>
      </c>
      <c r="C17" s="167" t="s">
        <v>422</v>
      </c>
      <c r="D17" s="311" t="s">
        <v>650</v>
      </c>
      <c r="E17" s="369">
        <v>44401.0</v>
      </c>
      <c r="F17" s="370" t="s">
        <v>641</v>
      </c>
      <c r="G17" s="122" t="s">
        <v>92</v>
      </c>
      <c r="H17" s="122">
        <v>1.0</v>
      </c>
      <c r="I17" s="167">
        <v>51.0</v>
      </c>
      <c r="J17" s="133">
        <v>0.0</v>
      </c>
      <c r="K17" s="366">
        <f>vlookup($D17,Python!$D$2:$F$1000,3,FALSE)</f>
        <v>57.1</v>
      </c>
      <c r="L17" s="133">
        <v>0.0</v>
      </c>
      <c r="N17" s="133" t="s">
        <v>585</v>
      </c>
      <c r="P17" s="133" t="s">
        <v>585</v>
      </c>
      <c r="R17" s="133" t="s">
        <v>585</v>
      </c>
      <c r="T17" s="133" t="s">
        <v>585</v>
      </c>
    </row>
    <row r="18">
      <c r="A18" s="167">
        <v>16.0</v>
      </c>
      <c r="B18" s="314" t="s">
        <v>437</v>
      </c>
      <c r="C18" s="167" t="s">
        <v>422</v>
      </c>
      <c r="D18" s="311" t="s">
        <v>651</v>
      </c>
      <c r="E18" s="369">
        <v>44389.0</v>
      </c>
      <c r="F18" s="370" t="s">
        <v>642</v>
      </c>
      <c r="G18" s="122" t="s">
        <v>92</v>
      </c>
      <c r="H18" s="122">
        <v>1.0</v>
      </c>
      <c r="I18" s="167">
        <v>143.0</v>
      </c>
      <c r="J18" s="133">
        <v>500000.0</v>
      </c>
      <c r="K18" s="366">
        <f>vlookup($D18,Python!$D$2:$F$1000,3,FALSE)</f>
        <v>181.3</v>
      </c>
      <c r="L18" s="133">
        <v>0.0</v>
      </c>
      <c r="N18" s="133" t="s">
        <v>585</v>
      </c>
      <c r="P18" s="133" t="s">
        <v>585</v>
      </c>
      <c r="R18" s="133" t="s">
        <v>585</v>
      </c>
      <c r="T18" s="133" t="s">
        <v>585</v>
      </c>
    </row>
    <row r="19">
      <c r="A19" s="167">
        <v>17.0</v>
      </c>
      <c r="B19" s="314" t="s">
        <v>437</v>
      </c>
      <c r="C19" s="167" t="s">
        <v>422</v>
      </c>
      <c r="D19" s="311" t="s">
        <v>652</v>
      </c>
      <c r="E19" s="369">
        <v>44391.0</v>
      </c>
      <c r="F19" s="370" t="s">
        <v>642</v>
      </c>
      <c r="G19" s="122" t="s">
        <v>92</v>
      </c>
      <c r="H19" s="122">
        <v>1.0</v>
      </c>
      <c r="I19" s="167">
        <v>60.0</v>
      </c>
      <c r="J19" s="133">
        <v>0.0</v>
      </c>
      <c r="K19" s="366">
        <f>vlookup($D19,Python!$D$2:$F$1000,3,FALSE)</f>
        <v>87.2</v>
      </c>
      <c r="L19" s="133">
        <v>0.0</v>
      </c>
      <c r="N19" s="133" t="s">
        <v>585</v>
      </c>
      <c r="P19" s="133" t="s">
        <v>585</v>
      </c>
      <c r="R19" s="133" t="s">
        <v>585</v>
      </c>
      <c r="T19" s="133" t="s">
        <v>585</v>
      </c>
    </row>
    <row r="20">
      <c r="A20" s="119">
        <v>18.0</v>
      </c>
      <c r="B20" s="314" t="s">
        <v>437</v>
      </c>
      <c r="C20" s="167" t="s">
        <v>422</v>
      </c>
      <c r="D20" s="311" t="s">
        <v>653</v>
      </c>
      <c r="E20" s="369">
        <v>44392.0</v>
      </c>
      <c r="F20" s="370" t="s">
        <v>642</v>
      </c>
      <c r="G20" s="122" t="s">
        <v>92</v>
      </c>
      <c r="H20" s="122">
        <v>1.0</v>
      </c>
      <c r="I20" s="167">
        <v>394.0</v>
      </c>
      <c r="J20" s="133">
        <v>1500000.0</v>
      </c>
      <c r="K20" s="366">
        <f>vlookup($D20,Python!$D$2:$F$1000,3,FALSE)</f>
        <v>470.2</v>
      </c>
      <c r="L20" s="133">
        <v>500000.0</v>
      </c>
      <c r="N20" s="133" t="s">
        <v>585</v>
      </c>
      <c r="P20" s="133" t="s">
        <v>585</v>
      </c>
      <c r="R20" s="133" t="s">
        <v>585</v>
      </c>
      <c r="T20" s="133" t="s">
        <v>585</v>
      </c>
    </row>
    <row r="21">
      <c r="A21" s="167">
        <v>19.0</v>
      </c>
      <c r="B21" s="314" t="s">
        <v>437</v>
      </c>
      <c r="C21" s="167" t="s">
        <v>422</v>
      </c>
      <c r="D21" s="311" t="s">
        <v>654</v>
      </c>
      <c r="E21" s="369">
        <v>44394.0</v>
      </c>
      <c r="F21" s="370" t="s">
        <v>642</v>
      </c>
      <c r="G21" s="122" t="s">
        <v>92</v>
      </c>
      <c r="H21" s="122">
        <v>1.0</v>
      </c>
      <c r="I21" s="167">
        <v>65.0</v>
      </c>
      <c r="J21" s="133">
        <v>0.0</v>
      </c>
      <c r="K21" s="366">
        <f>vlookup($D21,Python!$D$2:$F$1000,3,FALSE)</f>
        <v>98.2</v>
      </c>
      <c r="L21" s="133">
        <v>0.0</v>
      </c>
      <c r="N21" s="133" t="s">
        <v>585</v>
      </c>
      <c r="P21" s="133" t="s">
        <v>585</v>
      </c>
      <c r="R21" s="133" t="s">
        <v>585</v>
      </c>
      <c r="T21" s="133" t="s">
        <v>585</v>
      </c>
    </row>
    <row r="22">
      <c r="A22" s="167">
        <v>20.0</v>
      </c>
      <c r="B22" s="314" t="s">
        <v>437</v>
      </c>
      <c r="C22" s="167" t="s">
        <v>422</v>
      </c>
      <c r="D22" s="311" t="s">
        <v>655</v>
      </c>
      <c r="E22" s="369">
        <v>44395.0</v>
      </c>
      <c r="F22" s="370" t="s">
        <v>642</v>
      </c>
      <c r="G22" s="122" t="s">
        <v>92</v>
      </c>
      <c r="H22" s="122">
        <v>1.0</v>
      </c>
      <c r="I22" s="167">
        <v>30.0</v>
      </c>
      <c r="J22" s="133">
        <v>0.0</v>
      </c>
      <c r="K22" s="366">
        <f>vlookup($D22,Python!$D$2:$F$1000,3,FALSE)</f>
        <v>75.1</v>
      </c>
      <c r="L22" s="133">
        <v>0.0</v>
      </c>
      <c r="N22" s="133" t="s">
        <v>585</v>
      </c>
      <c r="P22" s="133" t="s">
        <v>585</v>
      </c>
      <c r="R22" s="133" t="s">
        <v>585</v>
      </c>
      <c r="T22" s="133" t="s">
        <v>585</v>
      </c>
    </row>
    <row r="23">
      <c r="A23" s="119">
        <v>21.0</v>
      </c>
      <c r="B23" s="314" t="s">
        <v>437</v>
      </c>
      <c r="C23" s="167" t="s">
        <v>422</v>
      </c>
      <c r="D23" s="311" t="s">
        <v>656</v>
      </c>
      <c r="E23" s="369">
        <v>44396.0</v>
      </c>
      <c r="F23" s="370" t="s">
        <v>642</v>
      </c>
      <c r="G23" s="122" t="s">
        <v>92</v>
      </c>
      <c r="H23" s="122">
        <v>1.0</v>
      </c>
      <c r="I23" s="167">
        <v>73.0</v>
      </c>
      <c r="J23" s="133">
        <v>0.0</v>
      </c>
      <c r="K23" s="366">
        <f>vlookup($D23,Python!$D$2:$F$1000,3,FALSE)</f>
        <v>108.1</v>
      </c>
      <c r="L23" s="133">
        <v>500000.0</v>
      </c>
      <c r="N23" s="133" t="s">
        <v>585</v>
      </c>
      <c r="P23" s="133" t="s">
        <v>585</v>
      </c>
      <c r="R23" s="133" t="s">
        <v>585</v>
      </c>
      <c r="T23" s="133" t="s">
        <v>585</v>
      </c>
    </row>
    <row r="24">
      <c r="A24" s="119">
        <v>22.0</v>
      </c>
      <c r="B24" s="314" t="s">
        <v>437</v>
      </c>
      <c r="C24" s="167" t="s">
        <v>422</v>
      </c>
      <c r="D24" s="311" t="s">
        <v>657</v>
      </c>
      <c r="E24" s="369">
        <v>44398.0</v>
      </c>
      <c r="F24" s="370" t="s">
        <v>642</v>
      </c>
      <c r="G24" s="122" t="s">
        <v>92</v>
      </c>
      <c r="H24" s="122">
        <v>1.0</v>
      </c>
      <c r="I24" s="167">
        <v>15.0</v>
      </c>
      <c r="J24" s="133">
        <v>0.0</v>
      </c>
      <c r="K24" s="366">
        <f>vlookup($D24,Python!$D$2:$F$1000,3,FALSE)</f>
        <v>53</v>
      </c>
      <c r="L24" s="133">
        <v>0.0</v>
      </c>
      <c r="N24" s="133" t="s">
        <v>585</v>
      </c>
      <c r="P24" s="133" t="s">
        <v>585</v>
      </c>
      <c r="R24" s="133" t="s">
        <v>585</v>
      </c>
      <c r="T24" s="133" t="s">
        <v>585</v>
      </c>
    </row>
    <row r="25">
      <c r="A25" s="167">
        <v>23.0</v>
      </c>
      <c r="B25" s="314" t="s">
        <v>437</v>
      </c>
      <c r="C25" s="167" t="s">
        <v>422</v>
      </c>
      <c r="D25" s="311" t="s">
        <v>658</v>
      </c>
      <c r="E25" s="369">
        <v>44400.0</v>
      </c>
      <c r="F25" s="370" t="s">
        <v>642</v>
      </c>
      <c r="G25" s="122" t="s">
        <v>92</v>
      </c>
      <c r="H25" s="122">
        <v>1.0</v>
      </c>
      <c r="I25" s="167">
        <v>515.0</v>
      </c>
      <c r="J25" s="133">
        <v>2500000.0</v>
      </c>
      <c r="K25" s="366">
        <f>vlookup($D25,Python!$D$2:$F$1000,3,FALSE)</f>
        <v>870.3</v>
      </c>
      <c r="L25" s="133">
        <v>1500000.0</v>
      </c>
      <c r="N25" s="133" t="s">
        <v>585</v>
      </c>
      <c r="P25" s="133" t="s">
        <v>585</v>
      </c>
      <c r="R25" s="133" t="s">
        <v>585</v>
      </c>
      <c r="T25" s="133" t="s">
        <v>585</v>
      </c>
    </row>
    <row r="26">
      <c r="A26" s="167">
        <v>24.0</v>
      </c>
      <c r="B26" s="314" t="s">
        <v>437</v>
      </c>
      <c r="C26" s="167" t="s">
        <v>422</v>
      </c>
      <c r="D26" s="311" t="s">
        <v>659</v>
      </c>
      <c r="E26" s="369">
        <v>44402.0</v>
      </c>
      <c r="F26" s="370" t="s">
        <v>642</v>
      </c>
      <c r="G26" s="122" t="s">
        <v>92</v>
      </c>
      <c r="H26" s="122">
        <v>1.0</v>
      </c>
      <c r="I26" s="167">
        <v>68.0</v>
      </c>
      <c r="J26" s="133">
        <v>0.0</v>
      </c>
      <c r="K26" s="366">
        <f>vlookup($D26,Python!$D$2:$F$1000,3,FALSE)</f>
        <v>128.9</v>
      </c>
      <c r="L26" s="133">
        <v>500000.0</v>
      </c>
      <c r="N26" s="133" t="s">
        <v>585</v>
      </c>
      <c r="P26" s="133" t="s">
        <v>585</v>
      </c>
      <c r="R26" s="133" t="s">
        <v>585</v>
      </c>
      <c r="T26" s="133" t="s">
        <v>585</v>
      </c>
    </row>
    <row r="27">
      <c r="A27" s="119">
        <v>25.0</v>
      </c>
      <c r="B27" s="314" t="s">
        <v>439</v>
      </c>
      <c r="C27" s="167" t="s">
        <v>422</v>
      </c>
      <c r="D27" s="311" t="s">
        <v>660</v>
      </c>
      <c r="E27" s="369">
        <v>44391.0</v>
      </c>
      <c r="F27" s="370" t="s">
        <v>642</v>
      </c>
      <c r="G27" s="122" t="s">
        <v>92</v>
      </c>
      <c r="H27" s="122">
        <v>1.0</v>
      </c>
      <c r="I27" s="167">
        <v>118.0</v>
      </c>
      <c r="J27" s="133">
        <v>500000.0</v>
      </c>
      <c r="K27" s="366">
        <f>vlookup($D27,Python!$D$2:$F$1000,3,FALSE)</f>
        <v>122</v>
      </c>
      <c r="L27" s="133">
        <v>0.0</v>
      </c>
      <c r="N27" s="133" t="s">
        <v>585</v>
      </c>
      <c r="P27" s="133" t="s">
        <v>585</v>
      </c>
      <c r="R27" s="133" t="s">
        <v>585</v>
      </c>
      <c r="T27" s="133" t="s">
        <v>585</v>
      </c>
    </row>
    <row r="28">
      <c r="A28" s="167">
        <v>26.0</v>
      </c>
      <c r="B28" s="314" t="s">
        <v>439</v>
      </c>
      <c r="C28" s="167" t="s">
        <v>422</v>
      </c>
      <c r="D28" s="311" t="s">
        <v>661</v>
      </c>
      <c r="E28" s="369">
        <v>44393.0</v>
      </c>
      <c r="F28" s="370" t="s">
        <v>642</v>
      </c>
      <c r="G28" s="122" t="s">
        <v>92</v>
      </c>
      <c r="H28" s="122">
        <v>1.0</v>
      </c>
      <c r="I28" s="167">
        <v>13.0</v>
      </c>
      <c r="J28" s="133">
        <v>0.0</v>
      </c>
      <c r="K28" s="366">
        <f>vlookup($D28,Python!$D$2:$F$1000,3,FALSE)</f>
        <v>15.1</v>
      </c>
      <c r="L28" s="133">
        <v>0.0</v>
      </c>
      <c r="N28" s="133" t="s">
        <v>585</v>
      </c>
      <c r="P28" s="133" t="s">
        <v>585</v>
      </c>
      <c r="R28" s="133" t="s">
        <v>585</v>
      </c>
      <c r="T28" s="133" t="s">
        <v>585</v>
      </c>
    </row>
    <row r="29">
      <c r="A29" s="167">
        <v>27.0</v>
      </c>
      <c r="B29" s="314" t="s">
        <v>439</v>
      </c>
      <c r="C29" s="167" t="s">
        <v>422</v>
      </c>
      <c r="D29" s="311" t="s">
        <v>662</v>
      </c>
      <c r="E29" s="369">
        <v>44394.0</v>
      </c>
      <c r="F29" s="370" t="s">
        <v>642</v>
      </c>
      <c r="G29" s="122" t="s">
        <v>92</v>
      </c>
      <c r="H29" s="122">
        <v>1.0</v>
      </c>
      <c r="I29" s="167">
        <v>308.0</v>
      </c>
      <c r="J29" s="133">
        <v>1500000.0</v>
      </c>
      <c r="K29" s="366">
        <f>vlookup($D29,Python!$D$2:$F$1000,3,FALSE)</f>
        <v>343.3</v>
      </c>
      <c r="L29" s="133">
        <v>0.0</v>
      </c>
      <c r="N29" s="133" t="s">
        <v>585</v>
      </c>
      <c r="P29" s="133" t="s">
        <v>585</v>
      </c>
      <c r="R29" s="133" t="s">
        <v>585</v>
      </c>
      <c r="T29" s="133" t="s">
        <v>585</v>
      </c>
    </row>
    <row r="30">
      <c r="A30" s="119">
        <v>28.0</v>
      </c>
      <c r="B30" s="314" t="s">
        <v>441</v>
      </c>
      <c r="C30" s="167" t="s">
        <v>422</v>
      </c>
      <c r="D30" s="311" t="s">
        <v>442</v>
      </c>
      <c r="E30" s="369">
        <v>44390.0</v>
      </c>
      <c r="F30" s="370" t="s">
        <v>641</v>
      </c>
      <c r="G30" s="122" t="s">
        <v>92</v>
      </c>
      <c r="H30" s="122">
        <v>1.0</v>
      </c>
      <c r="I30" s="167">
        <v>295.0</v>
      </c>
      <c r="J30" s="133">
        <v>1000000.0</v>
      </c>
      <c r="K30" s="366">
        <f>vlookup($D30,Python!$D$2:$F$1000,3,FALSE)</f>
        <v>677.9</v>
      </c>
      <c r="L30" s="133">
        <v>2000000.0</v>
      </c>
      <c r="N30" s="133" t="s">
        <v>585</v>
      </c>
      <c r="P30" s="133" t="s">
        <v>585</v>
      </c>
      <c r="R30" s="133" t="s">
        <v>585</v>
      </c>
      <c r="T30" s="133" t="s">
        <v>585</v>
      </c>
    </row>
    <row r="31">
      <c r="A31" s="119">
        <v>29.0</v>
      </c>
      <c r="B31" s="314" t="s">
        <v>441</v>
      </c>
      <c r="C31" s="167" t="s">
        <v>422</v>
      </c>
      <c r="D31" s="311" t="s">
        <v>663</v>
      </c>
      <c r="E31" s="369">
        <v>44394.0</v>
      </c>
      <c r="F31" s="370" t="s">
        <v>647</v>
      </c>
      <c r="G31" s="122" t="s">
        <v>92</v>
      </c>
      <c r="H31" s="122">
        <v>1.0</v>
      </c>
      <c r="I31" s="167">
        <v>104.0</v>
      </c>
      <c r="J31" s="133">
        <v>500000.0</v>
      </c>
      <c r="K31" s="366">
        <f>vlookup($D31,Python!$D$2:$F$1000,3,FALSE)</f>
        <v>265</v>
      </c>
      <c r="L31" s="133">
        <v>500000.0</v>
      </c>
      <c r="N31" s="133" t="s">
        <v>585</v>
      </c>
      <c r="P31" s="133" t="s">
        <v>585</v>
      </c>
      <c r="R31" s="133" t="s">
        <v>585</v>
      </c>
      <c r="T31" s="133" t="s">
        <v>585</v>
      </c>
    </row>
    <row r="32">
      <c r="A32" s="167">
        <v>30.0</v>
      </c>
      <c r="B32" s="314" t="s">
        <v>443</v>
      </c>
      <c r="C32" s="167" t="s">
        <v>422</v>
      </c>
      <c r="D32" s="311" t="s">
        <v>664</v>
      </c>
      <c r="E32" s="369">
        <v>44390.0</v>
      </c>
      <c r="F32" s="370" t="s">
        <v>642</v>
      </c>
      <c r="G32" s="122" t="s">
        <v>445</v>
      </c>
      <c r="H32" s="122">
        <v>1.0</v>
      </c>
      <c r="I32" s="167">
        <v>2000.0</v>
      </c>
      <c r="J32" s="133">
        <v>1.0E7</v>
      </c>
      <c r="K32" s="366">
        <f>vlookup($D32,Python!$D$2:$F$1000,3,FALSE)</f>
        <v>2200</v>
      </c>
      <c r="L32" s="133">
        <v>1000000.0</v>
      </c>
      <c r="N32" s="133" t="s">
        <v>585</v>
      </c>
      <c r="P32" s="133" t="s">
        <v>585</v>
      </c>
      <c r="R32" s="133" t="s">
        <v>585</v>
      </c>
      <c r="T32" s="133" t="s">
        <v>585</v>
      </c>
    </row>
    <row r="33">
      <c r="A33" s="167">
        <v>31.0</v>
      </c>
      <c r="B33" s="314" t="s">
        <v>443</v>
      </c>
      <c r="C33" s="167" t="s">
        <v>422</v>
      </c>
      <c r="D33" s="311" t="s">
        <v>665</v>
      </c>
      <c r="E33" s="369">
        <v>44393.0</v>
      </c>
      <c r="F33" s="370" t="s">
        <v>642</v>
      </c>
      <c r="G33" s="122" t="s">
        <v>445</v>
      </c>
      <c r="H33" s="122">
        <v>1.0</v>
      </c>
      <c r="I33" s="167">
        <v>937.0</v>
      </c>
      <c r="J33" s="133">
        <v>4500000.0</v>
      </c>
      <c r="K33" s="366">
        <f>vlookup($D33,Python!$D$2:$F$1000,3,FALSE)</f>
        <v>1100</v>
      </c>
      <c r="L33" s="133">
        <v>1000000.0</v>
      </c>
      <c r="N33" s="133" t="s">
        <v>585</v>
      </c>
      <c r="P33" s="133" t="s">
        <v>585</v>
      </c>
      <c r="R33" s="133" t="s">
        <v>585</v>
      </c>
      <c r="T33" s="133" t="s">
        <v>585</v>
      </c>
    </row>
    <row r="34">
      <c r="A34" s="119">
        <v>32.0</v>
      </c>
      <c r="B34" s="314" t="s">
        <v>443</v>
      </c>
      <c r="C34" s="167" t="s">
        <v>422</v>
      </c>
      <c r="D34" s="311" t="s">
        <v>666</v>
      </c>
      <c r="E34" s="369">
        <v>44395.0</v>
      </c>
      <c r="F34" s="370" t="s">
        <v>642</v>
      </c>
      <c r="G34" s="122" t="s">
        <v>445</v>
      </c>
      <c r="H34" s="122">
        <v>1.0</v>
      </c>
      <c r="I34" s="167">
        <v>126.0</v>
      </c>
      <c r="J34" s="133">
        <v>500000.0</v>
      </c>
      <c r="K34" s="366">
        <f>vlookup($D34,Python!$D$2:$F$1000,3,FALSE)</f>
        <v>185.4</v>
      </c>
      <c r="L34" s="133">
        <v>0.0</v>
      </c>
      <c r="N34" s="133" t="s">
        <v>585</v>
      </c>
      <c r="P34" s="133" t="s">
        <v>585</v>
      </c>
      <c r="R34" s="133" t="s">
        <v>585</v>
      </c>
      <c r="T34" s="133" t="s">
        <v>585</v>
      </c>
    </row>
    <row r="35">
      <c r="A35" s="167">
        <v>33.0</v>
      </c>
      <c r="B35" s="314" t="s">
        <v>443</v>
      </c>
      <c r="C35" s="167" t="s">
        <v>422</v>
      </c>
      <c r="D35" s="311" t="s">
        <v>667</v>
      </c>
      <c r="E35" s="369">
        <v>44397.0</v>
      </c>
      <c r="F35" s="370" t="s">
        <v>642</v>
      </c>
      <c r="G35" s="122" t="s">
        <v>445</v>
      </c>
      <c r="H35" s="122">
        <v>1.0</v>
      </c>
      <c r="I35" s="167">
        <v>77.0</v>
      </c>
      <c r="J35" s="133">
        <v>0.0</v>
      </c>
      <c r="K35" s="366">
        <f>vlookup($D35,Python!$D$2:$F$1000,3,FALSE)</f>
        <v>140.9</v>
      </c>
      <c r="L35" s="133">
        <v>500000.0</v>
      </c>
      <c r="N35" s="133" t="s">
        <v>585</v>
      </c>
      <c r="P35" s="133" t="s">
        <v>585</v>
      </c>
      <c r="R35" s="133" t="s">
        <v>585</v>
      </c>
      <c r="T35" s="133" t="s">
        <v>585</v>
      </c>
    </row>
    <row r="36">
      <c r="A36" s="167">
        <v>34.0</v>
      </c>
      <c r="B36" s="314" t="s">
        <v>443</v>
      </c>
      <c r="C36" s="167" t="s">
        <v>422</v>
      </c>
      <c r="D36" s="311" t="s">
        <v>668</v>
      </c>
      <c r="E36" s="369">
        <v>44398.0</v>
      </c>
      <c r="F36" s="370" t="s">
        <v>642</v>
      </c>
      <c r="G36" s="122" t="s">
        <v>445</v>
      </c>
      <c r="H36" s="122">
        <v>1.0</v>
      </c>
      <c r="I36" s="167">
        <v>241.0</v>
      </c>
      <c r="J36" s="133">
        <v>1000000.0</v>
      </c>
      <c r="K36" s="366">
        <f>vlookup($D36,Python!$D$2:$F$1000,3,FALSE)</f>
        <v>343.6</v>
      </c>
      <c r="L36" s="133">
        <v>500000.0</v>
      </c>
      <c r="N36" s="133" t="s">
        <v>585</v>
      </c>
      <c r="P36" s="133" t="s">
        <v>585</v>
      </c>
      <c r="R36" s="133" t="s">
        <v>585</v>
      </c>
      <c r="T36" s="133" t="s">
        <v>585</v>
      </c>
    </row>
    <row r="37">
      <c r="A37" s="119">
        <v>35.0</v>
      </c>
      <c r="B37" s="314" t="s">
        <v>443</v>
      </c>
      <c r="C37" s="167" t="s">
        <v>422</v>
      </c>
      <c r="D37" s="311" t="s">
        <v>669</v>
      </c>
      <c r="E37" s="369">
        <v>44399.0</v>
      </c>
      <c r="F37" s="370" t="s">
        <v>642</v>
      </c>
      <c r="G37" s="122" t="s">
        <v>445</v>
      </c>
      <c r="H37" s="122">
        <v>1.0</v>
      </c>
      <c r="I37" s="167">
        <v>132.0</v>
      </c>
      <c r="J37" s="133">
        <v>500000.0</v>
      </c>
      <c r="K37" s="366">
        <f>vlookup($D37,Python!$D$2:$F$1000,3,FALSE)</f>
        <v>233.5</v>
      </c>
      <c r="L37" s="133">
        <v>500000.0</v>
      </c>
      <c r="N37" s="133" t="s">
        <v>585</v>
      </c>
      <c r="P37" s="133" t="s">
        <v>585</v>
      </c>
      <c r="R37" s="133" t="s">
        <v>585</v>
      </c>
      <c r="T37" s="133" t="s">
        <v>585</v>
      </c>
    </row>
    <row r="38">
      <c r="A38" s="119">
        <v>36.0</v>
      </c>
      <c r="B38" s="314" t="s">
        <v>443</v>
      </c>
      <c r="C38" s="167" t="s">
        <v>422</v>
      </c>
      <c r="D38" s="311" t="s">
        <v>670</v>
      </c>
      <c r="E38" s="369">
        <v>44388.0</v>
      </c>
      <c r="F38" s="370" t="s">
        <v>647</v>
      </c>
      <c r="G38" s="122" t="s">
        <v>445</v>
      </c>
      <c r="H38" s="122">
        <v>1.0</v>
      </c>
      <c r="I38" s="167">
        <v>582.0</v>
      </c>
      <c r="J38" s="133">
        <v>2500000.0</v>
      </c>
      <c r="K38" s="366">
        <f>vlookup($D38,Python!$D$2:$F$1000,3,FALSE)</f>
        <v>656.7</v>
      </c>
      <c r="L38" s="133">
        <v>500000.0</v>
      </c>
      <c r="N38" s="133" t="s">
        <v>585</v>
      </c>
      <c r="P38" s="133" t="s">
        <v>585</v>
      </c>
      <c r="R38" s="133" t="s">
        <v>585</v>
      </c>
      <c r="T38" s="133" t="s">
        <v>585</v>
      </c>
    </row>
    <row r="39">
      <c r="A39" s="167">
        <v>37.0</v>
      </c>
      <c r="B39" s="314" t="s">
        <v>446</v>
      </c>
      <c r="C39" s="167" t="s">
        <v>422</v>
      </c>
      <c r="D39" s="311" t="s">
        <v>447</v>
      </c>
      <c r="E39" s="369">
        <v>44402.0</v>
      </c>
      <c r="F39" s="370" t="s">
        <v>642</v>
      </c>
      <c r="G39" s="122" t="s">
        <v>92</v>
      </c>
      <c r="H39" s="122">
        <v>1.0</v>
      </c>
      <c r="I39" s="167">
        <v>19.0</v>
      </c>
      <c r="J39" s="133">
        <v>0.0</v>
      </c>
      <c r="K39" s="366">
        <f>vlookup($D39,Python!$D$2:$F$1000,3,FALSE)</f>
        <v>26.4</v>
      </c>
      <c r="L39" s="133">
        <v>0.0</v>
      </c>
      <c r="N39" s="133" t="s">
        <v>585</v>
      </c>
      <c r="P39" s="133" t="s">
        <v>585</v>
      </c>
      <c r="R39" s="133" t="s">
        <v>585</v>
      </c>
      <c r="T39" s="133" t="s">
        <v>585</v>
      </c>
    </row>
    <row r="40">
      <c r="A40" s="167">
        <v>38.0</v>
      </c>
      <c r="B40" s="314" t="s">
        <v>448</v>
      </c>
      <c r="C40" s="167" t="s">
        <v>422</v>
      </c>
      <c r="D40" s="311" t="s">
        <v>449</v>
      </c>
      <c r="E40" s="367">
        <v>44393.0</v>
      </c>
      <c r="F40" s="368" t="s">
        <v>642</v>
      </c>
      <c r="G40" s="122" t="s">
        <v>92</v>
      </c>
      <c r="H40" s="122">
        <v>1.0</v>
      </c>
      <c r="I40" s="167">
        <v>395.0</v>
      </c>
      <c r="J40" s="133">
        <v>1500000.0</v>
      </c>
      <c r="K40" s="366">
        <f>vlookup($D40,Python!$D$2:$F$1000,3,FALSE)</f>
        <v>526.8</v>
      </c>
      <c r="L40" s="133">
        <v>1000000.0</v>
      </c>
      <c r="N40" s="133" t="s">
        <v>585</v>
      </c>
      <c r="P40" s="133" t="s">
        <v>585</v>
      </c>
      <c r="R40" s="133" t="s">
        <v>585</v>
      </c>
      <c r="T40" s="133" t="s">
        <v>585</v>
      </c>
    </row>
    <row r="41">
      <c r="A41" s="119">
        <v>39.0</v>
      </c>
      <c r="B41" s="314" t="s">
        <v>448</v>
      </c>
      <c r="C41" s="167" t="s">
        <v>422</v>
      </c>
      <c r="D41" s="311" t="s">
        <v>671</v>
      </c>
      <c r="E41" s="367">
        <v>44394.0</v>
      </c>
      <c r="F41" s="368" t="s">
        <v>642</v>
      </c>
      <c r="G41" s="122" t="s">
        <v>92</v>
      </c>
      <c r="H41" s="122">
        <v>1.0</v>
      </c>
      <c r="I41" s="167">
        <v>108.0</v>
      </c>
      <c r="J41" s="133">
        <v>500000.0</v>
      </c>
      <c r="K41" s="366">
        <f>vlookup($D41,Python!$D$2:$F$1000,3,FALSE)</f>
        <v>416</v>
      </c>
      <c r="L41" s="133">
        <v>1500000.0</v>
      </c>
      <c r="N41" s="133" t="s">
        <v>585</v>
      </c>
      <c r="P41" s="133" t="s">
        <v>585</v>
      </c>
      <c r="R41" s="133" t="s">
        <v>585</v>
      </c>
      <c r="T41" s="133" t="s">
        <v>585</v>
      </c>
    </row>
    <row r="42">
      <c r="A42" s="167">
        <v>40.0</v>
      </c>
      <c r="B42" s="314" t="s">
        <v>448</v>
      </c>
      <c r="C42" s="167" t="s">
        <v>422</v>
      </c>
      <c r="D42" s="311" t="s">
        <v>672</v>
      </c>
      <c r="E42" s="367">
        <v>44397.0</v>
      </c>
      <c r="F42" s="368" t="s">
        <v>647</v>
      </c>
      <c r="G42" s="122" t="s">
        <v>92</v>
      </c>
      <c r="H42" s="122">
        <v>1.0</v>
      </c>
      <c r="I42" s="167">
        <v>122.0</v>
      </c>
      <c r="J42" s="133">
        <v>500000.0</v>
      </c>
      <c r="K42" s="366">
        <f>vlookup($D42,Python!$D$2:$F$1000,3,FALSE)</f>
        <v>276.6</v>
      </c>
      <c r="L42" s="133">
        <v>500000.0</v>
      </c>
      <c r="N42" s="133" t="s">
        <v>585</v>
      </c>
      <c r="P42" s="133" t="s">
        <v>585</v>
      </c>
      <c r="R42" s="133" t="s">
        <v>585</v>
      </c>
      <c r="T42" s="133" t="s">
        <v>585</v>
      </c>
    </row>
    <row r="43">
      <c r="A43" s="167">
        <v>41.0</v>
      </c>
      <c r="B43" s="314" t="s">
        <v>448</v>
      </c>
      <c r="C43" s="167" t="s">
        <v>422</v>
      </c>
      <c r="D43" s="311" t="s">
        <v>673</v>
      </c>
      <c r="E43" s="367">
        <v>44399.0</v>
      </c>
      <c r="F43" s="368" t="s">
        <v>642</v>
      </c>
      <c r="G43" s="122" t="s">
        <v>92</v>
      </c>
      <c r="H43" s="122">
        <v>1.0</v>
      </c>
      <c r="I43" s="167">
        <v>37.0</v>
      </c>
      <c r="J43" s="133">
        <v>0.0</v>
      </c>
      <c r="K43" s="366">
        <f>vlookup($D43,Python!$D$2:$F$1000,3,FALSE)</f>
        <v>269.3</v>
      </c>
      <c r="L43" s="133">
        <v>1000000.0</v>
      </c>
      <c r="N43" s="133" t="s">
        <v>585</v>
      </c>
      <c r="P43" s="133" t="s">
        <v>585</v>
      </c>
      <c r="R43" s="133" t="s">
        <v>585</v>
      </c>
      <c r="T43" s="133" t="s">
        <v>585</v>
      </c>
    </row>
    <row r="44">
      <c r="A44" s="119">
        <v>42.0</v>
      </c>
      <c r="B44" s="314" t="s">
        <v>450</v>
      </c>
      <c r="C44" s="167" t="s">
        <v>422</v>
      </c>
      <c r="D44" s="311" t="s">
        <v>451</v>
      </c>
      <c r="E44" s="367">
        <v>44395.0</v>
      </c>
      <c r="F44" s="368" t="s">
        <v>642</v>
      </c>
      <c r="G44" s="122" t="s">
        <v>92</v>
      </c>
      <c r="H44" s="122">
        <v>1.0</v>
      </c>
      <c r="I44" s="167">
        <v>114.0</v>
      </c>
      <c r="J44" s="133">
        <v>500000.0</v>
      </c>
      <c r="K44" s="366">
        <f>vlookup($D44,Python!$D$2:$F$1000,3,FALSE)</f>
        <v>118.1</v>
      </c>
      <c r="L44" s="133">
        <v>0.0</v>
      </c>
      <c r="N44" s="133" t="s">
        <v>585</v>
      </c>
      <c r="P44" s="133" t="s">
        <v>585</v>
      </c>
      <c r="R44" s="133" t="s">
        <v>585</v>
      </c>
      <c r="T44" s="133" t="s">
        <v>585</v>
      </c>
    </row>
    <row r="45">
      <c r="A45" s="119">
        <v>43.0</v>
      </c>
      <c r="B45" s="314" t="s">
        <v>452</v>
      </c>
      <c r="C45" s="167" t="s">
        <v>422</v>
      </c>
      <c r="D45" s="311" t="s">
        <v>674</v>
      </c>
      <c r="E45" s="367">
        <v>44403.0</v>
      </c>
      <c r="F45" s="368" t="s">
        <v>642</v>
      </c>
      <c r="G45" s="122" t="s">
        <v>92</v>
      </c>
      <c r="H45" s="122">
        <v>1.0</v>
      </c>
      <c r="I45" s="167">
        <v>1.0</v>
      </c>
      <c r="J45" s="133">
        <v>0.0</v>
      </c>
      <c r="K45" s="366">
        <f>vlookup($D45,Python!$D$2:$F$1000,3,FALSE)</f>
        <v>2.801</v>
      </c>
      <c r="L45" s="133">
        <v>0.0</v>
      </c>
      <c r="N45" s="133" t="s">
        <v>585</v>
      </c>
      <c r="P45" s="133" t="s">
        <v>585</v>
      </c>
      <c r="R45" s="133" t="s">
        <v>585</v>
      </c>
      <c r="T45" s="133" t="s">
        <v>585</v>
      </c>
    </row>
    <row r="46">
      <c r="A46" s="167">
        <v>44.0</v>
      </c>
      <c r="B46" s="314" t="s">
        <v>454</v>
      </c>
      <c r="C46" s="167" t="s">
        <v>422</v>
      </c>
      <c r="D46" s="311" t="s">
        <v>675</v>
      </c>
      <c r="E46" s="367">
        <v>44398.0</v>
      </c>
      <c r="F46" s="368" t="s">
        <v>647</v>
      </c>
      <c r="G46" s="122" t="s">
        <v>92</v>
      </c>
      <c r="H46" s="122">
        <v>1.0</v>
      </c>
      <c r="I46" s="167">
        <v>129.0</v>
      </c>
      <c r="J46" s="133">
        <v>500000.0</v>
      </c>
      <c r="K46" s="366">
        <f>vlookup($D46,Python!$D$2:$F$1000,3,FALSE)</f>
        <v>174.1</v>
      </c>
      <c r="L46" s="133">
        <v>0.0</v>
      </c>
      <c r="N46" s="133" t="s">
        <v>585</v>
      </c>
      <c r="P46" s="133" t="s">
        <v>585</v>
      </c>
      <c r="R46" s="133" t="s">
        <v>585</v>
      </c>
      <c r="T46" s="133" t="s">
        <v>585</v>
      </c>
    </row>
    <row r="47">
      <c r="A47" s="167">
        <v>45.0</v>
      </c>
      <c r="B47" s="314" t="s">
        <v>454</v>
      </c>
      <c r="C47" s="167" t="s">
        <v>422</v>
      </c>
      <c r="D47" s="311" t="s">
        <v>676</v>
      </c>
      <c r="E47" s="367">
        <v>44398.0</v>
      </c>
      <c r="F47" s="368" t="s">
        <v>647</v>
      </c>
      <c r="G47" s="122" t="s">
        <v>92</v>
      </c>
      <c r="H47" s="122">
        <v>1.0</v>
      </c>
      <c r="I47" s="167">
        <v>88.0</v>
      </c>
      <c r="J47" s="133">
        <v>0.0</v>
      </c>
      <c r="K47" s="366">
        <f>vlookup($D47,Python!$D$2:$F$1000,3,FALSE)</f>
        <v>134.6</v>
      </c>
      <c r="L47" s="133">
        <v>500000.0</v>
      </c>
      <c r="N47" s="133" t="s">
        <v>585</v>
      </c>
      <c r="P47" s="133" t="s">
        <v>585</v>
      </c>
      <c r="R47" s="133" t="s">
        <v>585</v>
      </c>
      <c r="T47" s="133" t="s">
        <v>585</v>
      </c>
    </row>
    <row r="48">
      <c r="A48" s="119">
        <v>46.0</v>
      </c>
      <c r="B48" s="314" t="s">
        <v>456</v>
      </c>
      <c r="C48" s="167" t="s">
        <v>422</v>
      </c>
      <c r="D48" s="311" t="s">
        <v>677</v>
      </c>
      <c r="E48" s="367">
        <v>44394.0</v>
      </c>
      <c r="F48" s="368" t="s">
        <v>642</v>
      </c>
      <c r="G48" s="122" t="s">
        <v>92</v>
      </c>
      <c r="H48" s="122">
        <v>1.0</v>
      </c>
      <c r="I48" s="167">
        <v>695.0</v>
      </c>
      <c r="J48" s="133">
        <v>3000000.0</v>
      </c>
      <c r="K48" s="366">
        <f>vlookup($D48,Python!$D$2:$F$1000,3,FALSE)</f>
        <v>1100</v>
      </c>
      <c r="L48" s="133">
        <v>2500000.0</v>
      </c>
      <c r="N48" s="133" t="s">
        <v>585</v>
      </c>
      <c r="P48" s="133" t="s">
        <v>585</v>
      </c>
      <c r="R48" s="133" t="s">
        <v>585</v>
      </c>
      <c r="T48" s="133" t="s">
        <v>585</v>
      </c>
    </row>
    <row r="49">
      <c r="A49" s="371">
        <v>47.0</v>
      </c>
      <c r="B49" s="372" t="s">
        <v>456</v>
      </c>
      <c r="C49" s="371" t="s">
        <v>422</v>
      </c>
      <c r="D49" s="373" t="s">
        <v>678</v>
      </c>
      <c r="E49" s="374"/>
      <c r="F49" s="374"/>
      <c r="G49" s="155" t="s">
        <v>92</v>
      </c>
      <c r="H49" s="155">
        <v>1.0</v>
      </c>
      <c r="I49" s="371">
        <v>285.0</v>
      </c>
      <c r="J49" s="375">
        <v>1000000.0</v>
      </c>
      <c r="K49" s="366">
        <f>vlookup($D49,Python!$D$2:$F$1000,3,FALSE)</f>
        <v>440.3</v>
      </c>
      <c r="L49" s="375">
        <v>1000000.0</v>
      </c>
      <c r="M49" s="155"/>
      <c r="N49" s="375" t="s">
        <v>585</v>
      </c>
      <c r="O49" s="155"/>
      <c r="P49" s="375" t="s">
        <v>585</v>
      </c>
      <c r="Q49" s="155"/>
      <c r="R49" s="375" t="s">
        <v>585</v>
      </c>
      <c r="S49" s="155"/>
      <c r="T49" s="375" t="s">
        <v>585</v>
      </c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</row>
    <row r="50">
      <c r="A50" s="167">
        <v>48.0</v>
      </c>
      <c r="B50" s="314" t="s">
        <v>456</v>
      </c>
      <c r="C50" s="167" t="s">
        <v>422</v>
      </c>
      <c r="D50" s="311" t="s">
        <v>679</v>
      </c>
      <c r="E50" s="367">
        <v>44400.0</v>
      </c>
      <c r="F50" s="368" t="s">
        <v>642</v>
      </c>
      <c r="G50" s="122" t="s">
        <v>92</v>
      </c>
      <c r="H50" s="122">
        <v>1.0</v>
      </c>
      <c r="I50" s="167">
        <v>2000.0</v>
      </c>
      <c r="J50" s="133">
        <v>1.0E7</v>
      </c>
      <c r="K50" s="366">
        <f>vlookup($D50,Python!$D$2:$F$1000,3,FALSE)</f>
        <v>2600</v>
      </c>
      <c r="L50" s="133">
        <v>3000000.0</v>
      </c>
      <c r="N50" s="133" t="s">
        <v>585</v>
      </c>
      <c r="P50" s="133" t="s">
        <v>585</v>
      </c>
      <c r="R50" s="133" t="s">
        <v>585</v>
      </c>
      <c r="T50" s="133" t="s">
        <v>585</v>
      </c>
    </row>
    <row r="51">
      <c r="A51" s="119">
        <v>49.0</v>
      </c>
      <c r="B51" s="314" t="s">
        <v>458</v>
      </c>
      <c r="C51" s="167" t="s">
        <v>422</v>
      </c>
      <c r="D51" s="311" t="s">
        <v>459</v>
      </c>
      <c r="E51" s="367">
        <v>44393.0</v>
      </c>
      <c r="F51" s="368" t="s">
        <v>647</v>
      </c>
      <c r="G51" s="122" t="s">
        <v>92</v>
      </c>
      <c r="H51" s="122">
        <v>1.0</v>
      </c>
      <c r="I51" s="167">
        <v>42.0</v>
      </c>
      <c r="J51" s="133">
        <v>0.0</v>
      </c>
      <c r="K51" s="366">
        <f>vlookup($D51,Python!$D$2:$F$1000,3,FALSE)</f>
        <v>78.1</v>
      </c>
      <c r="L51" s="133">
        <v>0.0</v>
      </c>
      <c r="N51" s="133" t="s">
        <v>585</v>
      </c>
      <c r="P51" s="133" t="s">
        <v>585</v>
      </c>
      <c r="R51" s="133" t="s">
        <v>585</v>
      </c>
      <c r="T51" s="133" t="s">
        <v>585</v>
      </c>
    </row>
    <row r="52">
      <c r="A52" s="119">
        <v>50.0</v>
      </c>
      <c r="B52" s="314" t="s">
        <v>458</v>
      </c>
      <c r="C52" s="167" t="s">
        <v>422</v>
      </c>
      <c r="D52" s="311" t="s">
        <v>680</v>
      </c>
      <c r="E52" s="367">
        <v>44396.0</v>
      </c>
      <c r="F52" s="368" t="s">
        <v>642</v>
      </c>
      <c r="G52" s="122" t="s">
        <v>92</v>
      </c>
      <c r="H52" s="122">
        <v>1.0</v>
      </c>
      <c r="I52" s="167">
        <v>93.0</v>
      </c>
      <c r="J52" s="133">
        <v>0.0</v>
      </c>
      <c r="K52" s="366">
        <f>vlookup($D52,Python!$D$2:$F$1000,3,FALSE)</f>
        <v>143.8</v>
      </c>
      <c r="L52" s="133">
        <v>500000.0</v>
      </c>
      <c r="N52" s="133" t="s">
        <v>585</v>
      </c>
      <c r="P52" s="133" t="s">
        <v>585</v>
      </c>
      <c r="R52" s="133" t="s">
        <v>585</v>
      </c>
      <c r="T52" s="133" t="s">
        <v>585</v>
      </c>
    </row>
    <row r="53">
      <c r="A53" s="167">
        <v>51.0</v>
      </c>
      <c r="B53" s="314" t="s">
        <v>458</v>
      </c>
      <c r="C53" s="167" t="s">
        <v>422</v>
      </c>
      <c r="D53" s="311" t="s">
        <v>681</v>
      </c>
      <c r="E53" s="367">
        <v>44396.0</v>
      </c>
      <c r="F53" s="368" t="s">
        <v>642</v>
      </c>
      <c r="G53" s="122" t="s">
        <v>92</v>
      </c>
      <c r="H53" s="122">
        <v>1.0</v>
      </c>
      <c r="I53" s="167">
        <v>105.0</v>
      </c>
      <c r="J53" s="133">
        <v>500000.0</v>
      </c>
      <c r="K53" s="366">
        <f>vlookup($D53,Python!$D$2:$F$1000,3,FALSE)</f>
        <v>168.5</v>
      </c>
      <c r="L53" s="133">
        <v>0.0</v>
      </c>
      <c r="N53" s="133" t="s">
        <v>585</v>
      </c>
      <c r="P53" s="133" t="s">
        <v>585</v>
      </c>
      <c r="R53" s="133" t="s">
        <v>585</v>
      </c>
      <c r="T53" s="133" t="s">
        <v>585</v>
      </c>
    </row>
    <row r="54">
      <c r="A54" s="167">
        <v>52.0</v>
      </c>
      <c r="B54" s="314" t="s">
        <v>460</v>
      </c>
      <c r="C54" s="167" t="s">
        <v>422</v>
      </c>
      <c r="D54" s="311" t="s">
        <v>682</v>
      </c>
      <c r="E54" s="367">
        <v>44401.0</v>
      </c>
      <c r="F54" s="368" t="s">
        <v>642</v>
      </c>
      <c r="G54" s="122" t="s">
        <v>92</v>
      </c>
      <c r="H54" s="122">
        <v>1.0</v>
      </c>
      <c r="I54" s="167">
        <v>11.0</v>
      </c>
      <c r="J54" s="133">
        <v>0.0</v>
      </c>
      <c r="K54" s="366">
        <f>vlookup($D54,Python!$D$2:$F$1000,3,FALSE)</f>
        <v>19.7</v>
      </c>
      <c r="L54" s="133">
        <v>0.0</v>
      </c>
      <c r="N54" s="133" t="s">
        <v>585</v>
      </c>
      <c r="P54" s="133" t="s">
        <v>585</v>
      </c>
      <c r="R54" s="133" t="s">
        <v>585</v>
      </c>
      <c r="T54" s="133" t="s">
        <v>585</v>
      </c>
    </row>
    <row r="55">
      <c r="A55" s="376">
        <v>53.0</v>
      </c>
      <c r="B55" s="372" t="s">
        <v>462</v>
      </c>
      <c r="C55" s="371" t="s">
        <v>422</v>
      </c>
      <c r="D55" s="373" t="s">
        <v>683</v>
      </c>
      <c r="E55" s="374"/>
      <c r="F55" s="374"/>
      <c r="G55" s="155" t="s">
        <v>92</v>
      </c>
      <c r="H55" s="155">
        <v>1.0</v>
      </c>
      <c r="I55" s="371">
        <v>116.0</v>
      </c>
      <c r="J55" s="375">
        <v>500000.0</v>
      </c>
      <c r="K55" s="366">
        <f>vlookup($D55,Python!$D$2:$F$1000,3,FALSE)</f>
        <v>120.9</v>
      </c>
      <c r="L55" s="375">
        <v>0.0</v>
      </c>
      <c r="M55" s="155"/>
      <c r="N55" s="375" t="s">
        <v>585</v>
      </c>
      <c r="O55" s="155"/>
      <c r="P55" s="375" t="s">
        <v>585</v>
      </c>
      <c r="Q55" s="155"/>
      <c r="R55" s="375" t="s">
        <v>585</v>
      </c>
      <c r="S55" s="155"/>
      <c r="T55" s="375" t="s">
        <v>585</v>
      </c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</row>
    <row r="56">
      <c r="A56" s="167">
        <v>54.0</v>
      </c>
      <c r="B56" s="314" t="s">
        <v>464</v>
      </c>
      <c r="C56" s="167" t="s">
        <v>422</v>
      </c>
      <c r="D56" s="311" t="s">
        <v>684</v>
      </c>
      <c r="E56" s="367">
        <v>44397.0</v>
      </c>
      <c r="F56" s="368" t="s">
        <v>642</v>
      </c>
      <c r="G56" s="122" t="s">
        <v>466</v>
      </c>
      <c r="H56" s="122">
        <v>1.0</v>
      </c>
      <c r="I56" s="167">
        <v>15.0</v>
      </c>
      <c r="J56" s="133">
        <v>0.0</v>
      </c>
      <c r="K56" s="366">
        <f>vlookup($D56,Python!$D$2:$F$1000,3,FALSE)</f>
        <v>20.3</v>
      </c>
      <c r="L56" s="133">
        <v>0.0</v>
      </c>
      <c r="N56" s="133" t="s">
        <v>585</v>
      </c>
      <c r="P56" s="133" t="s">
        <v>585</v>
      </c>
      <c r="R56" s="133" t="s">
        <v>585</v>
      </c>
      <c r="T56" s="133" t="s">
        <v>585</v>
      </c>
    </row>
    <row r="57">
      <c r="A57" s="167">
        <v>55.0</v>
      </c>
      <c r="B57" s="314" t="s">
        <v>464</v>
      </c>
      <c r="C57" s="167" t="s">
        <v>422</v>
      </c>
      <c r="D57" s="311" t="s">
        <v>685</v>
      </c>
      <c r="E57" s="367">
        <v>44399.0</v>
      </c>
      <c r="F57" s="368" t="s">
        <v>642</v>
      </c>
      <c r="G57" s="122" t="s">
        <v>466</v>
      </c>
      <c r="H57" s="122">
        <v>1.0</v>
      </c>
      <c r="I57" s="167">
        <v>76.0</v>
      </c>
      <c r="J57" s="133">
        <v>0.0</v>
      </c>
      <c r="K57" s="366">
        <f>vlookup($D57,Python!$D$2:$F$1000,3,FALSE)</f>
        <v>105.7</v>
      </c>
      <c r="L57" s="133">
        <v>500000.0</v>
      </c>
      <c r="N57" s="133" t="s">
        <v>585</v>
      </c>
      <c r="P57" s="133" t="s">
        <v>585</v>
      </c>
      <c r="R57" s="133" t="s">
        <v>585</v>
      </c>
      <c r="T57" s="133" t="s">
        <v>585</v>
      </c>
    </row>
    <row r="58">
      <c r="A58" s="119">
        <v>56.0</v>
      </c>
      <c r="B58" s="314" t="s">
        <v>464</v>
      </c>
      <c r="C58" s="167" t="s">
        <v>422</v>
      </c>
      <c r="D58" s="311" t="s">
        <v>1186</v>
      </c>
      <c r="E58" s="367">
        <v>44403.0</v>
      </c>
      <c r="F58" s="368" t="s">
        <v>642</v>
      </c>
      <c r="G58" s="122" t="s">
        <v>466</v>
      </c>
      <c r="H58" s="122">
        <v>1.0</v>
      </c>
      <c r="I58" s="167">
        <v>11.0</v>
      </c>
      <c r="J58" s="133">
        <v>0.0</v>
      </c>
      <c r="K58" s="366">
        <f>vlookup($D58,Python!$D$2:$F$1000,3,FALSE)</f>
        <v>25.7</v>
      </c>
      <c r="L58" s="133">
        <v>0.0</v>
      </c>
      <c r="N58" s="133" t="s">
        <v>585</v>
      </c>
      <c r="P58" s="133" t="s">
        <v>585</v>
      </c>
      <c r="R58" s="133" t="s">
        <v>585</v>
      </c>
      <c r="T58" s="133" t="s">
        <v>585</v>
      </c>
    </row>
    <row r="59">
      <c r="A59" s="119">
        <v>57.0</v>
      </c>
      <c r="B59" s="314" t="s">
        <v>464</v>
      </c>
      <c r="C59" s="167" t="s">
        <v>422</v>
      </c>
      <c r="D59" s="311" t="s">
        <v>1187</v>
      </c>
      <c r="E59" s="367">
        <v>44405.0</v>
      </c>
      <c r="F59" s="368" t="s">
        <v>642</v>
      </c>
      <c r="G59" s="122" t="s">
        <v>466</v>
      </c>
      <c r="H59" s="122">
        <v>1.0</v>
      </c>
      <c r="I59" s="167">
        <v>52.0</v>
      </c>
      <c r="J59" s="133">
        <v>0.0</v>
      </c>
      <c r="K59" s="366">
        <f>vlookup($D59,Python!$D$2:$F$1000,3,FALSE)</f>
        <v>311.9</v>
      </c>
      <c r="L59" s="133">
        <v>1500000.0</v>
      </c>
      <c r="N59" s="133" t="s">
        <v>585</v>
      </c>
      <c r="P59" s="133" t="s">
        <v>585</v>
      </c>
      <c r="R59" s="133" t="s">
        <v>585</v>
      </c>
      <c r="T59" s="133" t="s">
        <v>585</v>
      </c>
    </row>
    <row r="60">
      <c r="A60" s="167">
        <v>58.0</v>
      </c>
      <c r="B60" s="314" t="s">
        <v>467</v>
      </c>
      <c r="C60" s="167" t="s">
        <v>422</v>
      </c>
      <c r="D60" s="311" t="s">
        <v>1188</v>
      </c>
      <c r="E60" s="367">
        <v>44435.0</v>
      </c>
      <c r="F60" s="368" t="s">
        <v>642</v>
      </c>
      <c r="G60" s="122" t="s">
        <v>92</v>
      </c>
      <c r="H60" s="122">
        <v>1.0</v>
      </c>
      <c r="I60" s="167">
        <v>46.0</v>
      </c>
      <c r="J60" s="133">
        <v>0.0</v>
      </c>
      <c r="K60" s="366">
        <f>vlookup($D60,Python!$D$2:$F$1000,3,FALSE)</f>
        <v>110.1</v>
      </c>
      <c r="L60" s="133">
        <v>500000.0</v>
      </c>
      <c r="N60" s="133" t="s">
        <v>585</v>
      </c>
      <c r="P60" s="133" t="s">
        <v>585</v>
      </c>
      <c r="R60" s="133" t="s">
        <v>585</v>
      </c>
      <c r="T60" s="133" t="s">
        <v>585</v>
      </c>
    </row>
    <row r="61">
      <c r="A61" s="167">
        <v>59.0</v>
      </c>
      <c r="B61" s="314" t="s">
        <v>469</v>
      </c>
      <c r="C61" s="167" t="s">
        <v>418</v>
      </c>
      <c r="D61" s="311" t="s">
        <v>470</v>
      </c>
      <c r="E61" s="367">
        <v>44389.0</v>
      </c>
      <c r="F61" s="368" t="s">
        <v>641</v>
      </c>
      <c r="G61" s="122" t="s">
        <v>92</v>
      </c>
      <c r="H61" s="122">
        <v>1.0</v>
      </c>
      <c r="I61" s="167">
        <v>51.0</v>
      </c>
      <c r="J61" s="133">
        <v>1000000.0</v>
      </c>
      <c r="K61" s="366" t="str">
        <f>vlookup($D61,Python!$D$2:$F$1000,3,FALSE)</f>
        <v/>
      </c>
      <c r="L61" s="133" t="s">
        <v>585</v>
      </c>
      <c r="N61" s="133" t="s">
        <v>585</v>
      </c>
      <c r="P61" s="133" t="s">
        <v>585</v>
      </c>
      <c r="R61" s="133" t="s">
        <v>585</v>
      </c>
      <c r="T61" s="133" t="s">
        <v>585</v>
      </c>
    </row>
    <row r="62">
      <c r="A62" s="119">
        <v>60.0</v>
      </c>
      <c r="B62" s="314" t="s">
        <v>469</v>
      </c>
      <c r="C62" s="167" t="s">
        <v>510</v>
      </c>
      <c r="D62" s="311" t="s">
        <v>686</v>
      </c>
      <c r="E62" s="367">
        <v>44400.0</v>
      </c>
      <c r="F62" s="368" t="s">
        <v>641</v>
      </c>
      <c r="G62" s="122" t="s">
        <v>92</v>
      </c>
      <c r="H62" s="122">
        <v>1.0</v>
      </c>
      <c r="I62" s="167">
        <v>62.0</v>
      </c>
      <c r="J62" s="133">
        <v>1000000.0</v>
      </c>
      <c r="K62" s="366">
        <f>vlookup($D62,Python!$D$2:$F$1000,3,FALSE)</f>
        <v>62.82</v>
      </c>
      <c r="L62" s="133">
        <v>0.0</v>
      </c>
      <c r="N62" s="133" t="s">
        <v>585</v>
      </c>
      <c r="P62" s="133" t="s">
        <v>585</v>
      </c>
      <c r="R62" s="133" t="s">
        <v>585</v>
      </c>
      <c r="T62" s="133" t="s">
        <v>585</v>
      </c>
    </row>
    <row r="63">
      <c r="A63" s="167">
        <v>61.0</v>
      </c>
      <c r="B63" s="314" t="s">
        <v>471</v>
      </c>
      <c r="C63" s="167" t="s">
        <v>418</v>
      </c>
      <c r="D63" s="311" t="s">
        <v>687</v>
      </c>
      <c r="E63" s="367">
        <v>44395.0</v>
      </c>
      <c r="F63" s="368" t="s">
        <v>641</v>
      </c>
      <c r="G63" s="122" t="s">
        <v>92</v>
      </c>
      <c r="H63" s="122">
        <v>1.0</v>
      </c>
      <c r="I63" s="167">
        <v>52.0</v>
      </c>
      <c r="J63" s="133">
        <v>1000000.0</v>
      </c>
      <c r="K63" s="366">
        <f>vlookup($D63,Python!$D$2:$F$1000,3,FALSE)</f>
        <v>52</v>
      </c>
      <c r="L63" s="133">
        <v>0.0</v>
      </c>
      <c r="N63" s="133" t="s">
        <v>585</v>
      </c>
      <c r="P63" s="133" t="s">
        <v>585</v>
      </c>
      <c r="R63" s="133" t="s">
        <v>585</v>
      </c>
      <c r="T63" s="133" t="s">
        <v>585</v>
      </c>
    </row>
    <row r="64">
      <c r="A64" s="167">
        <v>62.0</v>
      </c>
      <c r="B64" s="314" t="s">
        <v>473</v>
      </c>
      <c r="C64" s="167" t="s">
        <v>418</v>
      </c>
      <c r="D64" s="311" t="s">
        <v>474</v>
      </c>
      <c r="E64" s="367">
        <v>44395.0</v>
      </c>
      <c r="F64" s="368" t="s">
        <v>641</v>
      </c>
      <c r="G64" s="122" t="s">
        <v>92</v>
      </c>
      <c r="H64" s="122">
        <v>1.0</v>
      </c>
      <c r="I64" s="167">
        <v>3.0</v>
      </c>
      <c r="J64" s="133">
        <v>0.0</v>
      </c>
      <c r="K64" s="366">
        <f>vlookup($D64,Python!$D$2:$F$1000,3,FALSE)</f>
        <v>3</v>
      </c>
      <c r="L64" s="133">
        <v>0.0</v>
      </c>
      <c r="N64" s="133" t="s">
        <v>585</v>
      </c>
      <c r="P64" s="133" t="s">
        <v>585</v>
      </c>
      <c r="R64" s="133" t="s">
        <v>585</v>
      </c>
      <c r="T64" s="133" t="s">
        <v>585</v>
      </c>
    </row>
    <row r="65">
      <c r="A65" s="119">
        <v>63.0</v>
      </c>
      <c r="B65" s="314" t="s">
        <v>475</v>
      </c>
      <c r="C65" s="167" t="s">
        <v>422</v>
      </c>
      <c r="D65" s="311" t="s">
        <v>688</v>
      </c>
      <c r="E65" s="367">
        <v>44400.0</v>
      </c>
      <c r="F65" s="368" t="s">
        <v>647</v>
      </c>
      <c r="G65" s="122" t="s">
        <v>92</v>
      </c>
      <c r="H65" s="122">
        <v>1.0</v>
      </c>
      <c r="I65" s="167">
        <v>63.0</v>
      </c>
      <c r="J65" s="133">
        <v>0.0</v>
      </c>
      <c r="K65" s="366">
        <f>vlookup($D65,Python!$D$2:$F$1000,3,FALSE)</f>
        <v>83.1</v>
      </c>
      <c r="L65" s="133">
        <v>0.0</v>
      </c>
      <c r="N65" s="133" t="s">
        <v>585</v>
      </c>
      <c r="P65" s="133" t="s">
        <v>585</v>
      </c>
      <c r="R65" s="133" t="s">
        <v>585</v>
      </c>
      <c r="T65" s="133" t="s">
        <v>585</v>
      </c>
    </row>
    <row r="66">
      <c r="A66" s="119">
        <v>64.0</v>
      </c>
      <c r="B66" s="314" t="s">
        <v>477</v>
      </c>
      <c r="C66" s="167" t="s">
        <v>418</v>
      </c>
      <c r="D66" s="311" t="s">
        <v>689</v>
      </c>
      <c r="E66" s="367">
        <v>44391.0</v>
      </c>
      <c r="F66" s="368" t="s">
        <v>641</v>
      </c>
      <c r="G66" s="122" t="s">
        <v>92</v>
      </c>
      <c r="H66" s="122">
        <v>1.0</v>
      </c>
      <c r="I66" s="167">
        <v>56.0</v>
      </c>
      <c r="J66" s="133">
        <v>1000000.0</v>
      </c>
      <c r="K66" s="366">
        <f>vlookup($D66,Python!$D$2:$F$1000,3,FALSE)</f>
        <v>104</v>
      </c>
      <c r="L66" s="133">
        <v>1000000.0</v>
      </c>
      <c r="N66" s="133" t="s">
        <v>585</v>
      </c>
      <c r="P66" s="133" t="s">
        <v>585</v>
      </c>
      <c r="R66" s="133" t="s">
        <v>585</v>
      </c>
      <c r="T66" s="133" t="s">
        <v>585</v>
      </c>
    </row>
    <row r="67">
      <c r="A67" s="167">
        <v>65.0</v>
      </c>
      <c r="B67" s="314" t="s">
        <v>477</v>
      </c>
      <c r="C67" s="167" t="s">
        <v>422</v>
      </c>
      <c r="D67" s="311" t="s">
        <v>690</v>
      </c>
      <c r="E67" s="367">
        <v>44393.0</v>
      </c>
      <c r="F67" s="368" t="s">
        <v>641</v>
      </c>
      <c r="G67" s="122" t="s">
        <v>92</v>
      </c>
      <c r="H67" s="122">
        <v>1.0</v>
      </c>
      <c r="I67" s="167">
        <v>106.0</v>
      </c>
      <c r="J67" s="133">
        <v>500000.0</v>
      </c>
      <c r="K67" s="366">
        <f>vlookup($D67,Python!$D$2:$F$1000,3,FALSE)</f>
        <v>107.6</v>
      </c>
      <c r="L67" s="133">
        <v>0.0</v>
      </c>
      <c r="N67" s="133" t="s">
        <v>585</v>
      </c>
      <c r="P67" s="133" t="s">
        <v>585</v>
      </c>
      <c r="R67" s="133" t="s">
        <v>585</v>
      </c>
      <c r="T67" s="133" t="s">
        <v>585</v>
      </c>
    </row>
    <row r="68">
      <c r="A68" s="167">
        <v>66.0</v>
      </c>
      <c r="B68" s="314" t="s">
        <v>479</v>
      </c>
      <c r="C68" s="167" t="s">
        <v>418</v>
      </c>
      <c r="D68" s="311" t="s">
        <v>480</v>
      </c>
      <c r="E68" s="367">
        <v>44390.0</v>
      </c>
      <c r="F68" s="368" t="s">
        <v>641</v>
      </c>
      <c r="G68" s="122" t="s">
        <v>92</v>
      </c>
      <c r="H68" s="122">
        <v>1.0</v>
      </c>
      <c r="I68" s="167">
        <v>59.0</v>
      </c>
      <c r="J68" s="133">
        <v>1000000.0</v>
      </c>
      <c r="K68" s="366">
        <f>vlookup($D68,Python!$D$2:$F$1000,3,FALSE)</f>
        <v>100</v>
      </c>
      <c r="L68" s="133">
        <v>1000000.0</v>
      </c>
      <c r="N68" s="133" t="s">
        <v>585</v>
      </c>
      <c r="P68" s="133" t="s">
        <v>585</v>
      </c>
      <c r="R68" s="133" t="s">
        <v>585</v>
      </c>
      <c r="T68" s="133" t="s">
        <v>585</v>
      </c>
    </row>
    <row r="69">
      <c r="A69" s="119">
        <v>67.0</v>
      </c>
      <c r="B69" s="314" t="s">
        <v>481</v>
      </c>
      <c r="C69" s="167" t="s">
        <v>418</v>
      </c>
      <c r="D69" s="311" t="s">
        <v>691</v>
      </c>
      <c r="E69" s="367">
        <v>44395.0</v>
      </c>
      <c r="F69" s="368" t="s">
        <v>641</v>
      </c>
      <c r="G69" s="122" t="s">
        <v>92</v>
      </c>
      <c r="H69" s="122">
        <v>1.0</v>
      </c>
      <c r="I69" s="167">
        <v>2.0</v>
      </c>
      <c r="J69" s="133">
        <v>0.0</v>
      </c>
      <c r="K69" s="366">
        <f>vlookup($D69,Python!$D$2:$F$1000,3,FALSE)</f>
        <v>2.4</v>
      </c>
      <c r="L69" s="133">
        <v>0.0</v>
      </c>
      <c r="N69" s="133" t="s">
        <v>585</v>
      </c>
      <c r="P69" s="133" t="s">
        <v>585</v>
      </c>
      <c r="R69" s="133" t="s">
        <v>585</v>
      </c>
      <c r="T69" s="133" t="s">
        <v>585</v>
      </c>
    </row>
    <row r="70">
      <c r="A70" s="167">
        <v>68.0</v>
      </c>
      <c r="B70" s="314" t="s">
        <v>481</v>
      </c>
      <c r="C70" s="167" t="s">
        <v>422</v>
      </c>
      <c r="D70" s="311" t="s">
        <v>692</v>
      </c>
      <c r="E70" s="367">
        <v>44402.0</v>
      </c>
      <c r="F70" s="368" t="s">
        <v>641</v>
      </c>
      <c r="G70" s="122" t="s">
        <v>92</v>
      </c>
      <c r="H70" s="122">
        <v>1.0</v>
      </c>
      <c r="I70" s="167">
        <v>55.0</v>
      </c>
      <c r="J70" s="133">
        <v>0.0</v>
      </c>
      <c r="K70" s="366">
        <f>vlookup($D70,Python!$D$2:$F$1000,3,FALSE)</f>
        <v>55.6</v>
      </c>
      <c r="L70" s="133">
        <v>0.0</v>
      </c>
      <c r="N70" s="133" t="s">
        <v>585</v>
      </c>
      <c r="P70" s="133" t="s">
        <v>585</v>
      </c>
      <c r="R70" s="133" t="s">
        <v>585</v>
      </c>
      <c r="T70" s="133" t="s">
        <v>585</v>
      </c>
    </row>
    <row r="71">
      <c r="A71" s="167">
        <v>69.0</v>
      </c>
      <c r="B71" s="314" t="s">
        <v>483</v>
      </c>
      <c r="C71" s="167" t="s">
        <v>418</v>
      </c>
      <c r="D71" s="311" t="s">
        <v>484</v>
      </c>
      <c r="E71" s="367">
        <v>44392.0</v>
      </c>
      <c r="F71" s="368" t="s">
        <v>641</v>
      </c>
      <c r="G71" s="122" t="s">
        <v>92</v>
      </c>
      <c r="H71" s="122">
        <v>1.0</v>
      </c>
      <c r="I71" s="167">
        <v>55.0</v>
      </c>
      <c r="J71" s="133">
        <v>1000000.0</v>
      </c>
      <c r="K71" s="366">
        <f>vlookup($D71,Python!$D$2:$F$1000,3,FALSE)</f>
        <v>102</v>
      </c>
      <c r="L71" s="133">
        <v>1000000.0</v>
      </c>
      <c r="N71" s="133" t="s">
        <v>585</v>
      </c>
      <c r="P71" s="133" t="s">
        <v>585</v>
      </c>
      <c r="R71" s="133" t="s">
        <v>585</v>
      </c>
      <c r="T71" s="133" t="s">
        <v>585</v>
      </c>
    </row>
    <row r="72">
      <c r="A72" s="119">
        <v>70.0</v>
      </c>
      <c r="B72" s="314" t="s">
        <v>485</v>
      </c>
      <c r="C72" s="167" t="s">
        <v>418</v>
      </c>
      <c r="D72" s="311" t="s">
        <v>486</v>
      </c>
      <c r="E72" s="367">
        <v>44398.0</v>
      </c>
      <c r="F72" s="368" t="s">
        <v>641</v>
      </c>
      <c r="G72" s="122" t="s">
        <v>92</v>
      </c>
      <c r="H72" s="122">
        <v>1.0</v>
      </c>
      <c r="I72" s="167">
        <v>0.0</v>
      </c>
      <c r="J72" s="133">
        <v>0.0</v>
      </c>
      <c r="K72" s="377"/>
      <c r="L72" s="133" t="s">
        <v>585</v>
      </c>
      <c r="N72" s="133" t="s">
        <v>585</v>
      </c>
      <c r="P72" s="133" t="s">
        <v>585</v>
      </c>
      <c r="R72" s="133" t="s">
        <v>585</v>
      </c>
      <c r="T72" s="133" t="s">
        <v>585</v>
      </c>
    </row>
    <row r="73">
      <c r="A73" s="119">
        <v>71.0</v>
      </c>
      <c r="B73" s="314" t="s">
        <v>487</v>
      </c>
      <c r="C73" s="371" t="s">
        <v>422</v>
      </c>
      <c r="D73" s="311" t="s">
        <v>693</v>
      </c>
      <c r="E73" s="367">
        <v>44389.0</v>
      </c>
      <c r="F73" s="368" t="s">
        <v>642</v>
      </c>
      <c r="G73" s="122" t="s">
        <v>489</v>
      </c>
      <c r="H73" s="122">
        <v>1.0</v>
      </c>
      <c r="I73" s="167">
        <v>74.0</v>
      </c>
      <c r="J73" s="133">
        <v>0.0</v>
      </c>
      <c r="K73" s="366">
        <f>vlookup($D73,Python!$D$2:$F$1000,3,FALSE)</f>
        <v>77.4</v>
      </c>
      <c r="L73" s="133">
        <v>0.0</v>
      </c>
      <c r="N73" s="133" t="s">
        <v>585</v>
      </c>
      <c r="P73" s="133" t="s">
        <v>585</v>
      </c>
      <c r="R73" s="133" t="s">
        <v>585</v>
      </c>
      <c r="T73" s="133" t="s">
        <v>585</v>
      </c>
    </row>
    <row r="74">
      <c r="A74" s="167">
        <v>72.0</v>
      </c>
      <c r="B74" s="314" t="s">
        <v>487</v>
      </c>
      <c r="C74" s="371" t="s">
        <v>422</v>
      </c>
      <c r="D74" s="311" t="s">
        <v>694</v>
      </c>
      <c r="E74" s="367">
        <v>44401.0</v>
      </c>
      <c r="F74" s="368" t="s">
        <v>647</v>
      </c>
      <c r="G74" s="122" t="s">
        <v>489</v>
      </c>
      <c r="H74" s="122">
        <v>1.0</v>
      </c>
      <c r="I74" s="167">
        <v>6.0</v>
      </c>
      <c r="J74" s="133">
        <v>0.0</v>
      </c>
      <c r="K74" s="366">
        <f>vlookup($D74,Python!$D$2:$F$1000,3,FALSE)</f>
        <v>12.4</v>
      </c>
      <c r="L74" s="133">
        <v>0.0</v>
      </c>
      <c r="N74" s="133" t="s">
        <v>585</v>
      </c>
      <c r="P74" s="133" t="s">
        <v>585</v>
      </c>
      <c r="R74" s="133" t="s">
        <v>585</v>
      </c>
      <c r="T74" s="133" t="s">
        <v>585</v>
      </c>
    </row>
    <row r="75">
      <c r="A75" s="167">
        <v>73.0</v>
      </c>
      <c r="B75" s="314" t="s">
        <v>487</v>
      </c>
      <c r="C75" s="371" t="s">
        <v>422</v>
      </c>
      <c r="D75" s="311" t="s">
        <v>695</v>
      </c>
      <c r="E75" s="367">
        <v>44402.0</v>
      </c>
      <c r="F75" s="368" t="s">
        <v>647</v>
      </c>
      <c r="G75" s="122" t="s">
        <v>489</v>
      </c>
      <c r="H75" s="122">
        <v>1.0</v>
      </c>
      <c r="I75" s="167">
        <v>82.0</v>
      </c>
      <c r="J75" s="133">
        <v>0.0</v>
      </c>
      <c r="K75" s="366">
        <f>vlookup($D75,Python!$D$2:$F$1000,3,FALSE)</f>
        <v>117.9</v>
      </c>
      <c r="L75" s="133">
        <v>500000.0</v>
      </c>
      <c r="N75" s="133" t="s">
        <v>585</v>
      </c>
      <c r="P75" s="133" t="s">
        <v>585</v>
      </c>
      <c r="R75" s="133" t="s">
        <v>585</v>
      </c>
      <c r="T75" s="133" t="s">
        <v>585</v>
      </c>
    </row>
    <row r="76">
      <c r="A76" s="119">
        <v>74.0</v>
      </c>
      <c r="B76" s="314" t="s">
        <v>490</v>
      </c>
      <c r="C76" s="167" t="s">
        <v>422</v>
      </c>
      <c r="D76" s="311" t="s">
        <v>696</v>
      </c>
      <c r="E76" s="367">
        <v>44399.0</v>
      </c>
      <c r="F76" s="368" t="s">
        <v>642</v>
      </c>
      <c r="G76" s="122" t="s">
        <v>92</v>
      </c>
      <c r="H76" s="122">
        <v>1.0</v>
      </c>
      <c r="I76" s="167">
        <v>107.0</v>
      </c>
      <c r="J76" s="133">
        <v>500000.0</v>
      </c>
      <c r="K76" s="366">
        <f>vlookup($D76,Python!$D$2:$F$1000,3,FALSE)</f>
        <v>710.7</v>
      </c>
      <c r="L76" s="133">
        <v>3000000.0</v>
      </c>
      <c r="N76" s="133" t="s">
        <v>585</v>
      </c>
      <c r="P76" s="133" t="s">
        <v>585</v>
      </c>
      <c r="R76" s="133" t="s">
        <v>585</v>
      </c>
      <c r="T76" s="133" t="s">
        <v>585</v>
      </c>
    </row>
    <row r="77">
      <c r="A77" s="167">
        <v>75.0</v>
      </c>
      <c r="B77" s="314" t="s">
        <v>490</v>
      </c>
      <c r="C77" s="167" t="s">
        <v>422</v>
      </c>
      <c r="D77" s="311" t="s">
        <v>1189</v>
      </c>
      <c r="E77" s="367">
        <v>44403.0</v>
      </c>
      <c r="F77" s="368" t="s">
        <v>647</v>
      </c>
      <c r="G77" s="122" t="s">
        <v>92</v>
      </c>
      <c r="H77" s="122">
        <v>1.0</v>
      </c>
      <c r="I77" s="167">
        <v>426.0</v>
      </c>
      <c r="J77" s="133">
        <v>2000000.0</v>
      </c>
      <c r="K77" s="366">
        <f>vlookup($D77,Python!$D$2:$F$1000,3,FALSE)</f>
        <v>1700</v>
      </c>
      <c r="L77" s="133">
        <v>6500000.0</v>
      </c>
      <c r="N77" s="133" t="s">
        <v>585</v>
      </c>
      <c r="P77" s="133" t="s">
        <v>585</v>
      </c>
      <c r="R77" s="133" t="s">
        <v>585</v>
      </c>
      <c r="T77" s="133" t="s">
        <v>585</v>
      </c>
    </row>
    <row r="78">
      <c r="A78" s="167">
        <v>76.0</v>
      </c>
      <c r="B78" s="314" t="s">
        <v>490</v>
      </c>
      <c r="C78" s="167" t="s">
        <v>422</v>
      </c>
      <c r="D78" s="311" t="s">
        <v>1190</v>
      </c>
      <c r="E78" s="367">
        <v>44404.0</v>
      </c>
      <c r="F78" s="368" t="s">
        <v>642</v>
      </c>
      <c r="G78" s="122" t="s">
        <v>92</v>
      </c>
      <c r="H78" s="122">
        <v>1.0</v>
      </c>
      <c r="I78" s="167">
        <v>72.0</v>
      </c>
      <c r="J78" s="133">
        <v>0.0</v>
      </c>
      <c r="K78" s="366">
        <f>vlookup($D78,Python!$D$2:$F$1000,3,FALSE)</f>
        <v>909.8</v>
      </c>
      <c r="L78" s="133">
        <v>4500000.0</v>
      </c>
      <c r="N78" s="133" t="s">
        <v>585</v>
      </c>
      <c r="P78" s="133" t="s">
        <v>585</v>
      </c>
      <c r="R78" s="133" t="s">
        <v>585</v>
      </c>
      <c r="T78" s="133" t="s">
        <v>585</v>
      </c>
    </row>
    <row r="79">
      <c r="A79" s="378">
        <v>77.0</v>
      </c>
      <c r="B79" s="379" t="s">
        <v>490</v>
      </c>
      <c r="C79" s="380" t="s">
        <v>510</v>
      </c>
      <c r="D79" s="381" t="s">
        <v>697</v>
      </c>
      <c r="E79" s="382">
        <v>44399.0</v>
      </c>
      <c r="F79" s="383" t="s">
        <v>642</v>
      </c>
      <c r="G79" s="123" t="s">
        <v>92</v>
      </c>
      <c r="H79" s="123">
        <v>1.0</v>
      </c>
      <c r="I79" s="380">
        <v>109.0</v>
      </c>
      <c r="J79" s="384">
        <v>2000000.0</v>
      </c>
      <c r="K79" s="366">
        <f>vlookup($D79,Python!$D$2:$F$1000,3,FALSE)</f>
        <v>405.31</v>
      </c>
      <c r="L79" s="384">
        <v>6000000.0</v>
      </c>
      <c r="N79" s="384" t="s">
        <v>585</v>
      </c>
      <c r="O79" s="123"/>
      <c r="P79" s="384" t="s">
        <v>585</v>
      </c>
      <c r="Q79" s="123"/>
      <c r="R79" s="384" t="s">
        <v>585</v>
      </c>
      <c r="S79" s="123"/>
      <c r="T79" s="384" t="s">
        <v>585</v>
      </c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</row>
    <row r="80">
      <c r="A80" s="378">
        <v>78.0</v>
      </c>
      <c r="B80" s="379" t="s">
        <v>490</v>
      </c>
      <c r="C80" s="380" t="s">
        <v>510</v>
      </c>
      <c r="D80" s="381" t="s">
        <v>1191</v>
      </c>
      <c r="E80" s="382">
        <v>44403.0</v>
      </c>
      <c r="F80" s="383" t="s">
        <v>647</v>
      </c>
      <c r="G80" s="123" t="s">
        <v>92</v>
      </c>
      <c r="H80" s="123">
        <v>1.0</v>
      </c>
      <c r="I80" s="380">
        <v>362.0</v>
      </c>
      <c r="J80" s="384">
        <v>7000000.0</v>
      </c>
      <c r="K80" s="366">
        <f>vlookup($D80,Python!$D$2:$F$1000,3,FALSE)</f>
        <v>1492.215</v>
      </c>
      <c r="L80" s="384">
        <v>2.2E7</v>
      </c>
      <c r="N80" s="384" t="s">
        <v>585</v>
      </c>
      <c r="O80" s="123"/>
      <c r="P80" s="384" t="s">
        <v>585</v>
      </c>
      <c r="Q80" s="123"/>
      <c r="R80" s="384" t="s">
        <v>585</v>
      </c>
      <c r="S80" s="123"/>
      <c r="T80" s="384" t="s">
        <v>585</v>
      </c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</row>
    <row r="81">
      <c r="A81" s="380">
        <v>79.0</v>
      </c>
      <c r="B81" s="379" t="s">
        <v>490</v>
      </c>
      <c r="C81" s="380" t="s">
        <v>510</v>
      </c>
      <c r="D81" s="381" t="s">
        <v>1192</v>
      </c>
      <c r="E81" s="382">
        <v>44404.0</v>
      </c>
      <c r="F81" s="383" t="s">
        <v>642</v>
      </c>
      <c r="G81" s="123" t="s">
        <v>92</v>
      </c>
      <c r="H81" s="123">
        <v>1.0</v>
      </c>
      <c r="I81" s="380">
        <v>56.0</v>
      </c>
      <c r="J81" s="384">
        <v>1000000.0</v>
      </c>
      <c r="K81" s="366">
        <f>vlookup($D81,Python!$D$2:$F$1000,3,FALSE)</f>
        <v>568.08</v>
      </c>
      <c r="L81" s="384">
        <v>1.0E7</v>
      </c>
      <c r="N81" s="384" t="s">
        <v>585</v>
      </c>
      <c r="O81" s="123"/>
      <c r="P81" s="384" t="s">
        <v>585</v>
      </c>
      <c r="Q81" s="123"/>
      <c r="R81" s="384" t="s">
        <v>585</v>
      </c>
      <c r="S81" s="123"/>
      <c r="T81" s="384" t="s">
        <v>585</v>
      </c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</row>
    <row r="82">
      <c r="A82" s="167">
        <v>80.0</v>
      </c>
      <c r="B82" s="314" t="s">
        <v>492</v>
      </c>
      <c r="C82" s="167" t="s">
        <v>422</v>
      </c>
      <c r="D82" s="311" t="s">
        <v>698</v>
      </c>
      <c r="E82" s="367">
        <v>44397.0</v>
      </c>
      <c r="F82" s="368" t="s">
        <v>647</v>
      </c>
      <c r="G82" s="122" t="s">
        <v>92</v>
      </c>
      <c r="H82" s="122">
        <v>1.0</v>
      </c>
      <c r="I82" s="167">
        <v>1900.0</v>
      </c>
      <c r="J82" s="133">
        <v>9500000.0</v>
      </c>
      <c r="K82" s="366">
        <f>vlookup($D82,Python!$D$2:$F$1000,3,FALSE)</f>
        <v>2400</v>
      </c>
      <c r="L82" s="133">
        <v>2500000.0</v>
      </c>
      <c r="N82" s="133" t="s">
        <v>585</v>
      </c>
      <c r="P82" s="133" t="s">
        <v>585</v>
      </c>
      <c r="R82" s="133" t="s">
        <v>585</v>
      </c>
      <c r="T82" s="133" t="s">
        <v>585</v>
      </c>
    </row>
    <row r="83">
      <c r="A83" s="119">
        <v>81.0</v>
      </c>
      <c r="B83" s="314" t="s">
        <v>492</v>
      </c>
      <c r="C83" s="167" t="s">
        <v>422</v>
      </c>
      <c r="D83" s="311" t="s">
        <v>699</v>
      </c>
      <c r="E83" s="367">
        <v>44399.0</v>
      </c>
      <c r="F83" s="368" t="s">
        <v>647</v>
      </c>
      <c r="G83" s="122" t="s">
        <v>92</v>
      </c>
      <c r="H83" s="122">
        <v>1.0</v>
      </c>
      <c r="I83" s="167">
        <v>1500.0</v>
      </c>
      <c r="J83" s="133">
        <v>7500000.0</v>
      </c>
      <c r="K83" s="366">
        <f>vlookup($D83,Python!$D$2:$F$1000,3,FALSE)</f>
        <v>2200</v>
      </c>
      <c r="L83" s="133">
        <v>3500000.0</v>
      </c>
      <c r="N83" s="133" t="s">
        <v>585</v>
      </c>
      <c r="P83" s="133" t="s">
        <v>585</v>
      </c>
      <c r="R83" s="133" t="s">
        <v>585</v>
      </c>
      <c r="T83" s="133" t="s">
        <v>585</v>
      </c>
    </row>
    <row r="84">
      <c r="A84" s="167">
        <v>82.0</v>
      </c>
      <c r="B84" s="314" t="s">
        <v>494</v>
      </c>
      <c r="C84" s="167" t="s">
        <v>422</v>
      </c>
      <c r="D84" s="311" t="s">
        <v>700</v>
      </c>
      <c r="E84" s="367">
        <v>44397.0</v>
      </c>
      <c r="F84" s="368" t="s">
        <v>647</v>
      </c>
      <c r="G84" s="122" t="s">
        <v>92</v>
      </c>
      <c r="H84" s="122">
        <v>1.0</v>
      </c>
      <c r="I84" s="167">
        <v>93.0</v>
      </c>
      <c r="J84" s="133">
        <v>0.0</v>
      </c>
      <c r="K84" s="366">
        <f>vlookup($D84,Python!$D$2:$F$1000,3,FALSE)</f>
        <v>107.1</v>
      </c>
      <c r="L84" s="133">
        <v>500000.0</v>
      </c>
      <c r="N84" s="133" t="s">
        <v>585</v>
      </c>
      <c r="P84" s="133" t="s">
        <v>585</v>
      </c>
      <c r="R84" s="133" t="s">
        <v>585</v>
      </c>
      <c r="T84" s="133" t="s">
        <v>585</v>
      </c>
    </row>
    <row r="85">
      <c r="A85" s="371">
        <v>83.0</v>
      </c>
      <c r="B85" s="371" t="s">
        <v>496</v>
      </c>
      <c r="C85" s="167" t="s">
        <v>418</v>
      </c>
      <c r="D85" s="310" t="s">
        <v>701</v>
      </c>
      <c r="E85" s="385">
        <v>44393.0</v>
      </c>
      <c r="F85" s="386" t="s">
        <v>641</v>
      </c>
      <c r="G85" s="122" t="s">
        <v>194</v>
      </c>
      <c r="H85" s="122">
        <v>1.0</v>
      </c>
      <c r="I85" s="167">
        <v>2.6</v>
      </c>
      <c r="J85" s="133">
        <v>0.0</v>
      </c>
      <c r="K85" s="366">
        <f>vlookup($D85,Python!$D$2:$F$1000,3,FALSE)</f>
        <v>2.6</v>
      </c>
      <c r="L85" s="133">
        <v>0.0</v>
      </c>
      <c r="N85" s="133" t="s">
        <v>585</v>
      </c>
      <c r="P85" s="133" t="s">
        <v>585</v>
      </c>
      <c r="R85" s="133" t="s">
        <v>585</v>
      </c>
      <c r="T85" s="133" t="s">
        <v>585</v>
      </c>
    </row>
    <row r="86">
      <c r="A86" s="119">
        <v>84.0</v>
      </c>
      <c r="B86" s="167" t="s">
        <v>497</v>
      </c>
      <c r="C86" s="167" t="s">
        <v>418</v>
      </c>
      <c r="D86" s="310" t="s">
        <v>702</v>
      </c>
      <c r="E86" s="385">
        <v>44398.0</v>
      </c>
      <c r="F86" s="386" t="s">
        <v>641</v>
      </c>
      <c r="G86" s="122" t="s">
        <v>194</v>
      </c>
      <c r="H86" s="122">
        <v>1.0</v>
      </c>
      <c r="I86" s="167">
        <v>2.1</v>
      </c>
      <c r="J86" s="133">
        <v>0.0</v>
      </c>
      <c r="K86" s="366">
        <f>vlookup($D86,Python!$D$2:$F$1000,3,FALSE)</f>
        <v>33</v>
      </c>
      <c r="L86" s="133">
        <v>0.0</v>
      </c>
      <c r="N86" s="133" t="s">
        <v>585</v>
      </c>
      <c r="P86" s="133" t="s">
        <v>585</v>
      </c>
      <c r="R86" s="133" t="s">
        <v>585</v>
      </c>
      <c r="T86" s="133" t="s">
        <v>585</v>
      </c>
    </row>
    <row r="87">
      <c r="A87" s="119">
        <v>85.0</v>
      </c>
      <c r="B87" s="167" t="s">
        <v>499</v>
      </c>
      <c r="C87" s="167" t="s">
        <v>418</v>
      </c>
      <c r="D87" s="310" t="s">
        <v>703</v>
      </c>
      <c r="E87" s="385">
        <v>44396.0</v>
      </c>
      <c r="F87" s="386" t="s">
        <v>641</v>
      </c>
      <c r="G87" s="122" t="s">
        <v>194</v>
      </c>
      <c r="H87" s="122">
        <v>1.0</v>
      </c>
      <c r="I87" s="167">
        <v>28.0</v>
      </c>
      <c r="J87" s="133">
        <v>0.0</v>
      </c>
      <c r="K87" s="366" t="str">
        <f>vlookup($D87,Python!$D$2:$F$1000,3,FALSE)</f>
        <v/>
      </c>
      <c r="L87" s="133" t="s">
        <v>585</v>
      </c>
      <c r="N87" s="133" t="s">
        <v>585</v>
      </c>
      <c r="P87" s="133" t="s">
        <v>585</v>
      </c>
      <c r="R87" s="133" t="s">
        <v>585</v>
      </c>
      <c r="T87" s="133" t="s">
        <v>585</v>
      </c>
    </row>
    <row r="88">
      <c r="A88" s="167">
        <v>86.0</v>
      </c>
      <c r="B88" s="167" t="s">
        <v>499</v>
      </c>
      <c r="C88" s="167" t="s">
        <v>422</v>
      </c>
      <c r="D88" s="310" t="s">
        <v>704</v>
      </c>
      <c r="E88" s="385">
        <v>44396.0</v>
      </c>
      <c r="F88" s="386" t="s">
        <v>641</v>
      </c>
      <c r="G88" s="122" t="s">
        <v>194</v>
      </c>
      <c r="H88" s="122">
        <v>1.0</v>
      </c>
      <c r="I88" s="167">
        <v>106.5</v>
      </c>
      <c r="J88" s="133">
        <v>500000.0</v>
      </c>
      <c r="K88" s="366">
        <f>vlookup($D88,Python!$D$2:$F$1000,3,FALSE)</f>
        <v>1500</v>
      </c>
      <c r="L88" s="133">
        <v>7000000.0</v>
      </c>
      <c r="N88" s="133" t="s">
        <v>585</v>
      </c>
      <c r="P88" s="133" t="s">
        <v>585</v>
      </c>
      <c r="R88" s="133" t="s">
        <v>585</v>
      </c>
      <c r="T88" s="133" t="s">
        <v>585</v>
      </c>
    </row>
    <row r="89">
      <c r="A89" s="167">
        <v>87.0</v>
      </c>
      <c r="B89" s="167" t="s">
        <v>501</v>
      </c>
      <c r="C89" s="167" t="s">
        <v>418</v>
      </c>
      <c r="D89" s="310" t="s">
        <v>705</v>
      </c>
      <c r="E89" s="385">
        <v>44402.0</v>
      </c>
      <c r="F89" s="386" t="s">
        <v>641</v>
      </c>
      <c r="G89" s="122" t="s">
        <v>194</v>
      </c>
      <c r="H89" s="122">
        <v>1.0</v>
      </c>
      <c r="I89" s="167">
        <v>3.2</v>
      </c>
      <c r="J89" s="133">
        <v>0.0</v>
      </c>
      <c r="K89" s="366" t="str">
        <f>vlookup($D89,Python!$D$2:$F$1000,3,FALSE)</f>
        <v/>
      </c>
      <c r="L89" s="133" t="s">
        <v>585</v>
      </c>
      <c r="N89" s="133" t="s">
        <v>585</v>
      </c>
      <c r="P89" s="133" t="s">
        <v>585</v>
      </c>
      <c r="R89" s="133" t="s">
        <v>585</v>
      </c>
      <c r="T89" s="133" t="s">
        <v>585</v>
      </c>
    </row>
    <row r="90">
      <c r="A90" s="119">
        <v>88.0</v>
      </c>
      <c r="B90" s="167" t="s">
        <v>502</v>
      </c>
      <c r="C90" s="167" t="s">
        <v>418</v>
      </c>
      <c r="D90" s="310" t="s">
        <v>706</v>
      </c>
      <c r="E90" s="385">
        <v>44396.0</v>
      </c>
      <c r="F90" s="386" t="s">
        <v>641</v>
      </c>
      <c r="G90" s="122" t="s">
        <v>194</v>
      </c>
      <c r="H90" s="122">
        <v>1.0</v>
      </c>
      <c r="I90" s="167">
        <v>4.6</v>
      </c>
      <c r="J90" s="133">
        <v>0.0</v>
      </c>
      <c r="K90" s="366">
        <f>vlookup($D90,Python!$D$2:$F$1000,3,FALSE)</f>
        <v>50</v>
      </c>
      <c r="L90" s="133">
        <v>1000000.0</v>
      </c>
      <c r="N90" s="133" t="s">
        <v>585</v>
      </c>
      <c r="P90" s="133" t="s">
        <v>585</v>
      </c>
      <c r="R90" s="133" t="s">
        <v>585</v>
      </c>
      <c r="T90" s="133" t="s">
        <v>585</v>
      </c>
    </row>
    <row r="91">
      <c r="A91" s="167">
        <v>89.0</v>
      </c>
      <c r="B91" s="167" t="s">
        <v>503</v>
      </c>
      <c r="C91" s="167" t="s">
        <v>422</v>
      </c>
      <c r="D91" s="311" t="s">
        <v>707</v>
      </c>
      <c r="E91" s="367">
        <v>44397.0</v>
      </c>
      <c r="F91" s="368" t="s">
        <v>641</v>
      </c>
      <c r="G91" s="122" t="s">
        <v>194</v>
      </c>
      <c r="H91" s="122">
        <v>1.0</v>
      </c>
      <c r="I91" s="167">
        <v>0.1225</v>
      </c>
      <c r="J91" s="133">
        <v>0.0</v>
      </c>
      <c r="K91" s="366">
        <f>vlookup($D91,Python!$D$2:$F$1000,3,FALSE)</f>
        <v>2.287</v>
      </c>
      <c r="L91" s="133">
        <v>0.0</v>
      </c>
      <c r="N91" s="133" t="s">
        <v>585</v>
      </c>
      <c r="P91" s="133" t="s">
        <v>585</v>
      </c>
      <c r="R91" s="133" t="s">
        <v>585</v>
      </c>
      <c r="T91" s="133" t="s">
        <v>585</v>
      </c>
    </row>
    <row r="92">
      <c r="A92" s="167">
        <v>90.0</v>
      </c>
      <c r="B92" s="167" t="s">
        <v>504</v>
      </c>
      <c r="C92" s="167" t="s">
        <v>418</v>
      </c>
      <c r="D92" s="310" t="s">
        <v>708</v>
      </c>
      <c r="E92" s="385">
        <v>44390.0</v>
      </c>
      <c r="F92" s="386" t="s">
        <v>641</v>
      </c>
      <c r="G92" s="122" t="s">
        <v>194</v>
      </c>
      <c r="H92" s="122">
        <v>1.0</v>
      </c>
      <c r="I92" s="167">
        <v>6.4</v>
      </c>
      <c r="J92" s="133">
        <v>0.0</v>
      </c>
      <c r="K92" s="366">
        <f>vlookup($D92,Python!$D$2:$F$1000,3,FALSE)</f>
        <v>51</v>
      </c>
      <c r="L92" s="133">
        <v>1000000.0</v>
      </c>
      <c r="N92" s="133" t="s">
        <v>585</v>
      </c>
      <c r="P92" s="133" t="s">
        <v>585</v>
      </c>
      <c r="R92" s="133" t="s">
        <v>585</v>
      </c>
      <c r="T92" s="133" t="s">
        <v>585</v>
      </c>
    </row>
    <row r="93">
      <c r="A93" s="119">
        <v>91.0</v>
      </c>
      <c r="B93" s="167" t="s">
        <v>505</v>
      </c>
      <c r="C93" s="167" t="s">
        <v>418</v>
      </c>
      <c r="D93" s="310" t="s">
        <v>709</v>
      </c>
      <c r="E93" s="385">
        <v>44392.0</v>
      </c>
      <c r="F93" s="386" t="s">
        <v>641</v>
      </c>
      <c r="G93" s="122" t="s">
        <v>194</v>
      </c>
      <c r="H93" s="122">
        <v>1.0</v>
      </c>
      <c r="I93" s="167">
        <v>33.0</v>
      </c>
      <c r="J93" s="133">
        <v>0.0</v>
      </c>
      <c r="K93" s="366" t="str">
        <f>vlookup($D93,Python!$D$2:$F$1000,3,FALSE)</f>
        <v/>
      </c>
      <c r="L93" s="133" t="s">
        <v>585</v>
      </c>
      <c r="N93" s="133" t="s">
        <v>585</v>
      </c>
      <c r="P93" s="133" t="s">
        <v>585</v>
      </c>
      <c r="R93" s="133" t="s">
        <v>585</v>
      </c>
      <c r="T93" s="133" t="s">
        <v>585</v>
      </c>
    </row>
    <row r="94">
      <c r="A94" s="119">
        <v>92.0</v>
      </c>
      <c r="B94" s="167" t="s">
        <v>506</v>
      </c>
      <c r="C94" s="167" t="s">
        <v>418</v>
      </c>
      <c r="D94" s="310" t="s">
        <v>710</v>
      </c>
      <c r="E94" s="385">
        <v>44401.0</v>
      </c>
      <c r="F94" s="386" t="s">
        <v>641</v>
      </c>
      <c r="G94" s="122" t="s">
        <v>194</v>
      </c>
      <c r="H94" s="122">
        <v>1.0</v>
      </c>
      <c r="I94" s="167">
        <v>5.8</v>
      </c>
      <c r="J94" s="133">
        <v>0.0</v>
      </c>
      <c r="K94" s="366" t="str">
        <f>vlookup($D94,Python!$D$2:$F$1000,3,FALSE)</f>
        <v/>
      </c>
      <c r="L94" s="133" t="s">
        <v>585</v>
      </c>
      <c r="N94" s="133" t="s">
        <v>585</v>
      </c>
      <c r="P94" s="133" t="s">
        <v>585</v>
      </c>
      <c r="R94" s="133" t="s">
        <v>585</v>
      </c>
      <c r="T94" s="133" t="s">
        <v>585</v>
      </c>
    </row>
    <row r="95">
      <c r="A95" s="167">
        <v>93.0</v>
      </c>
      <c r="B95" s="167" t="s">
        <v>507</v>
      </c>
      <c r="C95" s="167" t="s">
        <v>422</v>
      </c>
      <c r="D95" s="310" t="s">
        <v>711</v>
      </c>
      <c r="E95" s="385">
        <v>44401.0</v>
      </c>
      <c r="F95" s="386" t="s">
        <v>641</v>
      </c>
      <c r="G95" s="122" t="s">
        <v>194</v>
      </c>
      <c r="H95" s="122">
        <v>1.0</v>
      </c>
      <c r="I95" s="167">
        <v>0.1581</v>
      </c>
      <c r="J95" s="133">
        <v>0.0</v>
      </c>
      <c r="K95" s="366">
        <f>vlookup($D95,Python!$D$2:$F$1000,3,FALSE)</f>
        <v>24.5</v>
      </c>
      <c r="L95" s="133">
        <v>0.0</v>
      </c>
      <c r="N95" s="133" t="s">
        <v>585</v>
      </c>
      <c r="P95" s="133" t="s">
        <v>585</v>
      </c>
      <c r="R95" s="133" t="s">
        <v>585</v>
      </c>
      <c r="T95" s="133" t="s">
        <v>585</v>
      </c>
    </row>
    <row r="96">
      <c r="A96" s="167">
        <v>94.0</v>
      </c>
      <c r="B96" s="167" t="s">
        <v>508</v>
      </c>
      <c r="C96" s="167" t="s">
        <v>422</v>
      </c>
      <c r="D96" s="310" t="s">
        <v>712</v>
      </c>
      <c r="E96" s="385">
        <v>44398.0</v>
      </c>
      <c r="F96" s="386" t="s">
        <v>647</v>
      </c>
      <c r="G96" s="122" t="s">
        <v>194</v>
      </c>
      <c r="H96" s="122">
        <v>1.0</v>
      </c>
      <c r="I96" s="167">
        <v>310.5</v>
      </c>
      <c r="J96" s="133">
        <v>1500000.0</v>
      </c>
      <c r="K96" s="366">
        <f>vlookup($D96,Python!$D$2:$F$1000,3,FALSE)</f>
        <v>572.5</v>
      </c>
      <c r="L96" s="133">
        <v>1000000.0</v>
      </c>
      <c r="N96" s="133" t="s">
        <v>585</v>
      </c>
      <c r="P96" s="133" t="s">
        <v>585</v>
      </c>
      <c r="R96" s="133" t="s">
        <v>585</v>
      </c>
      <c r="T96" s="133" t="s">
        <v>585</v>
      </c>
    </row>
    <row r="97">
      <c r="A97" s="119">
        <v>95.0</v>
      </c>
      <c r="B97" s="167" t="s">
        <v>511</v>
      </c>
      <c r="C97" s="167" t="s">
        <v>422</v>
      </c>
      <c r="D97" s="310" t="s">
        <v>713</v>
      </c>
      <c r="E97" s="385">
        <v>44394.0</v>
      </c>
      <c r="F97" s="386" t="s">
        <v>642</v>
      </c>
      <c r="G97" s="122" t="s">
        <v>194</v>
      </c>
      <c r="H97" s="122">
        <v>1.0</v>
      </c>
      <c r="I97" s="167">
        <v>0.8513</v>
      </c>
      <c r="J97" s="133">
        <v>0.0</v>
      </c>
      <c r="K97" s="366">
        <f>vlookup($D97,Python!$D$2:$F$1000,3,FALSE)</f>
        <v>15.9</v>
      </c>
      <c r="L97" s="133">
        <v>0.0</v>
      </c>
      <c r="N97" s="133" t="s">
        <v>585</v>
      </c>
      <c r="P97" s="133" t="s">
        <v>585</v>
      </c>
      <c r="R97" s="133" t="s">
        <v>585</v>
      </c>
      <c r="T97" s="133" t="s">
        <v>585</v>
      </c>
    </row>
    <row r="98">
      <c r="A98" s="167">
        <v>96.0</v>
      </c>
      <c r="B98" s="167" t="s">
        <v>511</v>
      </c>
      <c r="C98" s="167" t="s">
        <v>422</v>
      </c>
      <c r="D98" s="310" t="s">
        <v>714</v>
      </c>
      <c r="E98" s="385">
        <v>44395.0</v>
      </c>
      <c r="F98" s="386" t="s">
        <v>642</v>
      </c>
      <c r="G98" s="122" t="s">
        <v>194</v>
      </c>
      <c r="H98" s="122">
        <v>1.0</v>
      </c>
      <c r="I98" s="167">
        <v>12.3</v>
      </c>
      <c r="J98" s="133">
        <v>0.0</v>
      </c>
      <c r="K98" s="366">
        <f>vlookup($D98,Python!$D$2:$F$1000,3,FALSE)</f>
        <v>34.2</v>
      </c>
      <c r="L98" s="133">
        <v>0.0</v>
      </c>
      <c r="N98" s="133" t="s">
        <v>585</v>
      </c>
      <c r="P98" s="133" t="s">
        <v>585</v>
      </c>
      <c r="R98" s="133" t="s">
        <v>585</v>
      </c>
      <c r="T98" s="133" t="s">
        <v>585</v>
      </c>
    </row>
    <row r="99">
      <c r="A99" s="167">
        <v>97.0</v>
      </c>
      <c r="B99" s="167" t="s">
        <v>511</v>
      </c>
      <c r="C99" s="167" t="s">
        <v>422</v>
      </c>
      <c r="D99" s="310" t="s">
        <v>715</v>
      </c>
      <c r="E99" s="385">
        <v>44397.0</v>
      </c>
      <c r="F99" s="386" t="s">
        <v>647</v>
      </c>
      <c r="G99" s="122" t="s">
        <v>194</v>
      </c>
      <c r="H99" s="122">
        <v>1.0</v>
      </c>
      <c r="I99" s="167">
        <v>46.4</v>
      </c>
      <c r="J99" s="133">
        <v>0.0</v>
      </c>
      <c r="K99" s="366">
        <f>vlookup($D99,Python!$D$2:$F$1000,3,FALSE)</f>
        <v>56.8</v>
      </c>
      <c r="L99" s="133">
        <v>0.0</v>
      </c>
      <c r="N99" s="133" t="s">
        <v>585</v>
      </c>
      <c r="P99" s="133" t="s">
        <v>585</v>
      </c>
      <c r="R99" s="133" t="s">
        <v>585</v>
      </c>
      <c r="T99" s="133" t="s">
        <v>585</v>
      </c>
    </row>
    <row r="100">
      <c r="A100" s="119">
        <v>98.0</v>
      </c>
      <c r="B100" s="167" t="s">
        <v>511</v>
      </c>
      <c r="C100" s="167" t="s">
        <v>422</v>
      </c>
      <c r="D100" s="310" t="s">
        <v>716</v>
      </c>
      <c r="E100" s="385">
        <v>44397.0</v>
      </c>
      <c r="F100" s="386" t="s">
        <v>642</v>
      </c>
      <c r="G100" s="122" t="s">
        <v>194</v>
      </c>
      <c r="H100" s="122">
        <v>1.0</v>
      </c>
      <c r="I100" s="167">
        <v>0.4917</v>
      </c>
      <c r="J100" s="133">
        <v>0.0</v>
      </c>
      <c r="K100" s="366">
        <f>vlookup($D100,Python!$D$2:$F$1000,3,FALSE)</f>
        <v>15.6</v>
      </c>
      <c r="L100" s="133">
        <v>0.0</v>
      </c>
      <c r="N100" s="133" t="s">
        <v>585</v>
      </c>
      <c r="P100" s="133" t="s">
        <v>585</v>
      </c>
      <c r="R100" s="133" t="s">
        <v>585</v>
      </c>
      <c r="T100" s="133" t="s">
        <v>585</v>
      </c>
    </row>
    <row r="101">
      <c r="A101" s="119">
        <v>99.0</v>
      </c>
      <c r="B101" s="167" t="s">
        <v>511</v>
      </c>
      <c r="C101" s="167" t="s">
        <v>422</v>
      </c>
      <c r="D101" s="310" t="s">
        <v>717</v>
      </c>
      <c r="E101" s="385">
        <v>44398.0</v>
      </c>
      <c r="F101" s="386" t="s">
        <v>647</v>
      </c>
      <c r="G101" s="122" t="s">
        <v>194</v>
      </c>
      <c r="H101" s="122">
        <v>1.0</v>
      </c>
      <c r="I101" s="167">
        <v>15.6</v>
      </c>
      <c r="J101" s="133">
        <v>0.0</v>
      </c>
      <c r="K101" s="366">
        <f>vlookup($D101,Python!$D$2:$F$1000,3,FALSE)</f>
        <v>28</v>
      </c>
      <c r="L101" s="133">
        <v>0.0</v>
      </c>
      <c r="N101" s="133" t="s">
        <v>585</v>
      </c>
      <c r="P101" s="133" t="s">
        <v>585</v>
      </c>
      <c r="R101" s="133" t="s">
        <v>585</v>
      </c>
      <c r="T101" s="133" t="s">
        <v>585</v>
      </c>
    </row>
    <row r="102">
      <c r="A102" s="167">
        <v>100.0</v>
      </c>
      <c r="B102" s="167" t="s">
        <v>512</v>
      </c>
      <c r="C102" s="167" t="s">
        <v>418</v>
      </c>
      <c r="D102" s="310" t="s">
        <v>718</v>
      </c>
      <c r="E102" s="385">
        <v>44396.0</v>
      </c>
      <c r="F102" s="386" t="s">
        <v>641</v>
      </c>
      <c r="G102" s="122" t="s">
        <v>194</v>
      </c>
      <c r="H102" s="122">
        <v>1.0</v>
      </c>
      <c r="I102" s="167">
        <v>5.2</v>
      </c>
      <c r="J102" s="133">
        <v>0.0</v>
      </c>
      <c r="K102" s="366">
        <f>vlookup($D102,Python!$D$2:$F$1000,3,FALSE)</f>
        <v>52</v>
      </c>
      <c r="L102" s="133">
        <v>1000000.0</v>
      </c>
      <c r="N102" s="133" t="s">
        <v>585</v>
      </c>
      <c r="P102" s="133" t="s">
        <v>585</v>
      </c>
      <c r="R102" s="133" t="s">
        <v>585</v>
      </c>
      <c r="T102" s="133" t="s">
        <v>585</v>
      </c>
    </row>
    <row r="103">
      <c r="A103" s="167">
        <v>101.0</v>
      </c>
      <c r="B103" s="167" t="s">
        <v>513</v>
      </c>
      <c r="C103" s="167" t="s">
        <v>422</v>
      </c>
      <c r="D103" s="310" t="s">
        <v>719</v>
      </c>
      <c r="E103" s="385">
        <v>44401.0</v>
      </c>
      <c r="F103" s="386" t="s">
        <v>642</v>
      </c>
      <c r="G103" s="122" t="s">
        <v>194</v>
      </c>
      <c r="H103" s="122">
        <v>1.0</v>
      </c>
      <c r="I103" s="167">
        <v>77.4</v>
      </c>
      <c r="J103" s="133">
        <v>0.0</v>
      </c>
      <c r="K103" s="366">
        <f>vlookup($D103,Python!$D$2:$F$1000,3,FALSE)</f>
        <v>128.4</v>
      </c>
      <c r="L103" s="133">
        <v>500000.0</v>
      </c>
      <c r="N103" s="133" t="s">
        <v>585</v>
      </c>
      <c r="P103" s="133" t="s">
        <v>585</v>
      </c>
      <c r="R103" s="133" t="s">
        <v>585</v>
      </c>
      <c r="T103" s="133" t="s">
        <v>585</v>
      </c>
    </row>
    <row r="104">
      <c r="A104" s="119">
        <v>102.0</v>
      </c>
      <c r="B104" s="167" t="s">
        <v>514</v>
      </c>
      <c r="C104" s="167" t="s">
        <v>422</v>
      </c>
      <c r="D104" s="310" t="s">
        <v>720</v>
      </c>
      <c r="E104" s="385">
        <v>44393.0</v>
      </c>
      <c r="F104" s="386" t="s">
        <v>642</v>
      </c>
      <c r="G104" s="122" t="s">
        <v>194</v>
      </c>
      <c r="H104" s="122">
        <v>1.0</v>
      </c>
      <c r="I104" s="167">
        <v>216.3</v>
      </c>
      <c r="J104" s="133">
        <v>1000000.0</v>
      </c>
      <c r="K104" s="366">
        <f>vlookup($D104,Python!$D$2:$F$1000,3,FALSE)</f>
        <v>350.1</v>
      </c>
      <c r="L104" s="133">
        <v>500000.0</v>
      </c>
      <c r="N104" s="133" t="s">
        <v>585</v>
      </c>
      <c r="P104" s="133" t="s">
        <v>585</v>
      </c>
      <c r="R104" s="133" t="s">
        <v>585</v>
      </c>
      <c r="T104" s="133" t="s">
        <v>585</v>
      </c>
    </row>
    <row r="105">
      <c r="A105" s="167">
        <v>103.0</v>
      </c>
      <c r="B105" s="167" t="s">
        <v>514</v>
      </c>
      <c r="C105" s="167" t="s">
        <v>422</v>
      </c>
      <c r="D105" s="310" t="s">
        <v>721</v>
      </c>
      <c r="E105" s="385">
        <v>44395.0</v>
      </c>
      <c r="F105" s="386" t="s">
        <v>642</v>
      </c>
      <c r="G105" s="122" t="s">
        <v>194</v>
      </c>
      <c r="H105" s="122">
        <v>1.0</v>
      </c>
      <c r="I105" s="167">
        <v>507.8</v>
      </c>
      <c r="J105" s="133">
        <v>2500000.0</v>
      </c>
      <c r="K105" s="366">
        <f>vlookup($D105,Python!$D$2:$F$1000,3,FALSE)</f>
        <v>616.7</v>
      </c>
      <c r="L105" s="133">
        <v>500000.0</v>
      </c>
      <c r="N105" s="133" t="s">
        <v>585</v>
      </c>
      <c r="P105" s="133" t="s">
        <v>585</v>
      </c>
      <c r="R105" s="133" t="s">
        <v>585</v>
      </c>
      <c r="T105" s="133" t="s">
        <v>585</v>
      </c>
    </row>
    <row r="106">
      <c r="A106" s="167">
        <v>104.0</v>
      </c>
      <c r="B106" s="167" t="s">
        <v>514</v>
      </c>
      <c r="C106" s="167" t="s">
        <v>422</v>
      </c>
      <c r="D106" s="310" t="s">
        <v>722</v>
      </c>
      <c r="E106" s="385">
        <v>44396.0</v>
      </c>
      <c r="F106" s="386" t="s">
        <v>642</v>
      </c>
      <c r="G106" s="122" t="s">
        <v>194</v>
      </c>
      <c r="H106" s="122">
        <v>1.0</v>
      </c>
      <c r="I106" s="167">
        <v>418.2</v>
      </c>
      <c r="J106" s="133">
        <v>2000000.0</v>
      </c>
      <c r="K106" s="366">
        <f>vlookup($D106,Python!$D$2:$F$1000,3,FALSE)</f>
        <v>536.4</v>
      </c>
      <c r="L106" s="133">
        <v>500000.0</v>
      </c>
      <c r="N106" s="133" t="s">
        <v>585</v>
      </c>
      <c r="P106" s="133" t="s">
        <v>585</v>
      </c>
      <c r="R106" s="133" t="s">
        <v>585</v>
      </c>
      <c r="T106" s="133" t="s">
        <v>585</v>
      </c>
    </row>
    <row r="107">
      <c r="A107" s="119">
        <v>105.0</v>
      </c>
      <c r="B107" s="167" t="s">
        <v>514</v>
      </c>
      <c r="C107" s="167" t="s">
        <v>422</v>
      </c>
      <c r="D107" s="310" t="s">
        <v>723</v>
      </c>
      <c r="E107" s="385">
        <v>44397.0</v>
      </c>
      <c r="F107" s="386" t="s">
        <v>642</v>
      </c>
      <c r="G107" s="122" t="s">
        <v>194</v>
      </c>
      <c r="H107" s="122">
        <v>1.0</v>
      </c>
      <c r="I107" s="167">
        <v>115.6</v>
      </c>
      <c r="J107" s="133">
        <v>500000.0</v>
      </c>
      <c r="K107" s="366">
        <f>vlookup($D107,Python!$D$2:$F$1000,3,FALSE)</f>
        <v>221.7</v>
      </c>
      <c r="L107" s="133">
        <v>500000.0</v>
      </c>
      <c r="N107" s="133" t="s">
        <v>585</v>
      </c>
      <c r="P107" s="133" t="s">
        <v>585</v>
      </c>
      <c r="R107" s="133" t="s">
        <v>585</v>
      </c>
      <c r="T107" s="133" t="s">
        <v>585</v>
      </c>
    </row>
    <row r="108">
      <c r="A108" s="119">
        <v>106.0</v>
      </c>
      <c r="B108" s="167" t="s">
        <v>514</v>
      </c>
      <c r="C108" s="167" t="s">
        <v>422</v>
      </c>
      <c r="D108" s="310" t="s">
        <v>724</v>
      </c>
      <c r="E108" s="387">
        <v>44400.0</v>
      </c>
      <c r="F108" s="388" t="s">
        <v>642</v>
      </c>
      <c r="G108" s="122" t="s">
        <v>194</v>
      </c>
      <c r="H108" s="122">
        <v>1.0</v>
      </c>
      <c r="I108" s="167">
        <v>741.0</v>
      </c>
      <c r="J108" s="133">
        <v>3500000.0</v>
      </c>
      <c r="K108" s="366">
        <f>vlookup($D108,Python!$D$2:$F$1000,3,FALSE)</f>
        <v>1000</v>
      </c>
      <c r="L108" s="133">
        <v>1500000.0</v>
      </c>
      <c r="N108" s="133" t="s">
        <v>585</v>
      </c>
      <c r="P108" s="133" t="s">
        <v>585</v>
      </c>
      <c r="R108" s="133" t="s">
        <v>585</v>
      </c>
      <c r="T108" s="133" t="s">
        <v>585</v>
      </c>
    </row>
    <row r="109">
      <c r="A109" s="167">
        <v>107.0</v>
      </c>
      <c r="B109" s="167" t="s">
        <v>514</v>
      </c>
      <c r="C109" s="167" t="s">
        <v>422</v>
      </c>
      <c r="D109" s="310" t="s">
        <v>725</v>
      </c>
      <c r="E109" s="385">
        <v>44401.0</v>
      </c>
      <c r="F109" s="386" t="s">
        <v>642</v>
      </c>
      <c r="G109" s="122" t="s">
        <v>194</v>
      </c>
      <c r="H109" s="122">
        <v>1.0</v>
      </c>
      <c r="I109" s="167">
        <v>1600.0</v>
      </c>
      <c r="J109" s="133">
        <v>8000000.0</v>
      </c>
      <c r="K109" s="366">
        <f>vlookup($D109,Python!$D$2:$F$1000,3,FALSE)</f>
        <v>2600</v>
      </c>
      <c r="L109" s="133">
        <v>5000000.0</v>
      </c>
      <c r="N109" s="133" t="s">
        <v>585</v>
      </c>
      <c r="P109" s="133" t="s">
        <v>585</v>
      </c>
      <c r="R109" s="133" t="s">
        <v>585</v>
      </c>
      <c r="T109" s="133" t="s">
        <v>585</v>
      </c>
    </row>
    <row r="110">
      <c r="A110" s="167">
        <v>108.0</v>
      </c>
      <c r="B110" s="167" t="s">
        <v>515</v>
      </c>
      <c r="C110" s="167" t="s">
        <v>422</v>
      </c>
      <c r="D110" s="310" t="s">
        <v>726</v>
      </c>
      <c r="E110" s="385">
        <v>44399.0</v>
      </c>
      <c r="F110" s="386" t="s">
        <v>642</v>
      </c>
      <c r="G110" s="122" t="s">
        <v>194</v>
      </c>
      <c r="H110" s="122">
        <v>1.0</v>
      </c>
      <c r="I110" s="167">
        <v>122.8</v>
      </c>
      <c r="J110" s="133">
        <v>500000.0</v>
      </c>
      <c r="K110" s="366">
        <f>vlookup($D110,Python!$D$2:$F$1000,3,FALSE)</f>
        <v>173.6</v>
      </c>
      <c r="L110" s="133">
        <v>0.0</v>
      </c>
      <c r="N110" s="133" t="s">
        <v>585</v>
      </c>
      <c r="P110" s="133" t="s">
        <v>585</v>
      </c>
      <c r="R110" s="133" t="s">
        <v>585</v>
      </c>
      <c r="T110" s="133" t="s">
        <v>585</v>
      </c>
    </row>
    <row r="111">
      <c r="A111" s="119">
        <v>109.0</v>
      </c>
      <c r="B111" s="167" t="s">
        <v>516</v>
      </c>
      <c r="C111" s="167" t="s">
        <v>422</v>
      </c>
      <c r="D111" s="310" t="s">
        <v>727</v>
      </c>
      <c r="E111" s="385">
        <v>44399.0</v>
      </c>
      <c r="F111" s="386" t="s">
        <v>647</v>
      </c>
      <c r="G111" s="122" t="s">
        <v>194</v>
      </c>
      <c r="H111" s="122">
        <v>1.0</v>
      </c>
      <c r="I111" s="167">
        <v>0.818</v>
      </c>
      <c r="J111" s="133">
        <v>0.0</v>
      </c>
      <c r="K111" s="366">
        <f>vlookup($D111,Python!$D$2:$F$1000,3,FALSE)</f>
        <v>15.6</v>
      </c>
      <c r="L111" s="133">
        <v>0.0</v>
      </c>
      <c r="N111" s="133" t="s">
        <v>585</v>
      </c>
      <c r="P111" s="133" t="s">
        <v>585</v>
      </c>
      <c r="R111" s="133" t="s">
        <v>585</v>
      </c>
      <c r="T111" s="133" t="s">
        <v>585</v>
      </c>
    </row>
    <row r="112">
      <c r="A112" s="167">
        <v>110.0</v>
      </c>
      <c r="B112" s="167" t="s">
        <v>517</v>
      </c>
      <c r="C112" s="167" t="s">
        <v>422</v>
      </c>
      <c r="D112" s="310" t="s">
        <v>728</v>
      </c>
      <c r="E112" s="385">
        <v>44395.0</v>
      </c>
      <c r="F112" s="386" t="s">
        <v>642</v>
      </c>
      <c r="G112" s="122" t="s">
        <v>194</v>
      </c>
      <c r="H112" s="122">
        <v>1.0</v>
      </c>
      <c r="I112" s="167">
        <v>22.4</v>
      </c>
      <c r="J112" s="133">
        <v>0.0</v>
      </c>
      <c r="K112" s="366">
        <f>vlookup($D112,Python!$D$2:$F$1000,3,FALSE)</f>
        <v>43.5</v>
      </c>
      <c r="L112" s="133">
        <v>0.0</v>
      </c>
      <c r="N112" s="133" t="s">
        <v>585</v>
      </c>
      <c r="P112" s="133" t="s">
        <v>585</v>
      </c>
      <c r="R112" s="133" t="s">
        <v>585</v>
      </c>
      <c r="T112" s="133" t="s">
        <v>585</v>
      </c>
    </row>
    <row r="113">
      <c r="A113" s="167">
        <v>111.0</v>
      </c>
      <c r="B113" s="167" t="s">
        <v>517</v>
      </c>
      <c r="C113" s="167" t="s">
        <v>422</v>
      </c>
      <c r="D113" s="310" t="s">
        <v>729</v>
      </c>
      <c r="E113" s="385">
        <v>44396.0</v>
      </c>
      <c r="F113" s="386" t="s">
        <v>642</v>
      </c>
      <c r="G113" s="122" t="s">
        <v>194</v>
      </c>
      <c r="H113" s="122">
        <v>1.0</v>
      </c>
      <c r="I113" s="167">
        <v>203.9</v>
      </c>
      <c r="J113" s="133">
        <v>1000000.0</v>
      </c>
      <c r="K113" s="366">
        <f>vlookup($D113,Python!$D$2:$F$1000,3,FALSE)</f>
        <v>264.1</v>
      </c>
      <c r="L113" s="133">
        <v>0.0</v>
      </c>
      <c r="N113" s="133" t="s">
        <v>585</v>
      </c>
      <c r="P113" s="133" t="s">
        <v>585</v>
      </c>
      <c r="R113" s="133" t="s">
        <v>585</v>
      </c>
      <c r="T113" s="133" t="s">
        <v>585</v>
      </c>
    </row>
    <row r="114">
      <c r="A114" s="119">
        <v>112.0</v>
      </c>
      <c r="B114" s="167" t="s">
        <v>517</v>
      </c>
      <c r="C114" s="167" t="s">
        <v>422</v>
      </c>
      <c r="D114" s="310" t="s">
        <v>730</v>
      </c>
      <c r="E114" s="385">
        <v>44397.0</v>
      </c>
      <c r="F114" s="386" t="s">
        <v>642</v>
      </c>
      <c r="G114" s="122" t="s">
        <v>194</v>
      </c>
      <c r="H114" s="122">
        <v>1.0</v>
      </c>
      <c r="I114" s="167">
        <v>27.4</v>
      </c>
      <c r="J114" s="133">
        <v>0.0</v>
      </c>
      <c r="K114" s="366">
        <f>vlookup($D114,Python!$D$2:$F$1000,3,FALSE)</f>
        <v>60.7</v>
      </c>
      <c r="L114" s="133">
        <v>0.0</v>
      </c>
      <c r="N114" s="133" t="s">
        <v>585</v>
      </c>
      <c r="P114" s="133" t="s">
        <v>585</v>
      </c>
      <c r="R114" s="133" t="s">
        <v>585</v>
      </c>
      <c r="T114" s="133" t="s">
        <v>585</v>
      </c>
    </row>
    <row r="115">
      <c r="A115" s="119">
        <v>113.0</v>
      </c>
      <c r="B115" s="167" t="s">
        <v>517</v>
      </c>
      <c r="C115" s="167" t="s">
        <v>422</v>
      </c>
      <c r="D115" s="310" t="s">
        <v>731</v>
      </c>
      <c r="E115" s="385">
        <v>44399.0</v>
      </c>
      <c r="F115" s="386" t="s">
        <v>642</v>
      </c>
      <c r="G115" s="122" t="s">
        <v>194</v>
      </c>
      <c r="H115" s="122">
        <v>1.0</v>
      </c>
      <c r="I115" s="167">
        <v>365.8</v>
      </c>
      <c r="J115" s="133">
        <v>1500000.0</v>
      </c>
      <c r="K115" s="366">
        <f>vlookup($D115,Python!$D$2:$F$1000,3,FALSE)</f>
        <v>452.8</v>
      </c>
      <c r="L115" s="133">
        <v>500000.0</v>
      </c>
      <c r="N115" s="133" t="s">
        <v>585</v>
      </c>
      <c r="P115" s="133" t="s">
        <v>585</v>
      </c>
      <c r="R115" s="133" t="s">
        <v>585</v>
      </c>
      <c r="T115" s="133" t="s">
        <v>585</v>
      </c>
    </row>
    <row r="116">
      <c r="A116" s="167">
        <v>114.0</v>
      </c>
      <c r="B116" s="167" t="s">
        <v>517</v>
      </c>
      <c r="C116" s="167" t="s">
        <v>422</v>
      </c>
      <c r="D116" s="310" t="s">
        <v>732</v>
      </c>
      <c r="E116" s="385">
        <v>44400.0</v>
      </c>
      <c r="F116" s="386" t="s">
        <v>642</v>
      </c>
      <c r="G116" s="122" t="s">
        <v>194</v>
      </c>
      <c r="H116" s="122">
        <v>1.0</v>
      </c>
      <c r="I116" s="167">
        <v>28.5</v>
      </c>
      <c r="J116" s="133">
        <v>0.0</v>
      </c>
      <c r="K116" s="366">
        <f>vlookup($D116,Python!$D$2:$F$1000,3,FALSE)</f>
        <v>77.6</v>
      </c>
      <c r="L116" s="133">
        <v>0.0</v>
      </c>
      <c r="N116" s="133" t="s">
        <v>585</v>
      </c>
      <c r="P116" s="133" t="s">
        <v>585</v>
      </c>
      <c r="R116" s="133" t="s">
        <v>585</v>
      </c>
      <c r="T116" s="133" t="s">
        <v>585</v>
      </c>
    </row>
    <row r="117">
      <c r="A117" s="167">
        <v>115.0</v>
      </c>
      <c r="B117" s="167" t="s">
        <v>517</v>
      </c>
      <c r="C117" s="167" t="s">
        <v>422</v>
      </c>
      <c r="D117" s="310" t="s">
        <v>733</v>
      </c>
      <c r="E117" s="385">
        <v>44401.0</v>
      </c>
      <c r="F117" s="386" t="s">
        <v>642</v>
      </c>
      <c r="G117" s="122" t="s">
        <v>194</v>
      </c>
      <c r="H117" s="122">
        <v>1.0</v>
      </c>
      <c r="I117" s="167">
        <v>306.3</v>
      </c>
      <c r="J117" s="133">
        <v>1500000.0</v>
      </c>
      <c r="K117" s="366">
        <f>vlookup($D117,Python!$D$2:$F$1000,3,FALSE)</f>
        <v>468.8</v>
      </c>
      <c r="L117" s="133">
        <v>500000.0</v>
      </c>
      <c r="N117" s="133" t="s">
        <v>585</v>
      </c>
      <c r="P117" s="133" t="s">
        <v>585</v>
      </c>
      <c r="R117" s="133" t="s">
        <v>585</v>
      </c>
      <c r="T117" s="133" t="s">
        <v>585</v>
      </c>
    </row>
    <row r="118">
      <c r="A118" s="119">
        <v>116.0</v>
      </c>
      <c r="B118" s="167" t="s">
        <v>518</v>
      </c>
      <c r="C118" s="167" t="s">
        <v>422</v>
      </c>
      <c r="D118" s="310" t="s">
        <v>734</v>
      </c>
      <c r="E118" s="385">
        <v>44399.0</v>
      </c>
      <c r="F118" s="386" t="s">
        <v>642</v>
      </c>
      <c r="G118" s="122" t="s">
        <v>194</v>
      </c>
      <c r="H118" s="122">
        <v>1.0</v>
      </c>
      <c r="I118" s="167">
        <v>22.0</v>
      </c>
      <c r="J118" s="133">
        <v>0.0</v>
      </c>
      <c r="K118" s="366">
        <f>vlookup($D118,Python!$D$2:$F$1000,3,FALSE)</f>
        <v>51.6</v>
      </c>
      <c r="L118" s="133">
        <v>0.0</v>
      </c>
      <c r="N118" s="133" t="s">
        <v>585</v>
      </c>
      <c r="P118" s="133" t="s">
        <v>585</v>
      </c>
      <c r="R118" s="133" t="s">
        <v>585</v>
      </c>
      <c r="T118" s="133" t="s">
        <v>585</v>
      </c>
    </row>
    <row r="119">
      <c r="A119" s="167">
        <v>117.0</v>
      </c>
      <c r="B119" s="167" t="s">
        <v>518</v>
      </c>
      <c r="C119" s="167" t="s">
        <v>422</v>
      </c>
      <c r="D119" s="310" t="s">
        <v>735</v>
      </c>
      <c r="E119" s="385">
        <v>44400.0</v>
      </c>
      <c r="F119" s="386" t="s">
        <v>641</v>
      </c>
      <c r="G119" s="122" t="s">
        <v>194</v>
      </c>
      <c r="H119" s="122">
        <v>1.0</v>
      </c>
      <c r="I119" s="167">
        <v>0.6675</v>
      </c>
      <c r="J119" s="133">
        <v>0.0</v>
      </c>
      <c r="K119" s="366">
        <f>vlookup($D119,Python!$D$2:$F$1000,3,FALSE)</f>
        <v>31.9</v>
      </c>
      <c r="L119" s="133">
        <v>0.0</v>
      </c>
      <c r="N119" s="133" t="s">
        <v>585</v>
      </c>
      <c r="P119" s="133" t="s">
        <v>585</v>
      </c>
      <c r="R119" s="133" t="s">
        <v>585</v>
      </c>
      <c r="T119" s="133" t="s">
        <v>585</v>
      </c>
    </row>
    <row r="120">
      <c r="A120" s="167">
        <v>118.0</v>
      </c>
      <c r="B120" s="167" t="s">
        <v>518</v>
      </c>
      <c r="C120" s="167" t="s">
        <v>422</v>
      </c>
      <c r="D120" s="310" t="s">
        <v>736</v>
      </c>
      <c r="E120" s="385">
        <v>44401.0</v>
      </c>
      <c r="F120" s="386" t="s">
        <v>642</v>
      </c>
      <c r="G120" s="122" t="s">
        <v>194</v>
      </c>
      <c r="H120" s="122">
        <v>1.0</v>
      </c>
      <c r="I120" s="167">
        <v>50.9</v>
      </c>
      <c r="J120" s="133">
        <v>0.0</v>
      </c>
      <c r="K120" s="366">
        <f>vlookup($D120,Python!$D$2:$F$1000,3,FALSE)</f>
        <v>133.3</v>
      </c>
      <c r="L120" s="133">
        <v>500000.0</v>
      </c>
      <c r="N120" s="133" t="s">
        <v>585</v>
      </c>
      <c r="P120" s="133" t="s">
        <v>585</v>
      </c>
      <c r="R120" s="133" t="s">
        <v>585</v>
      </c>
      <c r="T120" s="133" t="s">
        <v>585</v>
      </c>
    </row>
    <row r="121">
      <c r="A121" s="119">
        <v>119.0</v>
      </c>
      <c r="B121" s="167" t="s">
        <v>519</v>
      </c>
      <c r="C121" s="167" t="s">
        <v>422</v>
      </c>
      <c r="D121" s="310" t="s">
        <v>737</v>
      </c>
      <c r="E121" s="385">
        <v>44398.0</v>
      </c>
      <c r="F121" s="386" t="s">
        <v>642</v>
      </c>
      <c r="G121" s="122" t="s">
        <v>194</v>
      </c>
      <c r="H121" s="122">
        <v>1.0</v>
      </c>
      <c r="I121" s="167">
        <v>125.7</v>
      </c>
      <c r="J121" s="133">
        <v>500000.0</v>
      </c>
      <c r="K121" s="366">
        <f>vlookup($D121,Python!$D$2:$F$1000,3,FALSE)</f>
        <v>197</v>
      </c>
      <c r="L121" s="133">
        <v>0.0</v>
      </c>
      <c r="N121" s="133" t="s">
        <v>585</v>
      </c>
      <c r="P121" s="133" t="s">
        <v>585</v>
      </c>
      <c r="R121" s="133" t="s">
        <v>585</v>
      </c>
      <c r="T121" s="133" t="s">
        <v>585</v>
      </c>
    </row>
    <row r="122">
      <c r="A122" s="119">
        <v>120.0</v>
      </c>
      <c r="B122" s="167" t="s">
        <v>520</v>
      </c>
      <c r="C122" s="167" t="s">
        <v>422</v>
      </c>
      <c r="D122" s="310" t="s">
        <v>738</v>
      </c>
      <c r="E122" s="385">
        <v>44395.0</v>
      </c>
      <c r="F122" s="386" t="s">
        <v>642</v>
      </c>
      <c r="G122" s="122" t="s">
        <v>194</v>
      </c>
      <c r="H122" s="122">
        <v>1.0</v>
      </c>
      <c r="I122" s="167">
        <v>617.0</v>
      </c>
      <c r="J122" s="133">
        <v>3000000.0</v>
      </c>
      <c r="K122" s="366">
        <f>vlookup($D122,Python!$D$2:$F$1000,3,FALSE)</f>
        <v>697.7</v>
      </c>
      <c r="L122" s="133">
        <v>0.0</v>
      </c>
      <c r="N122" s="133" t="s">
        <v>585</v>
      </c>
      <c r="P122" s="133" t="s">
        <v>585</v>
      </c>
      <c r="R122" s="133" t="s">
        <v>585</v>
      </c>
      <c r="T122" s="133" t="s">
        <v>585</v>
      </c>
    </row>
    <row r="123">
      <c r="A123" s="167">
        <v>121.0</v>
      </c>
      <c r="B123" s="167" t="s">
        <v>520</v>
      </c>
      <c r="C123" s="167" t="s">
        <v>422</v>
      </c>
      <c r="D123" s="310" t="s">
        <v>739</v>
      </c>
      <c r="E123" s="385">
        <v>44396.0</v>
      </c>
      <c r="F123" s="386" t="s">
        <v>642</v>
      </c>
      <c r="G123" s="122" t="s">
        <v>194</v>
      </c>
      <c r="H123" s="122">
        <v>1.0</v>
      </c>
      <c r="I123" s="167">
        <v>1200.0</v>
      </c>
      <c r="J123" s="133">
        <v>6000000.0</v>
      </c>
      <c r="K123" s="366">
        <f>vlookup($D123,Python!$D$2:$F$1000,3,FALSE)</f>
        <v>1300</v>
      </c>
      <c r="L123" s="133">
        <v>500000.0</v>
      </c>
      <c r="N123" s="133" t="s">
        <v>585</v>
      </c>
      <c r="P123" s="133" t="s">
        <v>585</v>
      </c>
      <c r="R123" s="133" t="s">
        <v>585</v>
      </c>
      <c r="T123" s="133" t="s">
        <v>585</v>
      </c>
    </row>
    <row r="124">
      <c r="A124" s="167">
        <v>122.0</v>
      </c>
      <c r="B124" s="167" t="s">
        <v>520</v>
      </c>
      <c r="C124" s="167" t="s">
        <v>422</v>
      </c>
      <c r="D124" s="310" t="s">
        <v>740</v>
      </c>
      <c r="E124" s="385">
        <v>44397.0</v>
      </c>
      <c r="F124" s="386" t="s">
        <v>647</v>
      </c>
      <c r="G124" s="122" t="s">
        <v>194</v>
      </c>
      <c r="H124" s="122">
        <v>1.0</v>
      </c>
      <c r="I124" s="167">
        <v>364.0</v>
      </c>
      <c r="J124" s="133">
        <v>1500000.0</v>
      </c>
      <c r="K124" s="366">
        <f>vlookup($D124,Python!$D$2:$F$1000,3,FALSE)</f>
        <v>441.8</v>
      </c>
      <c r="L124" s="133">
        <v>500000.0</v>
      </c>
      <c r="N124" s="133" t="s">
        <v>585</v>
      </c>
      <c r="P124" s="133" t="s">
        <v>585</v>
      </c>
      <c r="R124" s="133" t="s">
        <v>585</v>
      </c>
      <c r="T124" s="133" t="s">
        <v>585</v>
      </c>
    </row>
    <row r="125">
      <c r="A125" s="119">
        <v>123.0</v>
      </c>
      <c r="B125" s="167" t="s">
        <v>520</v>
      </c>
      <c r="C125" s="167" t="s">
        <v>422</v>
      </c>
      <c r="D125" s="310" t="s">
        <v>741</v>
      </c>
      <c r="E125" s="385">
        <v>44399.0</v>
      </c>
      <c r="F125" s="386" t="s">
        <v>642</v>
      </c>
      <c r="G125" s="122" t="s">
        <v>194</v>
      </c>
      <c r="H125" s="122">
        <v>1.0</v>
      </c>
      <c r="I125" s="167">
        <v>7100.0</v>
      </c>
      <c r="J125" s="133">
        <v>3.55E7</v>
      </c>
      <c r="K125" s="366">
        <f>vlookup($D125,Python!$D$2:$F$1000,3,FALSE)</f>
        <v>8400</v>
      </c>
      <c r="L125" s="133">
        <v>6500000.0</v>
      </c>
      <c r="N125" s="133" t="s">
        <v>585</v>
      </c>
      <c r="P125" s="133" t="s">
        <v>585</v>
      </c>
      <c r="R125" s="133" t="s">
        <v>585</v>
      </c>
      <c r="T125" s="133" t="s">
        <v>585</v>
      </c>
    </row>
    <row r="126">
      <c r="A126" s="167">
        <v>124.0</v>
      </c>
      <c r="B126" s="167" t="s">
        <v>520</v>
      </c>
      <c r="C126" s="167" t="s">
        <v>422</v>
      </c>
      <c r="D126" s="310" t="s">
        <v>742</v>
      </c>
      <c r="E126" s="385">
        <v>44400.0</v>
      </c>
      <c r="F126" s="386" t="s">
        <v>642</v>
      </c>
      <c r="G126" s="122" t="s">
        <v>194</v>
      </c>
      <c r="H126" s="122">
        <v>1.0</v>
      </c>
      <c r="I126" s="167">
        <v>206.0</v>
      </c>
      <c r="J126" s="133">
        <v>1000000.0</v>
      </c>
      <c r="K126" s="366">
        <f>vlookup($D126,Python!$D$2:$F$1000,3,FALSE)</f>
        <v>316.5</v>
      </c>
      <c r="L126" s="133">
        <v>500000.0</v>
      </c>
      <c r="N126" s="133" t="s">
        <v>585</v>
      </c>
      <c r="P126" s="133" t="s">
        <v>585</v>
      </c>
      <c r="R126" s="133" t="s">
        <v>585</v>
      </c>
      <c r="T126" s="133" t="s">
        <v>585</v>
      </c>
    </row>
    <row r="127">
      <c r="A127" s="167">
        <v>125.0</v>
      </c>
      <c r="B127" s="167" t="s">
        <v>520</v>
      </c>
      <c r="C127" s="167" t="s">
        <v>422</v>
      </c>
      <c r="D127" s="310" t="s">
        <v>743</v>
      </c>
      <c r="E127" s="385">
        <v>44401.0</v>
      </c>
      <c r="F127" s="386" t="s">
        <v>642</v>
      </c>
      <c r="G127" s="122" t="s">
        <v>194</v>
      </c>
      <c r="H127" s="122">
        <v>1.0</v>
      </c>
      <c r="I127" s="167">
        <v>699.4</v>
      </c>
      <c r="J127" s="133">
        <v>3000000.0</v>
      </c>
      <c r="K127" s="366">
        <f>vlookup($D127,Python!$D$2:$F$1000,3,FALSE)</f>
        <v>900.7</v>
      </c>
      <c r="L127" s="133">
        <v>1500000.0</v>
      </c>
      <c r="N127" s="133" t="s">
        <v>585</v>
      </c>
      <c r="P127" s="133" t="s">
        <v>585</v>
      </c>
      <c r="R127" s="133" t="s">
        <v>585</v>
      </c>
      <c r="T127" s="133" t="s">
        <v>585</v>
      </c>
    </row>
    <row r="128">
      <c r="A128" s="119">
        <v>126.0</v>
      </c>
      <c r="B128" s="167" t="s">
        <v>522</v>
      </c>
      <c r="C128" s="167" t="s">
        <v>422</v>
      </c>
      <c r="D128" s="310" t="s">
        <v>744</v>
      </c>
      <c r="E128" s="385">
        <v>44395.0</v>
      </c>
      <c r="F128" s="386" t="s">
        <v>642</v>
      </c>
      <c r="G128" s="122" t="s">
        <v>194</v>
      </c>
      <c r="H128" s="122">
        <v>1.0</v>
      </c>
      <c r="I128" s="167">
        <v>1800.0</v>
      </c>
      <c r="J128" s="133">
        <v>9000000.0</v>
      </c>
      <c r="K128" s="366">
        <f>vlookup($D128,Python!$D$2:$F$1000,3,FALSE)</f>
        <v>2400</v>
      </c>
      <c r="L128" s="133">
        <v>3000000.0</v>
      </c>
      <c r="N128" s="133" t="s">
        <v>585</v>
      </c>
      <c r="P128" s="133" t="s">
        <v>585</v>
      </c>
      <c r="R128" s="133" t="s">
        <v>585</v>
      </c>
      <c r="T128" s="133" t="s">
        <v>585</v>
      </c>
    </row>
    <row r="129">
      <c r="A129" s="119">
        <v>127.0</v>
      </c>
      <c r="B129" s="167" t="s">
        <v>522</v>
      </c>
      <c r="C129" s="167" t="s">
        <v>422</v>
      </c>
      <c r="D129" s="310" t="s">
        <v>745</v>
      </c>
      <c r="E129" s="385">
        <v>44397.0</v>
      </c>
      <c r="F129" s="386" t="s">
        <v>642</v>
      </c>
      <c r="G129" s="122" t="s">
        <v>194</v>
      </c>
      <c r="H129" s="122">
        <v>1.0</v>
      </c>
      <c r="I129" s="167">
        <v>2300.0</v>
      </c>
      <c r="J129" s="133">
        <v>1.15E7</v>
      </c>
      <c r="K129" s="366">
        <f>vlookup($D129,Python!$D$2:$F$1000,3,FALSE)</f>
        <v>3000</v>
      </c>
      <c r="L129" s="133">
        <v>3500000.0</v>
      </c>
      <c r="N129" s="133" t="s">
        <v>585</v>
      </c>
      <c r="P129" s="133" t="s">
        <v>585</v>
      </c>
      <c r="R129" s="133" t="s">
        <v>585</v>
      </c>
      <c r="T129" s="133" t="s">
        <v>585</v>
      </c>
    </row>
    <row r="130">
      <c r="A130" s="167">
        <v>128.0</v>
      </c>
      <c r="B130" s="167" t="s">
        <v>522</v>
      </c>
      <c r="C130" s="167" t="s">
        <v>422</v>
      </c>
      <c r="D130" s="310" t="s">
        <v>746</v>
      </c>
      <c r="E130" s="385">
        <v>44399.0</v>
      </c>
      <c r="F130" s="386" t="s">
        <v>642</v>
      </c>
      <c r="G130" s="122" t="s">
        <v>194</v>
      </c>
      <c r="H130" s="122">
        <v>1.0</v>
      </c>
      <c r="I130" s="167">
        <v>5800.0</v>
      </c>
      <c r="J130" s="133">
        <v>2.9E7</v>
      </c>
      <c r="K130" s="366">
        <f>vlookup($D130,Python!$D$2:$F$1000,3,FALSE)</f>
        <v>7800</v>
      </c>
      <c r="L130" s="133">
        <v>1.0E7</v>
      </c>
      <c r="N130" s="133" t="s">
        <v>585</v>
      </c>
      <c r="P130" s="133" t="s">
        <v>585</v>
      </c>
      <c r="R130" s="133" t="s">
        <v>585</v>
      </c>
      <c r="T130" s="133" t="s">
        <v>585</v>
      </c>
    </row>
    <row r="131">
      <c r="A131" s="167">
        <v>129.0</v>
      </c>
      <c r="B131" s="167" t="s">
        <v>521</v>
      </c>
      <c r="C131" s="167" t="s">
        <v>422</v>
      </c>
      <c r="D131" s="310" t="s">
        <v>747</v>
      </c>
      <c r="E131" s="385">
        <v>44401.0</v>
      </c>
      <c r="F131" s="386" t="s">
        <v>642</v>
      </c>
      <c r="G131" s="122" t="s">
        <v>489</v>
      </c>
      <c r="H131" s="122">
        <v>1.0</v>
      </c>
      <c r="I131" s="167">
        <v>64.7</v>
      </c>
      <c r="J131" s="133">
        <v>0.0</v>
      </c>
      <c r="K131" s="366">
        <f>vlookup($D131,Python!$D$2:$F$1000,3,FALSE)</f>
        <v>107.3</v>
      </c>
      <c r="L131" s="133">
        <v>500000.0</v>
      </c>
      <c r="N131" s="133" t="s">
        <v>585</v>
      </c>
      <c r="P131" s="133" t="s">
        <v>585</v>
      </c>
      <c r="R131" s="133" t="s">
        <v>585</v>
      </c>
      <c r="T131" s="133" t="s">
        <v>585</v>
      </c>
    </row>
    <row r="132">
      <c r="A132" s="119">
        <v>130.0</v>
      </c>
      <c r="B132" s="167" t="s">
        <v>523</v>
      </c>
      <c r="C132" s="167" t="s">
        <v>422</v>
      </c>
      <c r="D132" s="310" t="s">
        <v>748</v>
      </c>
      <c r="E132" s="385">
        <v>44400.0</v>
      </c>
      <c r="F132" s="386" t="s">
        <v>642</v>
      </c>
      <c r="G132" s="122" t="s">
        <v>194</v>
      </c>
      <c r="H132" s="122">
        <v>1.0</v>
      </c>
      <c r="I132" s="167">
        <v>41.0</v>
      </c>
      <c r="J132" s="133">
        <v>0.0</v>
      </c>
      <c r="K132" s="366">
        <f>vlookup($D132,Python!$D$2:$F$1000,3,FALSE)</f>
        <v>88.8</v>
      </c>
      <c r="L132" s="133">
        <v>0.0</v>
      </c>
      <c r="N132" s="133" t="s">
        <v>585</v>
      </c>
      <c r="P132" s="133" t="s">
        <v>585</v>
      </c>
      <c r="R132" s="133" t="s">
        <v>585</v>
      </c>
      <c r="T132" s="133" t="s">
        <v>585</v>
      </c>
    </row>
    <row r="133">
      <c r="A133" s="167">
        <v>131.0</v>
      </c>
      <c r="B133" s="167" t="s">
        <v>526</v>
      </c>
      <c r="C133" s="167" t="s">
        <v>418</v>
      </c>
      <c r="D133" s="310" t="s">
        <v>749</v>
      </c>
      <c r="E133" s="385">
        <v>44401.0</v>
      </c>
      <c r="F133" s="386" t="s">
        <v>642</v>
      </c>
      <c r="G133" s="122" t="s">
        <v>194</v>
      </c>
      <c r="H133" s="122">
        <v>1.0</v>
      </c>
      <c r="I133" s="167">
        <v>2.7</v>
      </c>
      <c r="J133" s="133">
        <v>0.0</v>
      </c>
      <c r="K133" s="366" t="str">
        <f>vlookup($D133,Python!$D$2:$F$1000,3,FALSE)</f>
        <v/>
      </c>
      <c r="L133" s="133" t="s">
        <v>585</v>
      </c>
      <c r="N133" s="133" t="s">
        <v>585</v>
      </c>
      <c r="P133" s="133" t="s">
        <v>585</v>
      </c>
      <c r="R133" s="133" t="s">
        <v>585</v>
      </c>
      <c r="T133" s="133" t="s">
        <v>585</v>
      </c>
    </row>
    <row r="134">
      <c r="A134" s="167">
        <v>132.0</v>
      </c>
      <c r="B134" s="167" t="s">
        <v>528</v>
      </c>
      <c r="C134" s="167" t="s">
        <v>418</v>
      </c>
      <c r="D134" s="310" t="s">
        <v>750</v>
      </c>
      <c r="E134" s="385">
        <v>44402.0</v>
      </c>
      <c r="F134" s="386" t="s">
        <v>641</v>
      </c>
      <c r="G134" s="122" t="s">
        <v>194</v>
      </c>
      <c r="H134" s="122">
        <v>1.0</v>
      </c>
      <c r="I134" s="167">
        <v>6.5</v>
      </c>
      <c r="J134" s="133">
        <v>0.0</v>
      </c>
      <c r="K134" s="366" t="str">
        <f>vlookup($D134,Python!$D$2:$F$1000,3,FALSE)</f>
        <v/>
      </c>
      <c r="L134" s="133" t="s">
        <v>585</v>
      </c>
      <c r="N134" s="133" t="s">
        <v>585</v>
      </c>
      <c r="P134" s="133" t="s">
        <v>585</v>
      </c>
      <c r="R134" s="133" t="s">
        <v>585</v>
      </c>
      <c r="T134" s="133" t="s">
        <v>585</v>
      </c>
    </row>
    <row r="135">
      <c r="A135" s="119">
        <v>133.0</v>
      </c>
      <c r="B135" s="167" t="s">
        <v>500</v>
      </c>
      <c r="C135" s="167" t="s">
        <v>422</v>
      </c>
      <c r="D135" s="310" t="s">
        <v>751</v>
      </c>
      <c r="E135" s="385">
        <v>44393.0</v>
      </c>
      <c r="F135" s="386" t="s">
        <v>641</v>
      </c>
      <c r="G135" s="122" t="s">
        <v>194</v>
      </c>
      <c r="H135" s="122">
        <v>1.0</v>
      </c>
      <c r="I135" s="167">
        <v>68.3</v>
      </c>
      <c r="J135" s="133">
        <v>0.0</v>
      </c>
      <c r="K135" s="366">
        <f>vlookup($D135,Python!$D$2:$F$1000,3,FALSE)</f>
        <v>73.8</v>
      </c>
      <c r="L135" s="133">
        <v>0.0</v>
      </c>
      <c r="N135" s="133" t="s">
        <v>585</v>
      </c>
      <c r="P135" s="133" t="s">
        <v>585</v>
      </c>
      <c r="R135" s="133" t="s">
        <v>585</v>
      </c>
      <c r="T135" s="133" t="s">
        <v>585</v>
      </c>
    </row>
    <row r="136">
      <c r="A136" s="119">
        <v>134.0</v>
      </c>
      <c r="B136" s="167" t="s">
        <v>500</v>
      </c>
      <c r="C136" s="167" t="s">
        <v>422</v>
      </c>
      <c r="D136" s="310" t="s">
        <v>752</v>
      </c>
      <c r="E136" s="385">
        <v>44398.0</v>
      </c>
      <c r="F136" s="386" t="s">
        <v>641</v>
      </c>
      <c r="G136" s="122" t="s">
        <v>194</v>
      </c>
      <c r="H136" s="122">
        <v>1.0</v>
      </c>
      <c r="I136" s="167">
        <v>672.3</v>
      </c>
      <c r="J136" s="133">
        <v>3000000.0</v>
      </c>
      <c r="K136" s="366">
        <f>vlookup($D136,Python!$D$2:$F$1000,3,FALSE)</f>
        <v>720.8</v>
      </c>
      <c r="L136" s="133">
        <v>500000.0</v>
      </c>
      <c r="N136" s="133" t="s">
        <v>585</v>
      </c>
      <c r="P136" s="133" t="s">
        <v>585</v>
      </c>
      <c r="R136" s="133" t="s">
        <v>585</v>
      </c>
      <c r="T136" s="133" t="s">
        <v>585</v>
      </c>
    </row>
    <row r="137">
      <c r="A137" s="371">
        <v>135.0</v>
      </c>
      <c r="B137" s="372" t="s">
        <v>15</v>
      </c>
      <c r="C137" s="167" t="s">
        <v>422</v>
      </c>
      <c r="D137" s="311" t="s">
        <v>753</v>
      </c>
      <c r="E137" s="368"/>
      <c r="F137" s="368" t="s">
        <v>642</v>
      </c>
      <c r="G137" s="122" t="s">
        <v>21</v>
      </c>
      <c r="H137" s="122">
        <v>1.0</v>
      </c>
      <c r="I137" s="167">
        <v>125.0</v>
      </c>
      <c r="J137" s="133">
        <v>500000.0</v>
      </c>
      <c r="K137" s="366" t="str">
        <f>vlookup($D137,Python!$D$2:$F$1000,3,FALSE)</f>
        <v/>
      </c>
      <c r="L137" s="133" t="s">
        <v>585</v>
      </c>
      <c r="N137" s="133" t="s">
        <v>585</v>
      </c>
      <c r="P137" s="133" t="s">
        <v>585</v>
      </c>
      <c r="R137" s="133" t="s">
        <v>585</v>
      </c>
      <c r="T137" s="133" t="s">
        <v>585</v>
      </c>
    </row>
    <row r="138">
      <c r="A138" s="167">
        <v>136.0</v>
      </c>
      <c r="B138" s="314" t="s">
        <v>531</v>
      </c>
      <c r="C138" s="167" t="s">
        <v>422</v>
      </c>
      <c r="D138" s="311" t="s">
        <v>754</v>
      </c>
      <c r="E138" s="368"/>
      <c r="F138" s="368" t="s">
        <v>641</v>
      </c>
      <c r="G138" s="122" t="s">
        <v>21</v>
      </c>
      <c r="H138" s="122">
        <v>1.0</v>
      </c>
      <c r="I138" s="167">
        <v>45.8</v>
      </c>
      <c r="J138" s="133">
        <v>0.0</v>
      </c>
      <c r="K138" s="366">
        <f>vlookup($D138,Python!$D$2:$F$1000,3,FALSE)</f>
        <v>63</v>
      </c>
      <c r="L138" s="133">
        <v>0.0</v>
      </c>
      <c r="N138" s="133" t="s">
        <v>585</v>
      </c>
      <c r="P138" s="133" t="s">
        <v>585</v>
      </c>
      <c r="R138" s="133" t="s">
        <v>585</v>
      </c>
      <c r="T138" s="133" t="s">
        <v>585</v>
      </c>
    </row>
    <row r="139">
      <c r="A139" s="119">
        <v>137.0</v>
      </c>
      <c r="B139" s="314" t="s">
        <v>534</v>
      </c>
      <c r="C139" s="167" t="s">
        <v>422</v>
      </c>
      <c r="D139" s="311" t="s">
        <v>755</v>
      </c>
      <c r="E139" s="368"/>
      <c r="F139" s="368" t="s">
        <v>642</v>
      </c>
      <c r="G139" s="122" t="s">
        <v>21</v>
      </c>
      <c r="H139" s="122">
        <v>1.0</v>
      </c>
      <c r="I139" s="167">
        <v>1.5</v>
      </c>
      <c r="J139" s="133">
        <v>0.0</v>
      </c>
      <c r="K139" s="366">
        <f>vlookup($D139,Python!$D$2:$F$1000,3,FALSE)</f>
        <v>2.812</v>
      </c>
      <c r="L139" s="133">
        <v>0.0</v>
      </c>
      <c r="N139" s="133" t="s">
        <v>585</v>
      </c>
      <c r="P139" s="133" t="s">
        <v>585</v>
      </c>
      <c r="R139" s="133" t="s">
        <v>585</v>
      </c>
      <c r="T139" s="133" t="s">
        <v>585</v>
      </c>
    </row>
    <row r="140">
      <c r="A140" s="167">
        <v>138.0</v>
      </c>
      <c r="B140" s="314" t="s">
        <v>534</v>
      </c>
      <c r="C140" s="167" t="s">
        <v>418</v>
      </c>
      <c r="D140" s="311" t="s">
        <v>535</v>
      </c>
      <c r="E140" s="368"/>
      <c r="F140" s="368" t="s">
        <v>641</v>
      </c>
      <c r="G140" s="122" t="s">
        <v>21</v>
      </c>
      <c r="H140" s="122">
        <v>1.0</v>
      </c>
      <c r="I140" s="167">
        <v>52.0</v>
      </c>
      <c r="J140" s="133">
        <v>1000000.0</v>
      </c>
      <c r="K140" s="366" t="str">
        <f>vlookup($D140,Python!$D$2:$F$1000,3,FALSE)</f>
        <v/>
      </c>
      <c r="L140" s="133" t="s">
        <v>585</v>
      </c>
      <c r="N140" s="133" t="s">
        <v>585</v>
      </c>
      <c r="P140" s="133" t="s">
        <v>585</v>
      </c>
      <c r="R140" s="133" t="s">
        <v>585</v>
      </c>
      <c r="T140" s="133" t="s">
        <v>585</v>
      </c>
    </row>
    <row r="141">
      <c r="A141" s="167">
        <v>139.0</v>
      </c>
      <c r="B141" s="314" t="s">
        <v>539</v>
      </c>
      <c r="C141" s="167" t="s">
        <v>418</v>
      </c>
      <c r="D141" s="310" t="s">
        <v>540</v>
      </c>
      <c r="E141" s="386"/>
      <c r="F141" s="386" t="s">
        <v>647</v>
      </c>
      <c r="G141" s="122" t="s">
        <v>21</v>
      </c>
      <c r="H141" s="122">
        <v>1.0</v>
      </c>
      <c r="I141" s="167">
        <v>54.0</v>
      </c>
      <c r="J141" s="133">
        <v>1000000.0</v>
      </c>
      <c r="K141" s="366" t="str">
        <f>vlookup($D141,Python!$D$2:$F$1000,3,FALSE)</f>
        <v/>
      </c>
      <c r="L141" s="133" t="s">
        <v>585</v>
      </c>
      <c r="N141" s="133" t="s">
        <v>585</v>
      </c>
      <c r="P141" s="133" t="s">
        <v>585</v>
      </c>
      <c r="R141" s="133" t="s">
        <v>585</v>
      </c>
      <c r="T141" s="133" t="s">
        <v>585</v>
      </c>
    </row>
    <row r="142">
      <c r="A142" s="119">
        <v>140.0</v>
      </c>
      <c r="B142" s="314" t="s">
        <v>541</v>
      </c>
      <c r="C142" s="167" t="s">
        <v>418</v>
      </c>
      <c r="D142" s="310" t="s">
        <v>542</v>
      </c>
      <c r="E142" s="386"/>
      <c r="F142" s="386" t="s">
        <v>641</v>
      </c>
      <c r="G142" s="122" t="s">
        <v>21</v>
      </c>
      <c r="H142" s="122">
        <v>1.0</v>
      </c>
      <c r="I142" s="167">
        <v>39.0</v>
      </c>
      <c r="J142" s="133">
        <v>0.0</v>
      </c>
      <c r="K142" s="366" t="str">
        <f>vlookup($D142,Python!$D$2:$F$1000,3,FALSE)</f>
        <v/>
      </c>
      <c r="L142" s="133" t="s">
        <v>585</v>
      </c>
      <c r="N142" s="133" t="s">
        <v>585</v>
      </c>
      <c r="P142" s="133" t="s">
        <v>585</v>
      </c>
      <c r="R142" s="133" t="s">
        <v>585</v>
      </c>
      <c r="T142" s="133" t="s">
        <v>585</v>
      </c>
    </row>
    <row r="143">
      <c r="A143" s="119">
        <v>141.0</v>
      </c>
      <c r="B143" s="314" t="s">
        <v>543</v>
      </c>
      <c r="C143" s="167" t="s">
        <v>422</v>
      </c>
      <c r="D143" s="311" t="s">
        <v>756</v>
      </c>
      <c r="E143" s="368"/>
      <c r="F143" s="368" t="s">
        <v>642</v>
      </c>
      <c r="G143" s="122" t="s">
        <v>21</v>
      </c>
      <c r="H143" s="122">
        <v>1.0</v>
      </c>
      <c r="I143" s="167">
        <v>15.8</v>
      </c>
      <c r="J143" s="133">
        <v>0.0</v>
      </c>
      <c r="K143" s="366">
        <f>vlookup($D143,Python!$D$2:$F$1000,3,FALSE)</f>
        <v>15.9</v>
      </c>
      <c r="L143" s="133">
        <v>0.0</v>
      </c>
      <c r="N143" s="133" t="s">
        <v>585</v>
      </c>
      <c r="P143" s="133" t="s">
        <v>585</v>
      </c>
      <c r="R143" s="133" t="s">
        <v>585</v>
      </c>
      <c r="T143" s="133" t="s">
        <v>585</v>
      </c>
    </row>
    <row r="144">
      <c r="A144" s="167">
        <v>142.0</v>
      </c>
      <c r="B144" s="314" t="s">
        <v>546</v>
      </c>
      <c r="C144" s="167" t="s">
        <v>418</v>
      </c>
      <c r="D144" s="310" t="s">
        <v>547</v>
      </c>
      <c r="E144" s="386"/>
      <c r="F144" s="386" t="s">
        <v>647</v>
      </c>
      <c r="G144" s="122" t="s">
        <v>21</v>
      </c>
      <c r="H144" s="122">
        <v>1.0</v>
      </c>
      <c r="I144" s="167">
        <v>0.8</v>
      </c>
      <c r="J144" s="133">
        <v>0.0</v>
      </c>
      <c r="K144" s="366" t="str">
        <f>vlookup($D144,Python!$D$2:$F$1000,3,FALSE)</f>
        <v/>
      </c>
      <c r="L144" s="133" t="s">
        <v>585</v>
      </c>
      <c r="N144" s="133" t="s">
        <v>585</v>
      </c>
      <c r="P144" s="133" t="s">
        <v>585</v>
      </c>
      <c r="R144" s="133" t="s">
        <v>585</v>
      </c>
      <c r="T144" s="133" t="s">
        <v>585</v>
      </c>
    </row>
    <row r="145">
      <c r="A145" s="167">
        <v>143.0</v>
      </c>
      <c r="B145" s="314" t="s">
        <v>546</v>
      </c>
      <c r="C145" s="167" t="s">
        <v>510</v>
      </c>
      <c r="D145" s="310" t="s">
        <v>548</v>
      </c>
      <c r="E145" s="386"/>
      <c r="F145" s="386" t="s">
        <v>647</v>
      </c>
      <c r="G145" s="122" t="s">
        <v>21</v>
      </c>
      <c r="H145" s="122">
        <v>1.0</v>
      </c>
      <c r="I145" s="167">
        <v>1.0</v>
      </c>
      <c r="J145" s="133">
        <v>0.0</v>
      </c>
      <c r="K145" s="366">
        <f>vlookup($D145,Python!$D$2:$F$1000,3,FALSE)</f>
        <v>1.494</v>
      </c>
      <c r="L145" s="133">
        <v>0.0</v>
      </c>
      <c r="N145" s="133" t="s">
        <v>585</v>
      </c>
      <c r="P145" s="133" t="s">
        <v>585</v>
      </c>
      <c r="R145" s="133" t="s">
        <v>585</v>
      </c>
      <c r="T145" s="133" t="s">
        <v>585</v>
      </c>
    </row>
    <row r="146">
      <c r="A146" s="119">
        <v>144.0</v>
      </c>
      <c r="B146" s="314" t="s">
        <v>549</v>
      </c>
      <c r="C146" s="167" t="s">
        <v>422</v>
      </c>
      <c r="D146" s="311" t="s">
        <v>757</v>
      </c>
      <c r="E146" s="368"/>
      <c r="F146" s="368" t="s">
        <v>642</v>
      </c>
      <c r="G146" s="122" t="s">
        <v>21</v>
      </c>
      <c r="H146" s="122">
        <v>1.0</v>
      </c>
      <c r="I146" s="167">
        <v>1600.0</v>
      </c>
      <c r="J146" s="133">
        <v>8000000.0</v>
      </c>
      <c r="K146" s="366">
        <f>vlookup($D146,Python!$D$2:$F$1000,3,FALSE)</f>
        <v>1700</v>
      </c>
      <c r="L146" s="133">
        <v>500000.0</v>
      </c>
      <c r="N146" s="133" t="s">
        <v>585</v>
      </c>
      <c r="P146" s="133" t="s">
        <v>585</v>
      </c>
      <c r="R146" s="133" t="s">
        <v>585</v>
      </c>
      <c r="T146" s="133" t="s">
        <v>585</v>
      </c>
    </row>
    <row r="147">
      <c r="A147" s="167">
        <v>145.0</v>
      </c>
      <c r="B147" s="314" t="s">
        <v>553</v>
      </c>
      <c r="C147" s="167" t="s">
        <v>422</v>
      </c>
      <c r="D147" s="311" t="s">
        <v>758</v>
      </c>
      <c r="E147" s="368"/>
      <c r="F147" s="368" t="s">
        <v>642</v>
      </c>
      <c r="G147" s="122" t="s">
        <v>21</v>
      </c>
      <c r="H147" s="122">
        <v>1.0</v>
      </c>
      <c r="I147" s="167">
        <v>77.0</v>
      </c>
      <c r="J147" s="133">
        <v>0.0</v>
      </c>
      <c r="K147" s="366">
        <f>vlookup($D147,Python!$D$2:$F$1000,3,FALSE)</f>
        <v>124</v>
      </c>
      <c r="L147" s="133">
        <v>500000.0</v>
      </c>
      <c r="N147" s="133" t="s">
        <v>585</v>
      </c>
      <c r="P147" s="122" t="s">
        <v>585</v>
      </c>
      <c r="R147" s="122" t="s">
        <v>585</v>
      </c>
      <c r="T147" s="122" t="s">
        <v>585</v>
      </c>
    </row>
    <row r="148">
      <c r="A148" s="167">
        <v>146.0</v>
      </c>
      <c r="B148" s="314" t="s">
        <v>555</v>
      </c>
      <c r="C148" s="167" t="s">
        <v>418</v>
      </c>
      <c r="D148" s="310" t="s">
        <v>556</v>
      </c>
      <c r="E148" s="386"/>
      <c r="F148" s="386" t="s">
        <v>647</v>
      </c>
      <c r="G148" s="122" t="s">
        <v>21</v>
      </c>
      <c r="H148" s="122">
        <v>1.0</v>
      </c>
      <c r="I148" s="167">
        <v>5.5</v>
      </c>
      <c r="J148" s="133">
        <v>0.0</v>
      </c>
      <c r="K148" s="366" t="str">
        <f>vlookup($D148,Python!$D$2:$F$1000,3,FALSE)</f>
        <v/>
      </c>
      <c r="L148" s="133" t="s">
        <v>585</v>
      </c>
      <c r="N148" s="133" t="s">
        <v>585</v>
      </c>
      <c r="P148" s="122" t="s">
        <v>585</v>
      </c>
      <c r="R148" s="122" t="s">
        <v>585</v>
      </c>
      <c r="T148" s="122" t="s">
        <v>585</v>
      </c>
    </row>
    <row r="149">
      <c r="A149" s="119">
        <v>147.0</v>
      </c>
      <c r="B149" s="314" t="s">
        <v>557</v>
      </c>
      <c r="C149" s="167" t="s">
        <v>418</v>
      </c>
      <c r="D149" s="311" t="s">
        <v>558</v>
      </c>
      <c r="E149" s="368"/>
      <c r="F149" s="368" t="s">
        <v>647</v>
      </c>
      <c r="G149" s="122" t="s">
        <v>21</v>
      </c>
      <c r="H149" s="122">
        <v>1.0</v>
      </c>
      <c r="I149" s="167">
        <v>3.2</v>
      </c>
      <c r="J149" s="133">
        <v>0.0</v>
      </c>
      <c r="K149" s="366" t="str">
        <f>vlookup($D149,Python!$D$2:$F$1000,3,FALSE)</f>
        <v/>
      </c>
      <c r="L149" s="133" t="s">
        <v>585</v>
      </c>
      <c r="N149" s="133" t="s">
        <v>585</v>
      </c>
      <c r="P149" s="122" t="s">
        <v>585</v>
      </c>
      <c r="R149" s="122" t="s">
        <v>585</v>
      </c>
      <c r="T149" s="122" t="s">
        <v>585</v>
      </c>
    </row>
    <row r="150">
      <c r="A150" s="376">
        <v>148.0</v>
      </c>
      <c r="B150" s="314" t="s">
        <v>559</v>
      </c>
      <c r="C150" s="167" t="s">
        <v>422</v>
      </c>
      <c r="D150" s="311" t="s">
        <v>759</v>
      </c>
      <c r="E150" s="368"/>
      <c r="F150" s="368" t="s">
        <v>642</v>
      </c>
      <c r="G150" s="122" t="s">
        <v>21</v>
      </c>
      <c r="H150" s="122">
        <v>1.0</v>
      </c>
      <c r="I150" s="167">
        <v>4300.0</v>
      </c>
      <c r="J150" s="133">
        <v>2.15E7</v>
      </c>
      <c r="K150" s="366">
        <f>vlookup($D150,Python!$D$2:$F$1000,3,FALSE)</f>
        <v>5800</v>
      </c>
      <c r="L150" s="133">
        <v>7500000.0</v>
      </c>
      <c r="N150" s="133" t="s">
        <v>585</v>
      </c>
      <c r="P150" s="122" t="s">
        <v>585</v>
      </c>
      <c r="R150" s="122" t="s">
        <v>585</v>
      </c>
      <c r="T150" s="122" t="s">
        <v>585</v>
      </c>
    </row>
    <row r="151">
      <c r="A151" s="167">
        <v>149.0</v>
      </c>
      <c r="B151" s="314" t="s">
        <v>561</v>
      </c>
      <c r="C151" s="167" t="s">
        <v>422</v>
      </c>
      <c r="D151" s="311" t="s">
        <v>760</v>
      </c>
      <c r="E151" s="368"/>
      <c r="F151" s="368" t="s">
        <v>647</v>
      </c>
      <c r="G151" s="122" t="s">
        <v>21</v>
      </c>
      <c r="H151" s="122">
        <v>1.0</v>
      </c>
      <c r="I151" s="167">
        <v>101.0</v>
      </c>
      <c r="J151" s="133">
        <v>500000.0</v>
      </c>
      <c r="K151" s="366">
        <f>vlookup($D151,Python!$D$2:$F$1000,3,FALSE)</f>
        <v>213.1</v>
      </c>
      <c r="L151" s="133">
        <v>500000.0</v>
      </c>
      <c r="N151" s="133" t="s">
        <v>585</v>
      </c>
      <c r="P151" s="122" t="s">
        <v>585</v>
      </c>
      <c r="R151" s="122" t="s">
        <v>585</v>
      </c>
      <c r="T151" s="122" t="s">
        <v>585</v>
      </c>
    </row>
    <row r="152">
      <c r="A152" s="167">
        <v>150.0</v>
      </c>
      <c r="B152" s="314" t="s">
        <v>563</v>
      </c>
      <c r="C152" s="167" t="s">
        <v>422</v>
      </c>
      <c r="D152" s="311" t="s">
        <v>761</v>
      </c>
      <c r="E152" s="368"/>
      <c r="F152" s="368" t="s">
        <v>642</v>
      </c>
      <c r="G152" s="122" t="s">
        <v>21</v>
      </c>
      <c r="H152" s="122">
        <v>1.0</v>
      </c>
      <c r="I152" s="167">
        <v>1900.0</v>
      </c>
      <c r="J152" s="133">
        <v>9500000.0</v>
      </c>
      <c r="K152" s="366">
        <f>vlookup($D152,Python!$D$2:$F$1000,3,FALSE)</f>
        <v>2500</v>
      </c>
      <c r="L152" s="133">
        <v>3000000.0</v>
      </c>
      <c r="N152" s="133" t="s">
        <v>585</v>
      </c>
      <c r="P152" s="122" t="s">
        <v>585</v>
      </c>
      <c r="R152" s="122" t="s">
        <v>585</v>
      </c>
      <c r="T152" s="122" t="s">
        <v>585</v>
      </c>
    </row>
    <row r="153">
      <c r="A153" s="119">
        <v>151.0</v>
      </c>
      <c r="B153" s="314" t="s">
        <v>563</v>
      </c>
      <c r="C153" s="167" t="s">
        <v>422</v>
      </c>
      <c r="D153" s="311" t="s">
        <v>564</v>
      </c>
      <c r="E153" s="368"/>
      <c r="F153" s="368" t="s">
        <v>642</v>
      </c>
      <c r="G153" s="122" t="s">
        <v>21</v>
      </c>
      <c r="H153" s="122">
        <v>1.0</v>
      </c>
      <c r="I153" s="167">
        <v>1400.0</v>
      </c>
      <c r="J153" s="133">
        <v>7000000.0</v>
      </c>
      <c r="K153" s="366">
        <f>vlookup($D153,Python!$D$2:$F$1000,3,FALSE)</f>
        <v>1800</v>
      </c>
      <c r="L153" s="133">
        <v>2000000.0</v>
      </c>
      <c r="N153" s="133" t="s">
        <v>585</v>
      </c>
      <c r="P153" s="122" t="s">
        <v>585</v>
      </c>
      <c r="R153" s="122" t="s">
        <v>585</v>
      </c>
      <c r="T153" s="122" t="s">
        <v>585</v>
      </c>
    </row>
    <row r="154">
      <c r="A154" s="167">
        <v>152.0</v>
      </c>
      <c r="B154" s="314" t="s">
        <v>565</v>
      </c>
      <c r="C154" s="167" t="s">
        <v>422</v>
      </c>
      <c r="D154" s="311" t="s">
        <v>762</v>
      </c>
      <c r="E154" s="368"/>
      <c r="F154" s="368" t="s">
        <v>642</v>
      </c>
      <c r="G154" s="122" t="s">
        <v>21</v>
      </c>
      <c r="H154" s="122">
        <v>1.0</v>
      </c>
      <c r="I154" s="167">
        <v>40.5</v>
      </c>
      <c r="J154" s="133">
        <v>0.0</v>
      </c>
      <c r="K154" s="366">
        <f>vlookup($D154,Python!$D$2:$F$1000,3,FALSE)</f>
        <v>44.3</v>
      </c>
      <c r="L154" s="133">
        <v>0.0</v>
      </c>
      <c r="N154" s="133" t="s">
        <v>585</v>
      </c>
      <c r="P154" s="122" t="s">
        <v>585</v>
      </c>
      <c r="R154" s="122" t="s">
        <v>585</v>
      </c>
      <c r="T154" s="122" t="s">
        <v>585</v>
      </c>
    </row>
    <row r="155">
      <c r="A155" s="167">
        <v>153.0</v>
      </c>
      <c r="B155" s="314" t="s">
        <v>567</v>
      </c>
      <c r="C155" s="167" t="s">
        <v>422</v>
      </c>
      <c r="D155" s="311" t="s">
        <v>763</v>
      </c>
      <c r="E155" s="368"/>
      <c r="F155" s="368" t="s">
        <v>642</v>
      </c>
      <c r="G155" s="122" t="s">
        <v>21</v>
      </c>
      <c r="H155" s="122">
        <v>1.0</v>
      </c>
      <c r="I155" s="167">
        <v>1500.0</v>
      </c>
      <c r="J155" s="133">
        <v>7500000.0</v>
      </c>
      <c r="K155" s="366">
        <f>vlookup($D155,Python!$D$2:$F$1000,3,FALSE)</f>
        <v>1900</v>
      </c>
      <c r="L155" s="133">
        <v>2000000.0</v>
      </c>
      <c r="N155" s="133" t="s">
        <v>585</v>
      </c>
      <c r="P155" s="122" t="s">
        <v>585</v>
      </c>
      <c r="R155" s="122" t="s">
        <v>585</v>
      </c>
      <c r="T155" s="122" t="s">
        <v>585</v>
      </c>
    </row>
    <row r="156">
      <c r="A156" s="119">
        <v>154.0</v>
      </c>
      <c r="B156" s="314" t="s">
        <v>567</v>
      </c>
      <c r="C156" s="167" t="s">
        <v>422</v>
      </c>
      <c r="D156" s="311" t="s">
        <v>764</v>
      </c>
      <c r="E156" s="368"/>
      <c r="F156" s="368" t="s">
        <v>642</v>
      </c>
      <c r="G156" s="122" t="s">
        <v>21</v>
      </c>
      <c r="H156" s="122">
        <v>1.0</v>
      </c>
      <c r="I156" s="167">
        <v>760.0</v>
      </c>
      <c r="J156" s="133">
        <v>3500000.0</v>
      </c>
      <c r="K156" s="366">
        <f>vlookup($D156,Python!$D$2:$F$1000,3,FALSE)</f>
        <v>1800</v>
      </c>
      <c r="L156" s="133">
        <v>5500000.0</v>
      </c>
      <c r="N156" s="133" t="s">
        <v>585</v>
      </c>
      <c r="P156" s="122" t="s">
        <v>585</v>
      </c>
      <c r="R156" s="122" t="s">
        <v>585</v>
      </c>
      <c r="T156" s="122" t="s">
        <v>585</v>
      </c>
    </row>
    <row r="157">
      <c r="A157" s="119">
        <v>155.0</v>
      </c>
      <c r="B157" s="314" t="s">
        <v>569</v>
      </c>
      <c r="C157" s="167" t="s">
        <v>422</v>
      </c>
      <c r="D157" s="311" t="s">
        <v>765</v>
      </c>
      <c r="E157" s="368"/>
      <c r="F157" s="368" t="s">
        <v>642</v>
      </c>
      <c r="G157" s="122" t="s">
        <v>21</v>
      </c>
      <c r="H157" s="122">
        <v>1.0</v>
      </c>
      <c r="I157" s="167">
        <v>85.1</v>
      </c>
      <c r="J157" s="133">
        <v>0.0</v>
      </c>
      <c r="K157" s="366">
        <f>vlookup($D157,Python!$D$2:$F$1000,3,FALSE)</f>
        <v>126.1</v>
      </c>
      <c r="L157" s="133">
        <v>500000.0</v>
      </c>
      <c r="N157" s="133" t="s">
        <v>585</v>
      </c>
      <c r="P157" s="122" t="s">
        <v>585</v>
      </c>
      <c r="R157" s="122" t="s">
        <v>585</v>
      </c>
      <c r="T157" s="122" t="s">
        <v>585</v>
      </c>
    </row>
    <row r="158">
      <c r="A158" s="167">
        <v>156.0</v>
      </c>
      <c r="B158" s="314" t="s">
        <v>571</v>
      </c>
      <c r="C158" s="167" t="s">
        <v>422</v>
      </c>
      <c r="D158" s="311" t="s">
        <v>1194</v>
      </c>
      <c r="E158" s="368"/>
      <c r="F158" s="368" t="s">
        <v>642</v>
      </c>
      <c r="G158" s="122" t="s">
        <v>21</v>
      </c>
      <c r="H158" s="122">
        <v>1.0</v>
      </c>
      <c r="I158" s="167">
        <v>292.0</v>
      </c>
      <c r="J158" s="133">
        <v>1000000.0</v>
      </c>
      <c r="K158" s="366">
        <f>vlookup($D158,Python!$D$2:$F$1000,3,FALSE)</f>
        <v>480.6</v>
      </c>
      <c r="L158" s="133">
        <v>1000000.0</v>
      </c>
      <c r="N158" s="133" t="s">
        <v>585</v>
      </c>
      <c r="P158" s="122" t="s">
        <v>585</v>
      </c>
      <c r="R158" s="122" t="s">
        <v>585</v>
      </c>
      <c r="T158" s="122" t="s">
        <v>585</v>
      </c>
    </row>
    <row r="159">
      <c r="A159" s="167">
        <v>157.0</v>
      </c>
      <c r="B159" s="314" t="s">
        <v>573</v>
      </c>
      <c r="C159" s="167" t="s">
        <v>422</v>
      </c>
      <c r="D159" s="311" t="s">
        <v>766</v>
      </c>
      <c r="E159" s="368"/>
      <c r="F159" s="368" t="s">
        <v>642</v>
      </c>
      <c r="G159" s="122" t="s">
        <v>21</v>
      </c>
      <c r="H159" s="122">
        <v>1.0</v>
      </c>
      <c r="I159" s="167">
        <v>4.1</v>
      </c>
      <c r="J159" s="133">
        <v>0.0</v>
      </c>
      <c r="K159" s="366">
        <f>vlookup($D159,Python!$D$2:$F$1000,3,FALSE)</f>
        <v>11.4</v>
      </c>
      <c r="L159" s="133">
        <v>0.0</v>
      </c>
      <c r="N159" s="133" t="s">
        <v>585</v>
      </c>
      <c r="P159" s="122" t="s">
        <v>585</v>
      </c>
      <c r="R159" s="122" t="s">
        <v>585</v>
      </c>
      <c r="T159" s="122" t="s">
        <v>585</v>
      </c>
    </row>
    <row r="160">
      <c r="A160" s="119">
        <v>158.0</v>
      </c>
      <c r="B160" s="314" t="s">
        <v>575</v>
      </c>
      <c r="C160" s="167" t="s">
        <v>422</v>
      </c>
      <c r="D160" s="311" t="s">
        <v>767</v>
      </c>
      <c r="E160" s="368"/>
      <c r="F160" s="368" t="s">
        <v>642</v>
      </c>
      <c r="G160" s="122" t="s">
        <v>21</v>
      </c>
      <c r="H160" s="122">
        <v>1.0</v>
      </c>
      <c r="I160" s="167">
        <v>12.8</v>
      </c>
      <c r="J160" s="133">
        <v>0.0</v>
      </c>
      <c r="K160" s="366">
        <f>vlookup($D160,Python!$D$2:$F$1000,3,FALSE)</f>
        <v>42.1</v>
      </c>
      <c r="L160" s="133">
        <v>0.0</v>
      </c>
      <c r="N160" s="133" t="s">
        <v>585</v>
      </c>
      <c r="P160" s="122" t="s">
        <v>585</v>
      </c>
      <c r="R160" s="122" t="s">
        <v>585</v>
      </c>
      <c r="T160" s="122" t="s">
        <v>585</v>
      </c>
    </row>
    <row r="161">
      <c r="A161" s="371">
        <v>159.0</v>
      </c>
      <c r="B161" s="372" t="s">
        <v>577</v>
      </c>
      <c r="C161" s="371" t="s">
        <v>422</v>
      </c>
      <c r="D161" s="373" t="s">
        <v>768</v>
      </c>
      <c r="E161" s="374"/>
      <c r="F161" s="374"/>
      <c r="G161" s="155" t="s">
        <v>21</v>
      </c>
      <c r="H161" s="155">
        <v>1.0</v>
      </c>
      <c r="I161" s="371">
        <v>15.3</v>
      </c>
      <c r="J161" s="375">
        <v>0.0</v>
      </c>
      <c r="K161" s="389" t="str">
        <f>vlookup($D161,Python!$D$2:$F$1000,3,FALSE)</f>
        <v/>
      </c>
      <c r="L161" s="375" t="s">
        <v>585</v>
      </c>
      <c r="M161" s="155"/>
      <c r="N161" s="375" t="s">
        <v>585</v>
      </c>
      <c r="O161" s="155"/>
      <c r="P161" s="155" t="s">
        <v>585</v>
      </c>
      <c r="Q161" s="155"/>
      <c r="R161" s="155" t="s">
        <v>585</v>
      </c>
      <c r="S161" s="155"/>
      <c r="T161" s="155" t="s">
        <v>585</v>
      </c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</row>
    <row r="162">
      <c r="A162" s="167">
        <v>160.0</v>
      </c>
      <c r="B162" s="314" t="s">
        <v>577</v>
      </c>
      <c r="C162" s="167" t="s">
        <v>422</v>
      </c>
      <c r="D162" s="311" t="s">
        <v>769</v>
      </c>
      <c r="E162" s="368"/>
      <c r="F162" s="368" t="s">
        <v>642</v>
      </c>
      <c r="G162" s="122" t="s">
        <v>21</v>
      </c>
      <c r="H162" s="122">
        <v>1.0</v>
      </c>
      <c r="I162" s="167">
        <v>686.0</v>
      </c>
      <c r="J162" s="133">
        <v>3000000.0</v>
      </c>
      <c r="K162" s="366">
        <f>vlookup($D162,Python!$D$2:$F$1000,3,FALSE)</f>
        <v>1200</v>
      </c>
      <c r="L162" s="133">
        <v>3000000.0</v>
      </c>
      <c r="N162" s="133" t="s">
        <v>585</v>
      </c>
      <c r="P162" s="122" t="s">
        <v>585</v>
      </c>
      <c r="R162" s="122" t="s">
        <v>585</v>
      </c>
      <c r="T162" s="122" t="s">
        <v>585</v>
      </c>
    </row>
    <row r="163">
      <c r="A163" s="119">
        <v>161.0</v>
      </c>
      <c r="B163" s="314" t="s">
        <v>577</v>
      </c>
      <c r="C163" s="167" t="s">
        <v>422</v>
      </c>
      <c r="D163" s="311" t="s">
        <v>770</v>
      </c>
      <c r="E163" s="368"/>
      <c r="F163" s="368" t="s">
        <v>642</v>
      </c>
      <c r="G163" s="122" t="s">
        <v>21</v>
      </c>
      <c r="H163" s="122">
        <v>1.0</v>
      </c>
      <c r="I163" s="167">
        <v>64.1</v>
      </c>
      <c r="J163" s="133">
        <v>0.0</v>
      </c>
      <c r="K163" s="366">
        <f>vlookup($D163,Python!$D$2:$F$1000,3,FALSE)</f>
        <v>227.9</v>
      </c>
      <c r="L163" s="133">
        <v>1000000.0</v>
      </c>
      <c r="N163" s="133" t="s">
        <v>585</v>
      </c>
      <c r="P163" s="122" t="s">
        <v>585</v>
      </c>
      <c r="R163" s="122" t="s">
        <v>585</v>
      </c>
      <c r="T163" s="122" t="s">
        <v>585</v>
      </c>
    </row>
    <row r="164">
      <c r="A164" s="119">
        <v>162.0</v>
      </c>
      <c r="B164" s="314" t="s">
        <v>579</v>
      </c>
      <c r="C164" s="167" t="s">
        <v>422</v>
      </c>
      <c r="D164" s="311" t="s">
        <v>771</v>
      </c>
      <c r="E164" s="368"/>
      <c r="F164" s="368" t="s">
        <v>642</v>
      </c>
      <c r="G164" s="122" t="s">
        <v>21</v>
      </c>
      <c r="H164" s="122">
        <v>1.0</v>
      </c>
      <c r="I164" s="167">
        <v>44.2</v>
      </c>
      <c r="J164" s="133">
        <v>0.0</v>
      </c>
      <c r="K164" s="366">
        <f>vlookup($D164,Python!$D$2:$F$1000,3,FALSE)</f>
        <v>54.6</v>
      </c>
      <c r="L164" s="133">
        <v>0.0</v>
      </c>
      <c r="N164" s="133" t="s">
        <v>585</v>
      </c>
      <c r="P164" s="122" t="s">
        <v>585</v>
      </c>
      <c r="R164" s="122" t="s">
        <v>585</v>
      </c>
      <c r="T164" s="122" t="s">
        <v>585</v>
      </c>
    </row>
    <row r="165">
      <c r="A165" s="167">
        <v>163.0</v>
      </c>
      <c r="B165" s="314" t="s">
        <v>579</v>
      </c>
      <c r="C165" s="167" t="s">
        <v>422</v>
      </c>
      <c r="D165" s="311" t="s">
        <v>772</v>
      </c>
      <c r="E165" s="368"/>
      <c r="F165" s="368" t="s">
        <v>642</v>
      </c>
      <c r="G165" s="122" t="s">
        <v>21</v>
      </c>
      <c r="H165" s="122">
        <v>1.0</v>
      </c>
      <c r="I165" s="167">
        <v>48.9</v>
      </c>
      <c r="J165" s="133">
        <v>0.0</v>
      </c>
      <c r="K165" s="366">
        <f>vlookup($D165,Python!$D$2:$F$1000,3,FALSE)</f>
        <v>61</v>
      </c>
      <c r="L165" s="133">
        <v>0.0</v>
      </c>
      <c r="N165" s="133" t="s">
        <v>585</v>
      </c>
      <c r="P165" s="122" t="s">
        <v>585</v>
      </c>
      <c r="R165" s="122" t="s">
        <v>585</v>
      </c>
      <c r="T165" s="122" t="s">
        <v>585</v>
      </c>
    </row>
    <row r="166">
      <c r="A166" s="167">
        <v>164.0</v>
      </c>
      <c r="B166" s="314" t="s">
        <v>579</v>
      </c>
      <c r="C166" s="167" t="s">
        <v>422</v>
      </c>
      <c r="D166" s="311" t="s">
        <v>773</v>
      </c>
      <c r="E166" s="368"/>
      <c r="F166" s="368" t="s">
        <v>642</v>
      </c>
      <c r="G166" s="122" t="s">
        <v>21</v>
      </c>
      <c r="H166" s="122">
        <v>1.0</v>
      </c>
      <c r="I166" s="167">
        <v>180.0</v>
      </c>
      <c r="J166" s="133">
        <v>500000.0</v>
      </c>
      <c r="K166" s="366">
        <f>vlookup($D166,Python!$D$2:$F$1000,3,FALSE)</f>
        <v>426.4</v>
      </c>
      <c r="L166" s="133">
        <v>1500000.0</v>
      </c>
      <c r="N166" s="133" t="s">
        <v>585</v>
      </c>
      <c r="P166" s="122" t="s">
        <v>585</v>
      </c>
      <c r="R166" s="122" t="s">
        <v>585</v>
      </c>
      <c r="T166" s="122" t="s">
        <v>585</v>
      </c>
    </row>
    <row r="167">
      <c r="A167" s="119">
        <v>165.0</v>
      </c>
      <c r="B167" s="314" t="s">
        <v>581</v>
      </c>
      <c r="C167" s="167" t="s">
        <v>422</v>
      </c>
      <c r="D167" s="311" t="s">
        <v>774</v>
      </c>
      <c r="E167" s="368"/>
      <c r="F167" s="368" t="s">
        <v>642</v>
      </c>
      <c r="G167" s="122" t="s">
        <v>21</v>
      </c>
      <c r="H167" s="122">
        <v>1.0</v>
      </c>
      <c r="I167" s="167">
        <v>208.0</v>
      </c>
      <c r="J167" s="133">
        <v>1000000.0</v>
      </c>
      <c r="K167" s="366">
        <f>vlookup($D167,Python!$D$2:$F$1000,3,FALSE)</f>
        <v>606.8</v>
      </c>
      <c r="L167" s="133">
        <v>2000000.0</v>
      </c>
      <c r="N167" s="133" t="s">
        <v>585</v>
      </c>
      <c r="P167" s="122" t="s">
        <v>585</v>
      </c>
      <c r="R167" s="122" t="s">
        <v>585</v>
      </c>
      <c r="T167" s="122" t="s">
        <v>585</v>
      </c>
    </row>
    <row r="168">
      <c r="A168" s="167">
        <v>166.0</v>
      </c>
      <c r="B168" s="314" t="s">
        <v>581</v>
      </c>
      <c r="C168" s="167" t="s">
        <v>422</v>
      </c>
      <c r="D168" s="311" t="s">
        <v>775</v>
      </c>
      <c r="E168" s="368"/>
      <c r="F168" s="368" t="s">
        <v>642</v>
      </c>
      <c r="G168" s="122" t="s">
        <v>21</v>
      </c>
      <c r="H168" s="122">
        <v>1.0</v>
      </c>
      <c r="I168" s="167">
        <v>39.0</v>
      </c>
      <c r="J168" s="133">
        <v>0.0</v>
      </c>
      <c r="K168" s="366">
        <f>vlookup($D168,Python!$D$2:$F$1000,3,FALSE)</f>
        <v>361</v>
      </c>
      <c r="L168" s="133">
        <v>1500000.0</v>
      </c>
      <c r="N168" s="133" t="s">
        <v>585</v>
      </c>
      <c r="P168" s="122" t="s">
        <v>585</v>
      </c>
      <c r="R168" s="122" t="s">
        <v>585</v>
      </c>
      <c r="T168" s="122" t="s">
        <v>585</v>
      </c>
    </row>
    <row r="169">
      <c r="A169" s="167">
        <v>167.0</v>
      </c>
      <c r="B169" s="314" t="s">
        <v>583</v>
      </c>
      <c r="C169" s="167" t="s">
        <v>422</v>
      </c>
      <c r="D169" s="311" t="s">
        <v>776</v>
      </c>
      <c r="E169" s="368"/>
      <c r="F169" s="368" t="s">
        <v>642</v>
      </c>
      <c r="G169" s="122" t="s">
        <v>21</v>
      </c>
      <c r="H169" s="122">
        <v>1.0</v>
      </c>
      <c r="I169" s="167">
        <v>436.0</v>
      </c>
      <c r="J169" s="133">
        <v>2000000.0</v>
      </c>
      <c r="K169" s="366">
        <f>vlookup($D169,Python!$D$2:$F$1000,3,FALSE)</f>
        <v>706.3</v>
      </c>
      <c r="L169" s="133">
        <v>1500000.0</v>
      </c>
      <c r="N169" s="133" t="s">
        <v>585</v>
      </c>
      <c r="P169" s="122" t="s">
        <v>585</v>
      </c>
      <c r="R169" s="122" t="s">
        <v>585</v>
      </c>
      <c r="T169" s="122" t="s">
        <v>585</v>
      </c>
    </row>
    <row r="170">
      <c r="A170" s="119">
        <v>168.0</v>
      </c>
      <c r="B170" s="167" t="s">
        <v>583</v>
      </c>
      <c r="C170" s="167" t="s">
        <v>422</v>
      </c>
      <c r="D170" s="311" t="s">
        <v>777</v>
      </c>
      <c r="E170" s="368"/>
      <c r="F170" s="368" t="s">
        <v>642</v>
      </c>
      <c r="G170" s="122" t="s">
        <v>21</v>
      </c>
      <c r="H170" s="122">
        <v>1.0</v>
      </c>
      <c r="I170" s="167">
        <v>1600.0</v>
      </c>
      <c r="J170" s="133">
        <v>8000000.0</v>
      </c>
      <c r="K170" s="366">
        <f>vlookup($D170,Python!$D$2:$F$1000,3,FALSE)</f>
        <v>2000</v>
      </c>
      <c r="L170" s="133">
        <v>2000000.0</v>
      </c>
      <c r="N170" s="133" t="s">
        <v>585</v>
      </c>
      <c r="P170" s="122" t="s">
        <v>585</v>
      </c>
      <c r="R170" s="122" t="s">
        <v>585</v>
      </c>
      <c r="T170" s="122" t="s">
        <v>585</v>
      </c>
    </row>
    <row r="171">
      <c r="A171" s="376">
        <v>169.0</v>
      </c>
      <c r="B171" s="167" t="s">
        <v>583</v>
      </c>
      <c r="C171" s="167" t="s">
        <v>422</v>
      </c>
      <c r="D171" s="311" t="s">
        <v>778</v>
      </c>
      <c r="E171" s="368"/>
      <c r="F171" s="368" t="s">
        <v>642</v>
      </c>
      <c r="G171" s="122" t="s">
        <v>21</v>
      </c>
      <c r="H171" s="122">
        <v>1.0</v>
      </c>
      <c r="I171" s="167">
        <v>515.0</v>
      </c>
      <c r="J171" s="133">
        <v>2500000.0</v>
      </c>
      <c r="K171" s="366">
        <f>vlookup($D171,Python!$D$2:$F$1000,3,FALSE)</f>
        <v>1400</v>
      </c>
      <c r="L171" s="133">
        <v>4500000.0</v>
      </c>
      <c r="N171" s="133" t="s">
        <v>585</v>
      </c>
      <c r="P171" s="122" t="s">
        <v>585</v>
      </c>
      <c r="R171" s="122" t="s">
        <v>585</v>
      </c>
      <c r="T171" s="122" t="s">
        <v>585</v>
      </c>
    </row>
    <row r="172">
      <c r="A172" s="119">
        <v>170.0</v>
      </c>
      <c r="B172" s="167" t="s">
        <v>779</v>
      </c>
      <c r="C172" s="167" t="s">
        <v>422</v>
      </c>
      <c r="D172" s="311" t="s">
        <v>780</v>
      </c>
      <c r="E172" s="368"/>
      <c r="F172" s="368" t="s">
        <v>647</v>
      </c>
      <c r="G172" s="122" t="s">
        <v>194</v>
      </c>
      <c r="H172" s="122">
        <v>1.0</v>
      </c>
      <c r="I172" s="167">
        <v>237.0</v>
      </c>
      <c r="J172" s="133">
        <v>1000000.0</v>
      </c>
      <c r="K172" s="366">
        <f>vlookup($D172,Python!$D$2:$F$1000,3,FALSE)</f>
        <v>252.6</v>
      </c>
      <c r="L172" s="133">
        <v>0.0</v>
      </c>
      <c r="N172" s="133" t="s">
        <v>585</v>
      </c>
      <c r="P172" s="122" t="s">
        <v>585</v>
      </c>
      <c r="R172" s="122" t="s">
        <v>585</v>
      </c>
      <c r="T172" s="122" t="s">
        <v>585</v>
      </c>
    </row>
    <row r="173">
      <c r="A173" s="119">
        <v>171.0</v>
      </c>
      <c r="B173" s="167" t="s">
        <v>779</v>
      </c>
      <c r="C173" s="167" t="s">
        <v>422</v>
      </c>
      <c r="D173" s="311" t="s">
        <v>781</v>
      </c>
      <c r="E173" s="368"/>
      <c r="F173" s="368" t="s">
        <v>647</v>
      </c>
      <c r="G173" s="122" t="s">
        <v>194</v>
      </c>
      <c r="H173" s="122">
        <v>1.0</v>
      </c>
      <c r="I173" s="167">
        <v>180.0</v>
      </c>
      <c r="J173" s="133">
        <v>500000.0</v>
      </c>
      <c r="K173" s="366">
        <f>vlookup($D173,Python!$D$2:$F$1000,3,FALSE)</f>
        <v>210.9</v>
      </c>
      <c r="L173" s="133">
        <v>500000.0</v>
      </c>
      <c r="N173" s="133" t="s">
        <v>585</v>
      </c>
      <c r="P173" s="122" t="s">
        <v>585</v>
      </c>
      <c r="R173" s="122" t="s">
        <v>585</v>
      </c>
      <c r="T173" s="122" t="s">
        <v>585</v>
      </c>
    </row>
    <row r="174">
      <c r="A174" s="119">
        <v>172.0</v>
      </c>
      <c r="B174" s="167" t="s">
        <v>779</v>
      </c>
      <c r="C174" s="167" t="s">
        <v>422</v>
      </c>
      <c r="D174" s="311" t="s">
        <v>782</v>
      </c>
      <c r="E174" s="368"/>
      <c r="F174" s="368" t="s">
        <v>647</v>
      </c>
      <c r="G174" s="122" t="s">
        <v>194</v>
      </c>
      <c r="H174" s="122">
        <v>1.0</v>
      </c>
      <c r="I174" s="167">
        <v>1700.0</v>
      </c>
      <c r="J174" s="133">
        <v>8500000.0</v>
      </c>
      <c r="K174" s="366">
        <f>vlookup($D174,Python!$D$2:$F$1000,3,FALSE)</f>
        <v>1900</v>
      </c>
      <c r="L174" s="133">
        <v>1000000.0</v>
      </c>
      <c r="N174" s="133" t="s">
        <v>585</v>
      </c>
      <c r="P174" s="122" t="s">
        <v>585</v>
      </c>
      <c r="R174" s="122" t="s">
        <v>585</v>
      </c>
      <c r="T174" s="122" t="s">
        <v>585</v>
      </c>
    </row>
    <row r="175">
      <c r="A175" s="119">
        <v>173.0</v>
      </c>
      <c r="B175" s="167" t="s">
        <v>779</v>
      </c>
      <c r="C175" s="167" t="s">
        <v>422</v>
      </c>
      <c r="D175" s="311" t="s">
        <v>783</v>
      </c>
      <c r="E175" s="368"/>
      <c r="F175" s="368" t="s">
        <v>647</v>
      </c>
      <c r="G175" s="122" t="s">
        <v>194</v>
      </c>
      <c r="H175" s="122">
        <v>1.0</v>
      </c>
      <c r="I175" s="167">
        <v>147.1</v>
      </c>
      <c r="J175" s="133">
        <v>500000.0</v>
      </c>
      <c r="K175" s="366">
        <f>vlookup($D175,Python!$D$2:$F$1000,3,FALSE)</f>
        <v>241.4</v>
      </c>
      <c r="L175" s="133">
        <v>500000.0</v>
      </c>
      <c r="N175" s="133" t="s">
        <v>585</v>
      </c>
      <c r="P175" s="122" t="s">
        <v>585</v>
      </c>
      <c r="R175" s="122" t="s">
        <v>585</v>
      </c>
      <c r="T175" s="122" t="s">
        <v>585</v>
      </c>
    </row>
    <row r="176">
      <c r="A176" s="390"/>
      <c r="B176" s="390"/>
      <c r="C176" s="390"/>
      <c r="D176" s="391" t="s">
        <v>628</v>
      </c>
      <c r="E176" s="392"/>
      <c r="F176" s="392"/>
      <c r="G176" s="390" t="s">
        <v>585</v>
      </c>
      <c r="H176" s="390">
        <v>1.0</v>
      </c>
      <c r="I176" s="390"/>
      <c r="J176" s="393">
        <v>0.0</v>
      </c>
      <c r="K176" s="366" t="str">
        <f>vlookup($D176,Python!$D$2:$F$1000,3,FALSE)</f>
        <v/>
      </c>
      <c r="L176" s="393" t="s">
        <v>585</v>
      </c>
      <c r="N176" s="393" t="s">
        <v>585</v>
      </c>
      <c r="O176" s="390"/>
      <c r="P176" s="390" t="s">
        <v>585</v>
      </c>
      <c r="Q176" s="390"/>
      <c r="R176" s="390" t="s">
        <v>585</v>
      </c>
      <c r="S176" s="390"/>
      <c r="T176" s="390" t="s">
        <v>585</v>
      </c>
      <c r="U176" s="390"/>
      <c r="V176" s="390"/>
      <c r="W176" s="390"/>
      <c r="X176" s="390"/>
      <c r="Y176" s="390"/>
      <c r="Z176" s="390"/>
      <c r="AA176" s="390"/>
      <c r="AB176" s="390"/>
      <c r="AC176" s="390"/>
      <c r="AD176" s="390"/>
      <c r="AE176" s="390"/>
      <c r="AF176" s="390"/>
    </row>
    <row r="177">
      <c r="A177" s="167">
        <v>1.0</v>
      </c>
      <c r="B177" s="167" t="s">
        <v>437</v>
      </c>
      <c r="C177" s="167" t="s">
        <v>422</v>
      </c>
      <c r="D177" s="311" t="s">
        <v>784</v>
      </c>
      <c r="E177" s="367">
        <v>44406.0</v>
      </c>
      <c r="F177" s="368" t="s">
        <v>647</v>
      </c>
      <c r="G177" s="122" t="s">
        <v>92</v>
      </c>
      <c r="H177" s="122">
        <v>1.0</v>
      </c>
      <c r="J177" s="133">
        <v>0.0</v>
      </c>
      <c r="K177" s="366">
        <f>vlookup($D177,Python!$D$2:$F$1000,3,FALSE)</f>
        <v>1000</v>
      </c>
      <c r="L177" s="133">
        <v>5000000.0</v>
      </c>
      <c r="N177" s="133" t="s">
        <v>585</v>
      </c>
      <c r="P177" s="122" t="s">
        <v>585</v>
      </c>
      <c r="R177" s="122" t="s">
        <v>585</v>
      </c>
      <c r="T177" s="122" t="s">
        <v>585</v>
      </c>
    </row>
    <row r="178">
      <c r="A178" s="167">
        <v>2.0</v>
      </c>
      <c r="B178" s="167" t="s">
        <v>437</v>
      </c>
      <c r="C178" s="167" t="s">
        <v>422</v>
      </c>
      <c r="D178" s="311" t="s">
        <v>785</v>
      </c>
      <c r="E178" s="367">
        <v>44409.0</v>
      </c>
      <c r="F178" s="368" t="s">
        <v>647</v>
      </c>
      <c r="G178" s="122" t="s">
        <v>92</v>
      </c>
      <c r="H178" s="122">
        <v>1.0</v>
      </c>
      <c r="J178" s="133">
        <v>0.0</v>
      </c>
      <c r="K178" s="366">
        <f>vlookup($D178,Python!$D$2:$F$1000,3,FALSE)</f>
        <v>1500</v>
      </c>
      <c r="L178" s="133">
        <v>7500000.0</v>
      </c>
      <c r="N178" s="133" t="s">
        <v>585</v>
      </c>
      <c r="P178" s="122" t="s">
        <v>585</v>
      </c>
      <c r="R178" s="122" t="s">
        <v>585</v>
      </c>
      <c r="T178" s="122" t="s">
        <v>585</v>
      </c>
    </row>
    <row r="179">
      <c r="A179" s="167">
        <v>3.0</v>
      </c>
      <c r="B179" s="167" t="s">
        <v>443</v>
      </c>
      <c r="C179" s="167" t="s">
        <v>422</v>
      </c>
      <c r="D179" s="311" t="s">
        <v>786</v>
      </c>
      <c r="E179" s="367">
        <v>44406.0</v>
      </c>
      <c r="F179" s="368" t="s">
        <v>642</v>
      </c>
      <c r="G179" s="122" t="s">
        <v>445</v>
      </c>
      <c r="H179" s="122">
        <v>1.0</v>
      </c>
      <c r="J179" s="133">
        <v>0.0</v>
      </c>
      <c r="K179" s="366">
        <f>vlookup($D179,Python!$D$2:$F$1000,3,FALSE)</f>
        <v>3100</v>
      </c>
      <c r="L179" s="133">
        <v>1.55E7</v>
      </c>
      <c r="N179" s="133" t="s">
        <v>585</v>
      </c>
      <c r="P179" s="122" t="s">
        <v>585</v>
      </c>
      <c r="R179" s="122" t="s">
        <v>585</v>
      </c>
      <c r="T179" s="122" t="s">
        <v>585</v>
      </c>
    </row>
    <row r="180">
      <c r="A180" s="167">
        <v>4.0</v>
      </c>
      <c r="B180" s="167" t="s">
        <v>443</v>
      </c>
      <c r="C180" s="167" t="s">
        <v>422</v>
      </c>
      <c r="D180" s="311" t="s">
        <v>787</v>
      </c>
      <c r="E180" s="367">
        <v>44407.0</v>
      </c>
      <c r="F180" s="368" t="s">
        <v>642</v>
      </c>
      <c r="G180" s="122" t="s">
        <v>445</v>
      </c>
      <c r="H180" s="122">
        <v>1.0</v>
      </c>
      <c r="J180" s="133">
        <v>0.0</v>
      </c>
      <c r="K180" s="366">
        <f>vlookup($D180,Python!$D$2:$F$1000,3,FALSE)</f>
        <v>1800</v>
      </c>
      <c r="L180" s="133">
        <v>9000000.0</v>
      </c>
      <c r="N180" s="133" t="s">
        <v>585</v>
      </c>
      <c r="P180" s="122" t="s">
        <v>585</v>
      </c>
      <c r="R180" s="122" t="s">
        <v>585</v>
      </c>
      <c r="T180" s="122" t="s">
        <v>585</v>
      </c>
    </row>
    <row r="181">
      <c r="A181" s="167">
        <v>5.0</v>
      </c>
      <c r="B181" s="167" t="s">
        <v>443</v>
      </c>
      <c r="C181" s="167" t="s">
        <v>422</v>
      </c>
      <c r="D181" s="311" t="s">
        <v>788</v>
      </c>
      <c r="E181" s="367">
        <v>44408.0</v>
      </c>
      <c r="F181" s="368" t="s">
        <v>642</v>
      </c>
      <c r="G181" s="122" t="s">
        <v>445</v>
      </c>
      <c r="H181" s="122">
        <v>1.0</v>
      </c>
      <c r="J181" s="133">
        <v>0.0</v>
      </c>
      <c r="K181" s="366">
        <f>vlookup($D181,Python!$D$2:$F$1000,3,FALSE)</f>
        <v>661.5</v>
      </c>
      <c r="L181" s="133">
        <v>3000000.0</v>
      </c>
      <c r="N181" s="133" t="s">
        <v>585</v>
      </c>
      <c r="P181" s="122" t="s">
        <v>585</v>
      </c>
      <c r="R181" s="122" t="s">
        <v>585</v>
      </c>
      <c r="T181" s="122" t="s">
        <v>585</v>
      </c>
    </row>
    <row r="182">
      <c r="A182" s="167">
        <v>6.0</v>
      </c>
      <c r="B182" s="167" t="s">
        <v>443</v>
      </c>
      <c r="C182" s="167" t="s">
        <v>422</v>
      </c>
      <c r="D182" s="311" t="s">
        <v>789</v>
      </c>
      <c r="E182" s="367">
        <v>44413.0</v>
      </c>
      <c r="F182" s="368" t="s">
        <v>647</v>
      </c>
      <c r="G182" s="122" t="s">
        <v>445</v>
      </c>
      <c r="H182" s="122">
        <v>1.0</v>
      </c>
      <c r="J182" s="133">
        <v>0.0</v>
      </c>
      <c r="K182" s="366">
        <f>vlookup($D182,Python!$D$2:$F$1000,3,FALSE)</f>
        <v>127.4</v>
      </c>
      <c r="L182" s="133">
        <v>500000.0</v>
      </c>
      <c r="N182" s="133" t="s">
        <v>585</v>
      </c>
      <c r="P182" s="122" t="s">
        <v>585</v>
      </c>
      <c r="R182" s="122" t="s">
        <v>585</v>
      </c>
      <c r="T182" s="122" t="s">
        <v>585</v>
      </c>
    </row>
    <row r="183">
      <c r="A183" s="167">
        <v>7.0</v>
      </c>
      <c r="B183" s="167" t="s">
        <v>448</v>
      </c>
      <c r="C183" s="167" t="s">
        <v>422</v>
      </c>
      <c r="D183" s="311" t="s">
        <v>790</v>
      </c>
      <c r="E183" s="367">
        <v>44415.0</v>
      </c>
      <c r="F183" s="368" t="s">
        <v>641</v>
      </c>
      <c r="G183" s="122" t="s">
        <v>92</v>
      </c>
      <c r="H183" s="122">
        <v>1.0</v>
      </c>
      <c r="J183" s="133">
        <v>0.0</v>
      </c>
      <c r="K183" s="366">
        <f>vlookup($D183,Python!$D$2:$F$1000,3,FALSE)</f>
        <v>244.8</v>
      </c>
      <c r="L183" s="133">
        <v>1000000.0</v>
      </c>
      <c r="N183" s="133" t="s">
        <v>585</v>
      </c>
      <c r="P183" s="122" t="s">
        <v>585</v>
      </c>
      <c r="R183" s="122" t="s">
        <v>585</v>
      </c>
      <c r="T183" s="122" t="s">
        <v>585</v>
      </c>
    </row>
    <row r="184">
      <c r="A184" s="167">
        <v>8.0</v>
      </c>
      <c r="B184" s="167" t="s">
        <v>452</v>
      </c>
      <c r="C184" s="167" t="s">
        <v>422</v>
      </c>
      <c r="D184" s="311" t="s">
        <v>791</v>
      </c>
      <c r="E184" s="367">
        <v>44414.0</v>
      </c>
      <c r="F184" s="368" t="s">
        <v>641</v>
      </c>
      <c r="G184" s="122" t="s">
        <v>92</v>
      </c>
      <c r="H184" s="122">
        <v>1.0</v>
      </c>
      <c r="J184" s="133">
        <v>0.0</v>
      </c>
      <c r="K184" s="366">
        <f>vlookup($D184,Python!$D$2:$F$1000,3,FALSE)</f>
        <v>1.16</v>
      </c>
      <c r="L184" s="133">
        <v>0.0</v>
      </c>
      <c r="N184" s="133" t="s">
        <v>585</v>
      </c>
      <c r="P184" s="122" t="s">
        <v>585</v>
      </c>
      <c r="R184" s="122" t="s">
        <v>585</v>
      </c>
      <c r="T184" s="122" t="s">
        <v>585</v>
      </c>
    </row>
    <row r="185">
      <c r="A185" s="167">
        <v>9.0</v>
      </c>
      <c r="B185" s="167" t="s">
        <v>454</v>
      </c>
      <c r="C185" s="167" t="s">
        <v>422</v>
      </c>
      <c r="D185" s="311" t="s">
        <v>792</v>
      </c>
      <c r="E185" s="367">
        <v>44413.0</v>
      </c>
      <c r="F185" s="368" t="s">
        <v>647</v>
      </c>
      <c r="G185" s="122" t="s">
        <v>92</v>
      </c>
      <c r="H185" s="122">
        <v>1.0</v>
      </c>
      <c r="J185" s="133">
        <v>0.0</v>
      </c>
      <c r="K185" s="366">
        <f>vlookup($D185,Python!$D$2:$F$1000,3,FALSE)</f>
        <v>232</v>
      </c>
      <c r="L185" s="133">
        <v>1000000.0</v>
      </c>
      <c r="N185" s="133" t="s">
        <v>585</v>
      </c>
      <c r="P185" s="122" t="s">
        <v>585</v>
      </c>
      <c r="R185" s="122" t="s">
        <v>585</v>
      </c>
      <c r="T185" s="122" t="s">
        <v>585</v>
      </c>
    </row>
    <row r="186">
      <c r="A186" s="167">
        <v>10.0</v>
      </c>
      <c r="B186" s="167" t="s">
        <v>454</v>
      </c>
      <c r="C186" s="167" t="s">
        <v>422</v>
      </c>
      <c r="D186" s="311" t="s">
        <v>793</v>
      </c>
      <c r="E186" s="367">
        <v>44413.0</v>
      </c>
      <c r="F186" s="368" t="s">
        <v>647</v>
      </c>
      <c r="G186" s="122" t="s">
        <v>92</v>
      </c>
      <c r="H186" s="122">
        <v>1.0</v>
      </c>
      <c r="J186" s="133">
        <v>0.0</v>
      </c>
      <c r="K186" s="366">
        <f>vlookup($D186,Python!$D$2:$F$1000,3,FALSE)</f>
        <v>149.7</v>
      </c>
      <c r="L186" s="133">
        <v>500000.0</v>
      </c>
      <c r="N186" s="133" t="s">
        <v>585</v>
      </c>
      <c r="P186" s="122" t="s">
        <v>585</v>
      </c>
      <c r="R186" s="122" t="s">
        <v>585</v>
      </c>
      <c r="T186" s="122" t="s">
        <v>585</v>
      </c>
    </row>
    <row r="187">
      <c r="A187" s="167">
        <v>11.0</v>
      </c>
      <c r="B187" s="167" t="s">
        <v>456</v>
      </c>
      <c r="C187" s="167" t="s">
        <v>422</v>
      </c>
      <c r="D187" s="311" t="s">
        <v>794</v>
      </c>
      <c r="E187" s="367">
        <v>44406.0</v>
      </c>
      <c r="F187" s="368" t="s">
        <v>642</v>
      </c>
      <c r="G187" s="122" t="s">
        <v>92</v>
      </c>
      <c r="H187" s="122">
        <v>1.0</v>
      </c>
      <c r="J187" s="133">
        <v>0.0</v>
      </c>
      <c r="K187" s="366">
        <f>vlookup($D187,Python!$D$2:$F$1000,3,FALSE)</f>
        <v>1200</v>
      </c>
      <c r="L187" s="133">
        <v>6000000.0</v>
      </c>
      <c r="N187" s="133" t="s">
        <v>585</v>
      </c>
      <c r="P187" s="122" t="s">
        <v>585</v>
      </c>
      <c r="R187" s="122" t="s">
        <v>585</v>
      </c>
      <c r="T187" s="122" t="s">
        <v>585</v>
      </c>
    </row>
    <row r="188">
      <c r="A188" s="167">
        <v>12.0</v>
      </c>
      <c r="B188" s="314" t="s">
        <v>456</v>
      </c>
      <c r="C188" s="167" t="s">
        <v>422</v>
      </c>
      <c r="D188" s="311" t="s">
        <v>795</v>
      </c>
      <c r="E188" s="367">
        <v>44408.0</v>
      </c>
      <c r="F188" s="368" t="s">
        <v>642</v>
      </c>
      <c r="G188" s="122" t="s">
        <v>92</v>
      </c>
      <c r="H188" s="122">
        <v>1.0</v>
      </c>
      <c r="J188" s="133">
        <v>0.0</v>
      </c>
      <c r="K188" s="366">
        <f>vlookup($D188,Python!$D$2:$F$1000,3,FALSE)</f>
        <v>2500</v>
      </c>
      <c r="L188" s="133">
        <v>1.25E7</v>
      </c>
      <c r="N188" s="133" t="s">
        <v>585</v>
      </c>
      <c r="P188" s="122" t="s">
        <v>585</v>
      </c>
      <c r="R188" s="122" t="s">
        <v>585</v>
      </c>
      <c r="T188" s="122" t="s">
        <v>585</v>
      </c>
    </row>
    <row r="189">
      <c r="A189" s="167">
        <v>13.0</v>
      </c>
      <c r="B189" s="314" t="s">
        <v>456</v>
      </c>
      <c r="C189" s="167" t="s">
        <v>422</v>
      </c>
      <c r="D189" s="311" t="s">
        <v>796</v>
      </c>
      <c r="E189" s="367">
        <v>44409.0</v>
      </c>
      <c r="F189" s="368" t="s">
        <v>642</v>
      </c>
      <c r="G189" s="122" t="s">
        <v>92</v>
      </c>
      <c r="H189" s="122">
        <v>1.0</v>
      </c>
      <c r="J189" s="133">
        <v>0.0</v>
      </c>
      <c r="K189" s="366">
        <f>vlookup($D189,Python!$D$2:$F$1000,3,FALSE)</f>
        <v>2600</v>
      </c>
      <c r="L189" s="133">
        <v>1.3E7</v>
      </c>
      <c r="N189" s="133" t="s">
        <v>585</v>
      </c>
      <c r="P189" s="122" t="s">
        <v>585</v>
      </c>
      <c r="R189" s="122" t="s">
        <v>585</v>
      </c>
      <c r="T189" s="122" t="s">
        <v>585</v>
      </c>
    </row>
    <row r="190">
      <c r="A190" s="167">
        <v>14.0</v>
      </c>
      <c r="B190" s="167" t="s">
        <v>462</v>
      </c>
      <c r="C190" s="167" t="s">
        <v>422</v>
      </c>
      <c r="D190" s="311" t="s">
        <v>797</v>
      </c>
      <c r="E190" s="367">
        <v>44407.0</v>
      </c>
      <c r="F190" s="368" t="s">
        <v>642</v>
      </c>
      <c r="G190" s="122" t="s">
        <v>92</v>
      </c>
      <c r="H190" s="122">
        <v>1.0</v>
      </c>
      <c r="J190" s="133">
        <v>0.0</v>
      </c>
      <c r="K190" s="366">
        <f>vlookup($D190,Python!$D$2:$F$1000,3,FALSE)</f>
        <v>106.4</v>
      </c>
      <c r="L190" s="133">
        <v>500000.0</v>
      </c>
      <c r="N190" s="133" t="s">
        <v>585</v>
      </c>
      <c r="P190" s="122" t="s">
        <v>585</v>
      </c>
      <c r="R190" s="122" t="s">
        <v>585</v>
      </c>
      <c r="T190" s="122" t="s">
        <v>585</v>
      </c>
    </row>
    <row r="191">
      <c r="A191" s="167">
        <v>15.0</v>
      </c>
      <c r="B191" s="167" t="s">
        <v>464</v>
      </c>
      <c r="C191" s="167" t="s">
        <v>422</v>
      </c>
      <c r="D191" s="311" t="s">
        <v>798</v>
      </c>
      <c r="E191" s="367">
        <v>44408.0</v>
      </c>
      <c r="F191" s="368" t="s">
        <v>642</v>
      </c>
      <c r="G191" s="122" t="s">
        <v>466</v>
      </c>
      <c r="H191" s="122">
        <v>1.0</v>
      </c>
      <c r="J191" s="133">
        <v>0.0</v>
      </c>
      <c r="K191" s="366">
        <f>vlookup($D191,Python!$D$2:$F$1000,3,FALSE)</f>
        <v>114.6</v>
      </c>
      <c r="L191" s="133">
        <v>500000.0</v>
      </c>
      <c r="N191" s="133" t="s">
        <v>585</v>
      </c>
      <c r="P191" s="122" t="s">
        <v>585</v>
      </c>
      <c r="R191" s="122" t="s">
        <v>585</v>
      </c>
      <c r="T191" s="122" t="s">
        <v>585</v>
      </c>
    </row>
    <row r="192">
      <c r="A192" s="167">
        <v>16.0</v>
      </c>
      <c r="B192" s="167" t="s">
        <v>586</v>
      </c>
      <c r="C192" s="167" t="s">
        <v>422</v>
      </c>
      <c r="D192" s="311" t="s">
        <v>587</v>
      </c>
      <c r="E192" s="367">
        <v>44411.0</v>
      </c>
      <c r="F192" s="368" t="s">
        <v>642</v>
      </c>
      <c r="G192" s="122" t="s">
        <v>466</v>
      </c>
      <c r="H192" s="122">
        <v>1.0</v>
      </c>
      <c r="J192" s="133">
        <v>0.0</v>
      </c>
      <c r="K192" s="366">
        <f>vlookup($D192,Python!$D$2:$F$1000,3,FALSE)</f>
        <v>1500</v>
      </c>
      <c r="L192" s="133">
        <v>7500000.0</v>
      </c>
      <c r="N192" s="133" t="s">
        <v>585</v>
      </c>
      <c r="P192" s="122" t="s">
        <v>585</v>
      </c>
      <c r="R192" s="122" t="s">
        <v>585</v>
      </c>
      <c r="T192" s="122" t="s">
        <v>585</v>
      </c>
    </row>
    <row r="193">
      <c r="A193" s="167">
        <v>17.0</v>
      </c>
      <c r="B193" s="167" t="s">
        <v>588</v>
      </c>
      <c r="C193" s="167" t="s">
        <v>422</v>
      </c>
      <c r="D193" s="311" t="s">
        <v>589</v>
      </c>
      <c r="E193" s="367">
        <v>44404.0</v>
      </c>
      <c r="F193" s="368" t="s">
        <v>642</v>
      </c>
      <c r="G193" s="122" t="s">
        <v>92</v>
      </c>
      <c r="H193" s="122">
        <v>1.0</v>
      </c>
      <c r="J193" s="133">
        <v>0.0</v>
      </c>
      <c r="K193" s="366">
        <f>vlookup($D193,Python!$D$2:$F$1000,3,FALSE)</f>
        <v>435.4</v>
      </c>
      <c r="L193" s="133">
        <v>2000000.0</v>
      </c>
      <c r="N193" s="133" t="s">
        <v>585</v>
      </c>
      <c r="P193" s="122" t="s">
        <v>585</v>
      </c>
      <c r="R193" s="122" t="s">
        <v>585</v>
      </c>
      <c r="T193" s="122" t="s">
        <v>585</v>
      </c>
    </row>
    <row r="194">
      <c r="A194" s="167">
        <v>18.0</v>
      </c>
      <c r="B194" s="167" t="s">
        <v>588</v>
      </c>
      <c r="C194" s="167" t="s">
        <v>422</v>
      </c>
      <c r="D194" s="311" t="s">
        <v>799</v>
      </c>
      <c r="E194" s="367">
        <v>44405.0</v>
      </c>
      <c r="F194" s="368" t="s">
        <v>642</v>
      </c>
      <c r="G194" s="122" t="s">
        <v>92</v>
      </c>
      <c r="H194" s="122">
        <v>1.0</v>
      </c>
      <c r="J194" s="133">
        <v>0.0</v>
      </c>
      <c r="K194" s="366">
        <f>vlookup($D194,Python!$D$2:$F$1000,3,FALSE)</f>
        <v>781.8</v>
      </c>
      <c r="L194" s="133">
        <v>3500000.0</v>
      </c>
      <c r="N194" s="133" t="s">
        <v>585</v>
      </c>
      <c r="P194" s="122" t="s">
        <v>585</v>
      </c>
      <c r="R194" s="122" t="s">
        <v>585</v>
      </c>
      <c r="T194" s="122" t="s">
        <v>585</v>
      </c>
    </row>
    <row r="195">
      <c r="A195" s="167">
        <v>19.0</v>
      </c>
      <c r="B195" s="167" t="s">
        <v>588</v>
      </c>
      <c r="C195" s="167" t="s">
        <v>422</v>
      </c>
      <c r="D195" s="311" t="s">
        <v>800</v>
      </c>
      <c r="E195" s="367">
        <v>44407.0</v>
      </c>
      <c r="F195" s="368" t="s">
        <v>642</v>
      </c>
      <c r="G195" s="122" t="s">
        <v>92</v>
      </c>
      <c r="H195" s="122">
        <v>1.0</v>
      </c>
      <c r="J195" s="133">
        <v>0.0</v>
      </c>
      <c r="K195" s="366">
        <f>vlookup($D195,Python!$D$2:$F$1000,3,FALSE)</f>
        <v>514.9</v>
      </c>
      <c r="L195" s="133">
        <v>2500000.0</v>
      </c>
      <c r="N195" s="133" t="s">
        <v>585</v>
      </c>
      <c r="P195" s="122" t="s">
        <v>585</v>
      </c>
      <c r="R195" s="122" t="s">
        <v>585</v>
      </c>
      <c r="T195" s="122" t="s">
        <v>585</v>
      </c>
    </row>
    <row r="196">
      <c r="A196" s="167">
        <v>20.0</v>
      </c>
      <c r="B196" s="167" t="s">
        <v>590</v>
      </c>
      <c r="C196" s="167" t="s">
        <v>422</v>
      </c>
      <c r="D196" s="311" t="s">
        <v>801</v>
      </c>
      <c r="E196" s="367">
        <v>44405.0</v>
      </c>
      <c r="F196" s="368" t="s">
        <v>642</v>
      </c>
      <c r="G196" s="122" t="s">
        <v>92</v>
      </c>
      <c r="H196" s="122">
        <v>1.0</v>
      </c>
      <c r="J196" s="133">
        <v>0.0</v>
      </c>
      <c r="K196" s="366">
        <f>vlookup($D196,Python!$D$2:$F$1000,3,FALSE)</f>
        <v>26.8</v>
      </c>
      <c r="L196" s="133">
        <v>0.0</v>
      </c>
      <c r="N196" s="133" t="s">
        <v>585</v>
      </c>
      <c r="P196" s="122" t="s">
        <v>585</v>
      </c>
      <c r="R196" s="122" t="s">
        <v>585</v>
      </c>
      <c r="T196" s="122" t="s">
        <v>585</v>
      </c>
    </row>
    <row r="197">
      <c r="A197" s="167">
        <v>21.0</v>
      </c>
      <c r="B197" s="167" t="s">
        <v>469</v>
      </c>
      <c r="C197" s="167" t="s">
        <v>422</v>
      </c>
      <c r="D197" s="311" t="s">
        <v>802</v>
      </c>
      <c r="E197" s="367">
        <v>44415.0</v>
      </c>
      <c r="F197" s="368" t="s">
        <v>641</v>
      </c>
      <c r="G197" s="122" t="s">
        <v>92</v>
      </c>
      <c r="H197" s="122">
        <v>1.0</v>
      </c>
      <c r="J197" s="133">
        <v>0.0</v>
      </c>
      <c r="K197" s="366">
        <f>vlookup($D197,Python!$D$2:$F$1000,3,FALSE)</f>
        <v>21</v>
      </c>
      <c r="L197" s="133">
        <v>0.0</v>
      </c>
      <c r="N197" s="133" t="s">
        <v>585</v>
      </c>
      <c r="P197" s="122" t="s">
        <v>585</v>
      </c>
      <c r="R197" s="122" t="s">
        <v>585</v>
      </c>
      <c r="T197" s="122" t="s">
        <v>585</v>
      </c>
    </row>
    <row r="198">
      <c r="A198" s="167">
        <v>22.0</v>
      </c>
      <c r="B198" s="167" t="s">
        <v>469</v>
      </c>
      <c r="C198" s="167" t="s">
        <v>510</v>
      </c>
      <c r="D198" s="311" t="s">
        <v>803</v>
      </c>
      <c r="E198" s="367">
        <v>44415.0</v>
      </c>
      <c r="F198" s="368" t="s">
        <v>641</v>
      </c>
      <c r="G198" s="122" t="s">
        <v>92</v>
      </c>
      <c r="H198" s="122">
        <v>1.0</v>
      </c>
      <c r="J198" s="133">
        <v>0.0</v>
      </c>
      <c r="K198" s="366">
        <f>vlookup($D198,Python!$D$2:$F$1000,3,FALSE)</f>
        <v>73.3</v>
      </c>
      <c r="L198" s="133">
        <v>1000000.0</v>
      </c>
      <c r="N198" s="133" t="s">
        <v>585</v>
      </c>
      <c r="P198" s="122" t="s">
        <v>585</v>
      </c>
      <c r="R198" s="122" t="s">
        <v>585</v>
      </c>
      <c r="T198" s="122" t="s">
        <v>585</v>
      </c>
    </row>
    <row r="199">
      <c r="A199" s="167">
        <v>23.0</v>
      </c>
      <c r="B199" s="167" t="s">
        <v>477</v>
      </c>
      <c r="C199" s="167" t="s">
        <v>418</v>
      </c>
      <c r="D199" s="311" t="s">
        <v>1878</v>
      </c>
      <c r="E199" s="367">
        <v>44414.0</v>
      </c>
      <c r="F199" s="368" t="s">
        <v>641</v>
      </c>
      <c r="G199" s="122" t="s">
        <v>92</v>
      </c>
      <c r="H199" s="122">
        <v>1.0</v>
      </c>
      <c r="J199" s="133">
        <v>0.0</v>
      </c>
      <c r="K199" s="366" t="str">
        <f>vlookup($D199,Python!$D$2:$F$1000,3,FALSE)</f>
        <v>#N/A</v>
      </c>
      <c r="L199" s="133" t="e">
        <v>#N/A</v>
      </c>
      <c r="N199" s="133" t="s">
        <v>585</v>
      </c>
      <c r="P199" s="122" t="s">
        <v>585</v>
      </c>
      <c r="R199" s="122" t="s">
        <v>585</v>
      </c>
      <c r="T199" s="122" t="s">
        <v>585</v>
      </c>
    </row>
    <row r="200">
      <c r="A200" s="167">
        <v>24.0</v>
      </c>
      <c r="B200" s="167" t="s">
        <v>483</v>
      </c>
      <c r="C200" s="167" t="s">
        <v>418</v>
      </c>
      <c r="D200" s="311" t="s">
        <v>1879</v>
      </c>
      <c r="E200" s="367">
        <v>44415.0</v>
      </c>
      <c r="F200" s="368" t="s">
        <v>641</v>
      </c>
      <c r="G200" s="122" t="s">
        <v>92</v>
      </c>
      <c r="H200" s="122">
        <v>1.0</v>
      </c>
      <c r="J200" s="133">
        <v>0.0</v>
      </c>
      <c r="K200" s="366" t="str">
        <f>vlookup($D200,Python!$D$2:$F$1000,3,FALSE)</f>
        <v>#N/A</v>
      </c>
      <c r="L200" s="133" t="e">
        <v>#N/A</v>
      </c>
      <c r="N200" s="133" t="s">
        <v>585</v>
      </c>
      <c r="P200" s="122" t="s">
        <v>585</v>
      </c>
      <c r="R200" s="122" t="s">
        <v>585</v>
      </c>
      <c r="T200" s="122" t="s">
        <v>585</v>
      </c>
    </row>
    <row r="201">
      <c r="A201" s="167">
        <v>25.0</v>
      </c>
      <c r="B201" s="167" t="s">
        <v>485</v>
      </c>
      <c r="C201" s="167" t="s">
        <v>418</v>
      </c>
      <c r="D201" s="311" t="s">
        <v>806</v>
      </c>
      <c r="E201" s="367">
        <v>44415.0</v>
      </c>
      <c r="F201" s="368" t="s">
        <v>641</v>
      </c>
      <c r="G201" s="122" t="s">
        <v>92</v>
      </c>
      <c r="H201" s="122">
        <v>1.0</v>
      </c>
      <c r="J201" s="133">
        <v>0.0</v>
      </c>
      <c r="K201" s="366">
        <f>vlookup($D201,Python!$D$2:$F$1000,3,FALSE)</f>
        <v>10</v>
      </c>
      <c r="L201" s="133">
        <v>0.0</v>
      </c>
      <c r="N201" s="133" t="s">
        <v>585</v>
      </c>
      <c r="P201" s="122" t="s">
        <v>585</v>
      </c>
      <c r="R201" s="122" t="s">
        <v>585</v>
      </c>
      <c r="T201" s="122" t="s">
        <v>585</v>
      </c>
    </row>
    <row r="202">
      <c r="A202" s="167">
        <v>26.0</v>
      </c>
      <c r="B202" s="167" t="s">
        <v>492</v>
      </c>
      <c r="C202" s="167" t="s">
        <v>422</v>
      </c>
      <c r="D202" s="311" t="s">
        <v>807</v>
      </c>
      <c r="E202" s="367">
        <v>44407.0</v>
      </c>
      <c r="F202" s="368" t="s">
        <v>642</v>
      </c>
      <c r="G202" s="122" t="s">
        <v>92</v>
      </c>
      <c r="H202" s="122">
        <v>1.0</v>
      </c>
      <c r="J202" s="133">
        <v>0.0</v>
      </c>
      <c r="K202" s="366">
        <f>vlookup($D202,Python!$D$2:$F$1000,3,FALSE)</f>
        <v>460.6</v>
      </c>
      <c r="L202" s="133">
        <v>2000000.0</v>
      </c>
      <c r="N202" s="133" t="s">
        <v>585</v>
      </c>
      <c r="P202" s="122" t="s">
        <v>585</v>
      </c>
      <c r="R202" s="122" t="s">
        <v>585</v>
      </c>
      <c r="T202" s="122" t="s">
        <v>585</v>
      </c>
    </row>
    <row r="203">
      <c r="A203" s="167">
        <v>27.0</v>
      </c>
      <c r="B203" s="167" t="s">
        <v>492</v>
      </c>
      <c r="C203" s="167" t="s">
        <v>422</v>
      </c>
      <c r="D203" s="311" t="s">
        <v>808</v>
      </c>
      <c r="E203" s="367">
        <v>44421.0</v>
      </c>
      <c r="F203" s="368" t="s">
        <v>647</v>
      </c>
      <c r="G203" s="122" t="s">
        <v>92</v>
      </c>
      <c r="H203" s="122">
        <v>1.0</v>
      </c>
      <c r="J203" s="133">
        <v>0.0</v>
      </c>
      <c r="K203" s="366">
        <f>vlookup($D203,Python!$D$2:$F$1000,3,FALSE)</f>
        <v>933.9</v>
      </c>
      <c r="L203" s="133">
        <v>4500000.0</v>
      </c>
      <c r="N203" s="133" t="s">
        <v>585</v>
      </c>
      <c r="P203" s="122" t="s">
        <v>585</v>
      </c>
      <c r="R203" s="122" t="s">
        <v>585</v>
      </c>
      <c r="T203" s="122" t="s">
        <v>585</v>
      </c>
    </row>
    <row r="204">
      <c r="A204" s="167">
        <v>28.0</v>
      </c>
      <c r="B204" s="167" t="s">
        <v>592</v>
      </c>
      <c r="C204" s="167" t="s">
        <v>418</v>
      </c>
      <c r="D204" s="311" t="s">
        <v>809</v>
      </c>
      <c r="E204" s="367">
        <v>44401.0</v>
      </c>
      <c r="F204" s="368" t="s">
        <v>642</v>
      </c>
      <c r="G204" s="122" t="s">
        <v>92</v>
      </c>
      <c r="H204" s="122">
        <v>1.0</v>
      </c>
      <c r="J204" s="133">
        <v>0.0</v>
      </c>
      <c r="K204" s="366">
        <f>vlookup($D204,Python!$D$2:$F$1000,3,FALSE)</f>
        <v>51</v>
      </c>
      <c r="L204" s="133">
        <v>1000000.0</v>
      </c>
      <c r="N204" s="133" t="s">
        <v>585</v>
      </c>
      <c r="P204" s="122" t="s">
        <v>585</v>
      </c>
      <c r="R204" s="122" t="s">
        <v>585</v>
      </c>
      <c r="T204" s="122" t="s">
        <v>585</v>
      </c>
    </row>
    <row r="205">
      <c r="A205" s="167">
        <v>29.0</v>
      </c>
      <c r="B205" s="167" t="s">
        <v>594</v>
      </c>
      <c r="C205" s="167" t="s">
        <v>418</v>
      </c>
      <c r="D205" s="311" t="s">
        <v>595</v>
      </c>
      <c r="E205" s="367">
        <v>44407.0</v>
      </c>
      <c r="F205" s="368" t="s">
        <v>641</v>
      </c>
      <c r="G205" s="122" t="s">
        <v>92</v>
      </c>
      <c r="H205" s="122">
        <v>1.0</v>
      </c>
      <c r="J205" s="133">
        <v>0.0</v>
      </c>
      <c r="K205" s="366" t="str">
        <f>vlookup($D205,Python!$D$2:$F$1000,3,FALSE)</f>
        <v>#N/A</v>
      </c>
      <c r="L205" s="133" t="e">
        <v>#N/A</v>
      </c>
      <c r="N205" s="133" t="s">
        <v>585</v>
      </c>
      <c r="P205" s="122" t="s">
        <v>585</v>
      </c>
      <c r="R205" s="122" t="s">
        <v>585</v>
      </c>
      <c r="T205" s="122" t="s">
        <v>585</v>
      </c>
    </row>
    <row r="206">
      <c r="A206" s="167">
        <v>30.0</v>
      </c>
      <c r="B206" s="167" t="s">
        <v>594</v>
      </c>
      <c r="C206" s="167" t="s">
        <v>422</v>
      </c>
      <c r="D206" s="311" t="s">
        <v>811</v>
      </c>
      <c r="E206" s="367">
        <v>44407.0</v>
      </c>
      <c r="F206" s="368" t="s">
        <v>641</v>
      </c>
      <c r="G206" s="122" t="s">
        <v>92</v>
      </c>
      <c r="H206" s="122">
        <v>1.0</v>
      </c>
      <c r="J206" s="133">
        <v>0.0</v>
      </c>
      <c r="K206" s="366">
        <f>vlookup($D206,Python!$D$2:$F$1000,3,FALSE)</f>
        <v>100.4</v>
      </c>
      <c r="L206" s="133">
        <v>500000.0</v>
      </c>
      <c r="N206" s="133" t="s">
        <v>585</v>
      </c>
      <c r="P206" s="122" t="s">
        <v>585</v>
      </c>
      <c r="R206" s="122" t="s">
        <v>585</v>
      </c>
      <c r="T206" s="122" t="s">
        <v>585</v>
      </c>
    </row>
    <row r="207">
      <c r="A207" s="167">
        <v>31.0</v>
      </c>
      <c r="B207" s="167" t="s">
        <v>596</v>
      </c>
      <c r="C207" s="167" t="s">
        <v>418</v>
      </c>
      <c r="D207" s="311" t="s">
        <v>812</v>
      </c>
      <c r="E207" s="367">
        <v>44411.0</v>
      </c>
      <c r="F207" s="368" t="s">
        <v>641</v>
      </c>
      <c r="G207" s="122" t="s">
        <v>92</v>
      </c>
      <c r="H207" s="122">
        <v>1.0</v>
      </c>
      <c r="J207" s="133">
        <v>0.0</v>
      </c>
      <c r="K207" s="366">
        <f>vlookup($D207,Python!$D$2:$F$1000,3,FALSE)</f>
        <v>54</v>
      </c>
      <c r="L207" s="133">
        <v>1000000.0</v>
      </c>
      <c r="N207" s="133" t="s">
        <v>585</v>
      </c>
      <c r="P207" s="122" t="s">
        <v>585</v>
      </c>
      <c r="R207" s="122" t="s">
        <v>585</v>
      </c>
      <c r="T207" s="122" t="s">
        <v>585</v>
      </c>
    </row>
    <row r="208">
      <c r="A208" s="167">
        <v>32.0</v>
      </c>
      <c r="B208" s="167" t="s">
        <v>598</v>
      </c>
      <c r="C208" s="167" t="s">
        <v>418</v>
      </c>
      <c r="D208" s="311" t="s">
        <v>813</v>
      </c>
      <c r="E208" s="367">
        <v>44408.0</v>
      </c>
      <c r="F208" s="368" t="s">
        <v>641</v>
      </c>
      <c r="G208" s="122" t="s">
        <v>92</v>
      </c>
      <c r="H208" s="122">
        <v>1.0</v>
      </c>
      <c r="J208" s="133">
        <v>0.0</v>
      </c>
      <c r="K208" s="366">
        <f>vlookup($D208,Python!$D$2:$F$1000,3,FALSE)</f>
        <v>5.2</v>
      </c>
      <c r="L208" s="133">
        <v>0.0</v>
      </c>
      <c r="N208" s="133" t="s">
        <v>585</v>
      </c>
      <c r="P208" s="122" t="s">
        <v>585</v>
      </c>
      <c r="R208" s="122" t="s">
        <v>585</v>
      </c>
      <c r="T208" s="122" t="s">
        <v>585</v>
      </c>
    </row>
    <row r="209">
      <c r="A209" s="167">
        <v>33.0</v>
      </c>
      <c r="B209" s="167" t="s">
        <v>600</v>
      </c>
      <c r="C209" s="167" t="s">
        <v>422</v>
      </c>
      <c r="D209" s="311" t="s">
        <v>814</v>
      </c>
      <c r="E209" s="367">
        <v>44404.0</v>
      </c>
      <c r="F209" s="368" t="s">
        <v>642</v>
      </c>
      <c r="G209" s="122" t="s">
        <v>92</v>
      </c>
      <c r="H209" s="122">
        <v>1.0</v>
      </c>
      <c r="J209" s="133">
        <v>0.0</v>
      </c>
      <c r="K209" s="366">
        <f>vlookup($D209,Python!$D$2:$F$1000,3,FALSE)</f>
        <v>2000</v>
      </c>
      <c r="L209" s="133">
        <v>1.0E7</v>
      </c>
      <c r="N209" s="133" t="s">
        <v>585</v>
      </c>
      <c r="P209" s="122" t="s">
        <v>585</v>
      </c>
      <c r="R209" s="122" t="s">
        <v>585</v>
      </c>
      <c r="T209" s="122" t="s">
        <v>585</v>
      </c>
    </row>
    <row r="210">
      <c r="A210" s="167">
        <v>34.0</v>
      </c>
      <c r="B210" s="167" t="s">
        <v>600</v>
      </c>
      <c r="C210" s="167" t="s">
        <v>422</v>
      </c>
      <c r="D210" s="311" t="s">
        <v>815</v>
      </c>
      <c r="E210" s="367">
        <v>44406.0</v>
      </c>
      <c r="F210" s="368" t="s">
        <v>642</v>
      </c>
      <c r="G210" s="122" t="s">
        <v>92</v>
      </c>
      <c r="H210" s="122">
        <v>1.0</v>
      </c>
      <c r="J210" s="133">
        <v>0.0</v>
      </c>
      <c r="K210" s="366">
        <f>vlookup($D210,Python!$D$2:$F$1000,3,FALSE)</f>
        <v>1800</v>
      </c>
      <c r="L210" s="133">
        <v>9000000.0</v>
      </c>
      <c r="N210" s="133" t="s">
        <v>585</v>
      </c>
      <c r="P210" s="122" t="s">
        <v>585</v>
      </c>
      <c r="R210" s="122" t="s">
        <v>585</v>
      </c>
      <c r="T210" s="122" t="s">
        <v>585</v>
      </c>
    </row>
    <row r="211">
      <c r="A211" s="167">
        <v>35.0</v>
      </c>
      <c r="B211" s="167" t="s">
        <v>602</v>
      </c>
      <c r="C211" s="167" t="s">
        <v>422</v>
      </c>
      <c r="D211" s="311" t="s">
        <v>816</v>
      </c>
      <c r="E211" s="367">
        <v>44402.0</v>
      </c>
      <c r="F211" s="368" t="s">
        <v>642</v>
      </c>
      <c r="G211" s="122" t="s">
        <v>92</v>
      </c>
      <c r="H211" s="122">
        <v>1.0</v>
      </c>
      <c r="J211" s="133">
        <v>0.0</v>
      </c>
      <c r="K211" s="366">
        <f>vlookup($D211,Python!$D$2:$F$1000,3,FALSE)</f>
        <v>64.1</v>
      </c>
      <c r="L211" s="133">
        <v>0.0</v>
      </c>
      <c r="N211" s="133" t="s">
        <v>585</v>
      </c>
      <c r="P211" s="122" t="s">
        <v>585</v>
      </c>
      <c r="R211" s="122" t="s">
        <v>585</v>
      </c>
      <c r="T211" s="122" t="s">
        <v>585</v>
      </c>
    </row>
    <row r="212">
      <c r="A212" s="167">
        <v>36.0</v>
      </c>
      <c r="B212" s="167" t="s">
        <v>602</v>
      </c>
      <c r="C212" s="167" t="s">
        <v>422</v>
      </c>
      <c r="D212" s="311" t="s">
        <v>817</v>
      </c>
      <c r="E212" s="367">
        <v>44407.0</v>
      </c>
      <c r="F212" s="368" t="s">
        <v>642</v>
      </c>
      <c r="G212" s="122" t="s">
        <v>92</v>
      </c>
      <c r="H212" s="122">
        <v>1.0</v>
      </c>
      <c r="J212" s="133">
        <v>0.0</v>
      </c>
      <c r="K212" s="366">
        <f>vlookup($D212,Python!$D$2:$F$1000,3,FALSE)</f>
        <v>64.6</v>
      </c>
      <c r="L212" s="133">
        <v>0.0</v>
      </c>
      <c r="N212" s="133" t="s">
        <v>585</v>
      </c>
      <c r="P212" s="122" t="s">
        <v>585</v>
      </c>
      <c r="R212" s="122" t="s">
        <v>585</v>
      </c>
      <c r="T212" s="122" t="s">
        <v>585</v>
      </c>
    </row>
    <row r="213">
      <c r="A213" s="167">
        <v>37.0</v>
      </c>
      <c r="B213" s="371" t="s">
        <v>615</v>
      </c>
      <c r="C213" s="371" t="s">
        <v>418</v>
      </c>
      <c r="D213" s="373" t="s">
        <v>616</v>
      </c>
      <c r="E213" s="394">
        <v>44415.0</v>
      </c>
      <c r="F213" s="374" t="s">
        <v>641</v>
      </c>
      <c r="G213" s="155" t="s">
        <v>92</v>
      </c>
      <c r="H213" s="155">
        <v>1.0</v>
      </c>
      <c r="I213" s="155"/>
      <c r="J213" s="375">
        <v>0.0</v>
      </c>
      <c r="K213" s="366" t="str">
        <f>vlookup($D213,Python!$D$2:$F$1000,3,FALSE)</f>
        <v>#N/A</v>
      </c>
      <c r="L213" s="375" t="e">
        <v>#N/A</v>
      </c>
      <c r="N213" s="375" t="s">
        <v>585</v>
      </c>
      <c r="O213" s="155"/>
      <c r="P213" s="155" t="s">
        <v>585</v>
      </c>
      <c r="Q213" s="155"/>
      <c r="R213" s="155" t="s">
        <v>585</v>
      </c>
      <c r="S213" s="155"/>
      <c r="T213" s="155" t="s">
        <v>585</v>
      </c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  <c r="AF213" s="155"/>
    </row>
    <row r="214">
      <c r="A214" s="167">
        <v>38.0</v>
      </c>
      <c r="B214" s="167" t="s">
        <v>617</v>
      </c>
      <c r="C214" s="167" t="s">
        <v>422</v>
      </c>
      <c r="D214" s="311" t="s">
        <v>819</v>
      </c>
      <c r="E214" s="367">
        <v>44404.0</v>
      </c>
      <c r="F214" s="368" t="s">
        <v>647</v>
      </c>
      <c r="G214" s="122" t="s">
        <v>92</v>
      </c>
      <c r="H214" s="122">
        <v>1.0</v>
      </c>
      <c r="J214" s="133">
        <v>0.0</v>
      </c>
      <c r="K214" s="366">
        <f>vlookup($D214,Python!$D$2:$F$1000,3,FALSE)</f>
        <v>342</v>
      </c>
      <c r="L214" s="133">
        <v>1500000.0</v>
      </c>
      <c r="N214" s="133" t="s">
        <v>585</v>
      </c>
      <c r="P214" s="122" t="s">
        <v>585</v>
      </c>
      <c r="R214" s="122" t="s">
        <v>585</v>
      </c>
      <c r="T214" s="122" t="s">
        <v>585</v>
      </c>
    </row>
    <row r="215">
      <c r="A215" s="167">
        <v>39.0</v>
      </c>
      <c r="B215" s="167" t="s">
        <v>617</v>
      </c>
      <c r="C215" s="167" t="s">
        <v>422</v>
      </c>
      <c r="D215" s="311" t="s">
        <v>820</v>
      </c>
      <c r="E215" s="367">
        <v>44414.0</v>
      </c>
      <c r="F215" s="368" t="s">
        <v>642</v>
      </c>
      <c r="G215" s="122" t="s">
        <v>92</v>
      </c>
      <c r="H215" s="122">
        <v>1.0</v>
      </c>
      <c r="J215" s="133">
        <v>0.0</v>
      </c>
      <c r="K215" s="366">
        <f>vlookup($D215,Python!$D$2:$F$1000,3,FALSE)</f>
        <v>190.9</v>
      </c>
      <c r="L215" s="133">
        <v>500000.0</v>
      </c>
      <c r="N215" s="133" t="s">
        <v>585</v>
      </c>
      <c r="P215" s="122" t="s">
        <v>585</v>
      </c>
      <c r="R215" s="122" t="s">
        <v>585</v>
      </c>
      <c r="T215" s="122" t="s">
        <v>585</v>
      </c>
    </row>
    <row r="216">
      <c r="A216" s="167">
        <v>40.0</v>
      </c>
      <c r="B216" s="167" t="s">
        <v>619</v>
      </c>
      <c r="C216" s="167" t="s">
        <v>422</v>
      </c>
      <c r="D216" s="310" t="s">
        <v>620</v>
      </c>
      <c r="E216" s="385">
        <v>44407.0</v>
      </c>
      <c r="F216" s="386" t="s">
        <v>642</v>
      </c>
      <c r="G216" s="122" t="s">
        <v>92</v>
      </c>
      <c r="H216" s="122">
        <v>1.0</v>
      </c>
      <c r="J216" s="133">
        <v>0.0</v>
      </c>
      <c r="K216" s="366">
        <f>vlookup($D216,Python!$D$2:$F$1000,3,FALSE)</f>
        <v>10100</v>
      </c>
      <c r="L216" s="133">
        <v>5.05E7</v>
      </c>
      <c r="N216" s="133" t="s">
        <v>585</v>
      </c>
      <c r="P216" s="122" t="s">
        <v>585</v>
      </c>
      <c r="R216" s="122" t="s">
        <v>585</v>
      </c>
      <c r="T216" s="122" t="s">
        <v>585</v>
      </c>
    </row>
    <row r="217">
      <c r="A217" s="167">
        <v>41.0</v>
      </c>
      <c r="B217" s="167" t="s">
        <v>621</v>
      </c>
      <c r="C217" s="167" t="s">
        <v>422</v>
      </c>
      <c r="D217" s="311" t="s">
        <v>622</v>
      </c>
      <c r="E217" s="367">
        <v>44412.0</v>
      </c>
      <c r="F217" s="368" t="s">
        <v>641</v>
      </c>
      <c r="G217" s="122" t="s">
        <v>92</v>
      </c>
      <c r="H217" s="122">
        <v>1.0</v>
      </c>
      <c r="J217" s="133">
        <v>0.0</v>
      </c>
      <c r="K217" s="366">
        <f>vlookup($D217,Python!$D$2:$F$1000,3,FALSE)</f>
        <v>6000</v>
      </c>
      <c r="L217" s="133">
        <v>3.0E7</v>
      </c>
      <c r="N217" s="133" t="s">
        <v>585</v>
      </c>
      <c r="P217" s="122" t="s">
        <v>585</v>
      </c>
      <c r="R217" s="122" t="s">
        <v>585</v>
      </c>
      <c r="T217" s="122" t="s">
        <v>585</v>
      </c>
    </row>
    <row r="218">
      <c r="A218" s="167">
        <v>42.0</v>
      </c>
      <c r="B218" s="167" t="s">
        <v>623</v>
      </c>
      <c r="C218" s="167" t="s">
        <v>422</v>
      </c>
      <c r="D218" s="311" t="s">
        <v>821</v>
      </c>
      <c r="E218" s="367">
        <v>44406.0</v>
      </c>
      <c r="F218" s="368" t="s">
        <v>642</v>
      </c>
      <c r="G218" s="122" t="s">
        <v>92</v>
      </c>
      <c r="H218" s="122">
        <v>1.0</v>
      </c>
      <c r="J218" s="133">
        <v>0.0</v>
      </c>
      <c r="K218" s="366">
        <f>vlookup($D218,Python!$D$2:$F$1000,3,FALSE)</f>
        <v>2300</v>
      </c>
      <c r="L218" s="133">
        <v>1.15E7</v>
      </c>
      <c r="N218" s="133" t="s">
        <v>585</v>
      </c>
      <c r="P218" s="122" t="s">
        <v>585</v>
      </c>
      <c r="R218" s="122" t="s">
        <v>585</v>
      </c>
      <c r="T218" s="122" t="s">
        <v>585</v>
      </c>
    </row>
    <row r="219">
      <c r="A219" s="167">
        <v>43.0</v>
      </c>
      <c r="B219" s="167" t="s">
        <v>623</v>
      </c>
      <c r="C219" s="167" t="s">
        <v>422</v>
      </c>
      <c r="D219" s="311" t="s">
        <v>822</v>
      </c>
      <c r="E219" s="367">
        <v>44409.0</v>
      </c>
      <c r="F219" s="368" t="s">
        <v>647</v>
      </c>
      <c r="G219" s="122" t="s">
        <v>92</v>
      </c>
      <c r="H219" s="122">
        <v>1.0</v>
      </c>
      <c r="J219" s="133">
        <v>0.0</v>
      </c>
      <c r="K219" s="366">
        <f>vlookup($D219,Python!$D$2:$F$1000,3,FALSE)</f>
        <v>1300</v>
      </c>
      <c r="L219" s="133">
        <v>6500000.0</v>
      </c>
      <c r="N219" s="133" t="s">
        <v>585</v>
      </c>
      <c r="P219" s="122" t="s">
        <v>585</v>
      </c>
      <c r="R219" s="122" t="s">
        <v>585</v>
      </c>
      <c r="T219" s="122" t="s">
        <v>585</v>
      </c>
    </row>
    <row r="220">
      <c r="A220" s="167">
        <v>44.0</v>
      </c>
      <c r="B220" s="167" t="s">
        <v>623</v>
      </c>
      <c r="C220" s="167" t="s">
        <v>422</v>
      </c>
      <c r="D220" s="311" t="s">
        <v>823</v>
      </c>
      <c r="E220" s="367">
        <v>44411.0</v>
      </c>
      <c r="F220" s="368" t="s">
        <v>642</v>
      </c>
      <c r="G220" s="122" t="s">
        <v>92</v>
      </c>
      <c r="H220" s="122">
        <v>1.0</v>
      </c>
      <c r="J220" s="133">
        <v>0.0</v>
      </c>
      <c r="K220" s="366">
        <f>vlookup($D220,Python!$D$2:$F$1000,3,FALSE)</f>
        <v>2100</v>
      </c>
      <c r="L220" s="133">
        <v>1.05E7</v>
      </c>
      <c r="N220" s="133" t="s">
        <v>585</v>
      </c>
      <c r="P220" s="122" t="s">
        <v>585</v>
      </c>
      <c r="R220" s="122" t="s">
        <v>585</v>
      </c>
      <c r="T220" s="122" t="s">
        <v>585</v>
      </c>
    </row>
    <row r="221">
      <c r="A221" s="167">
        <v>45.0</v>
      </c>
      <c r="B221" s="167" t="s">
        <v>623</v>
      </c>
      <c r="C221" s="167" t="s">
        <v>422</v>
      </c>
      <c r="D221" s="311" t="s">
        <v>824</v>
      </c>
      <c r="E221" s="367">
        <v>44412.0</v>
      </c>
      <c r="F221" s="368" t="s">
        <v>642</v>
      </c>
      <c r="G221" s="122" t="s">
        <v>92</v>
      </c>
      <c r="H221" s="122">
        <v>1.0</v>
      </c>
      <c r="J221" s="133">
        <v>0.0</v>
      </c>
      <c r="K221" s="366">
        <f>vlookup($D221,Python!$D$2:$F$1000,3,FALSE)</f>
        <v>479</v>
      </c>
      <c r="L221" s="133">
        <v>2000000.0</v>
      </c>
      <c r="N221" s="133" t="s">
        <v>585</v>
      </c>
      <c r="P221" s="122" t="s">
        <v>585</v>
      </c>
      <c r="R221" s="122" t="s">
        <v>585</v>
      </c>
      <c r="T221" s="122" t="s">
        <v>585</v>
      </c>
    </row>
    <row r="222">
      <c r="A222" s="167">
        <v>46.0</v>
      </c>
      <c r="B222" s="167" t="s">
        <v>623</v>
      </c>
      <c r="C222" s="167" t="s">
        <v>422</v>
      </c>
      <c r="D222" s="311" t="s">
        <v>825</v>
      </c>
      <c r="E222" s="367">
        <v>44415.0</v>
      </c>
      <c r="F222" s="368" t="s">
        <v>642</v>
      </c>
      <c r="G222" s="122" t="s">
        <v>92</v>
      </c>
      <c r="H222" s="122">
        <v>1.0</v>
      </c>
      <c r="J222" s="133">
        <v>0.0</v>
      </c>
      <c r="K222" s="366">
        <f>vlookup($D222,Python!$D$2:$F$1000,3,FALSE)</f>
        <v>564.1</v>
      </c>
      <c r="L222" s="133">
        <v>2500000.0</v>
      </c>
      <c r="N222" s="133" t="s">
        <v>585</v>
      </c>
      <c r="P222" s="122" t="s">
        <v>585</v>
      </c>
      <c r="R222" s="122" t="s">
        <v>585</v>
      </c>
      <c r="T222" s="122" t="s">
        <v>585</v>
      </c>
    </row>
    <row r="223">
      <c r="A223" s="167">
        <v>47.0</v>
      </c>
      <c r="B223" s="167" t="s">
        <v>623</v>
      </c>
      <c r="C223" s="167" t="s">
        <v>422</v>
      </c>
      <c r="D223" s="311" t="s">
        <v>826</v>
      </c>
      <c r="E223" s="367">
        <v>44416.0</v>
      </c>
      <c r="F223" s="368" t="s">
        <v>642</v>
      </c>
      <c r="G223" s="122" t="s">
        <v>92</v>
      </c>
      <c r="H223" s="122">
        <v>1.0</v>
      </c>
      <c r="J223" s="133">
        <v>0.0</v>
      </c>
      <c r="K223" s="366">
        <f>vlookup($D223,Python!$D$2:$F$1000,3,FALSE)</f>
        <v>2900</v>
      </c>
      <c r="L223" s="133">
        <v>1.45E7</v>
      </c>
      <c r="N223" s="133" t="s">
        <v>585</v>
      </c>
      <c r="P223" s="122" t="s">
        <v>585</v>
      </c>
      <c r="R223" s="122" t="s">
        <v>585</v>
      </c>
      <c r="T223" s="122" t="s">
        <v>585</v>
      </c>
    </row>
    <row r="224">
      <c r="A224" s="167">
        <v>48.0</v>
      </c>
      <c r="B224" s="167" t="s">
        <v>625</v>
      </c>
      <c r="C224" s="167" t="s">
        <v>422</v>
      </c>
      <c r="D224" s="311" t="s">
        <v>827</v>
      </c>
      <c r="E224" s="367">
        <v>44408.0</v>
      </c>
      <c r="F224" s="368" t="s">
        <v>642</v>
      </c>
      <c r="G224" s="122" t="s">
        <v>466</v>
      </c>
      <c r="H224" s="122">
        <v>1.0</v>
      </c>
      <c r="J224" s="133">
        <v>0.0</v>
      </c>
      <c r="K224" s="366">
        <f>vlookup($D224,Python!$D$2:$F$1000,3,FALSE)</f>
        <v>943.5</v>
      </c>
      <c r="L224" s="133">
        <v>4500000.0</v>
      </c>
      <c r="N224" s="133" t="s">
        <v>585</v>
      </c>
      <c r="P224" s="122" t="s">
        <v>585</v>
      </c>
      <c r="R224" s="122" t="s">
        <v>585</v>
      </c>
      <c r="T224" s="122" t="s">
        <v>585</v>
      </c>
    </row>
    <row r="225">
      <c r="A225" s="167">
        <v>49.0</v>
      </c>
      <c r="B225" s="167" t="s">
        <v>625</v>
      </c>
      <c r="C225" s="167" t="s">
        <v>422</v>
      </c>
      <c r="D225" s="311" t="s">
        <v>828</v>
      </c>
      <c r="E225" s="367">
        <v>44411.0</v>
      </c>
      <c r="F225" s="368" t="s">
        <v>642</v>
      </c>
      <c r="G225" s="122" t="s">
        <v>466</v>
      </c>
      <c r="H225" s="122">
        <v>1.0</v>
      </c>
      <c r="J225" s="133">
        <v>0.0</v>
      </c>
      <c r="K225" s="366">
        <f>vlookup($D225,Python!$D$2:$F$1000,3,FALSE)</f>
        <v>6500</v>
      </c>
      <c r="L225" s="133">
        <v>3.25E7</v>
      </c>
      <c r="N225" s="133" t="s">
        <v>585</v>
      </c>
      <c r="P225" s="122" t="s">
        <v>585</v>
      </c>
      <c r="R225" s="122" t="s">
        <v>585</v>
      </c>
      <c r="T225" s="122" t="s">
        <v>585</v>
      </c>
    </row>
    <row r="226">
      <c r="A226" s="167">
        <v>50.0</v>
      </c>
      <c r="B226" s="167" t="s">
        <v>625</v>
      </c>
      <c r="C226" s="167" t="s">
        <v>422</v>
      </c>
      <c r="D226" s="311" t="s">
        <v>829</v>
      </c>
      <c r="E226" s="367">
        <v>44415.0</v>
      </c>
      <c r="F226" s="368" t="s">
        <v>642</v>
      </c>
      <c r="G226" s="122" t="s">
        <v>466</v>
      </c>
      <c r="H226" s="122">
        <v>1.0</v>
      </c>
      <c r="J226" s="133">
        <v>0.0</v>
      </c>
      <c r="K226" s="366">
        <f>vlookup($D226,Python!$D$2:$F$1000,3,FALSE)</f>
        <v>13800</v>
      </c>
      <c r="L226" s="133">
        <v>6.9E7</v>
      </c>
      <c r="N226" s="133" t="s">
        <v>585</v>
      </c>
      <c r="P226" s="122" t="s">
        <v>585</v>
      </c>
      <c r="R226" s="122" t="s">
        <v>585</v>
      </c>
      <c r="T226" s="122" t="s">
        <v>585</v>
      </c>
    </row>
    <row r="227">
      <c r="A227" s="167">
        <v>51.0</v>
      </c>
      <c r="B227" s="167" t="s">
        <v>830</v>
      </c>
      <c r="C227" s="167" t="s">
        <v>422</v>
      </c>
      <c r="D227" s="311" t="s">
        <v>831</v>
      </c>
      <c r="E227" s="367">
        <v>44416.0</v>
      </c>
      <c r="F227" s="368" t="s">
        <v>647</v>
      </c>
      <c r="G227" s="122" t="s">
        <v>466</v>
      </c>
      <c r="H227" s="122">
        <v>1.0</v>
      </c>
      <c r="J227" s="133">
        <v>0.0</v>
      </c>
      <c r="K227" s="366">
        <f>vlookup($D227,Python!$D$2:$F$1000,3,FALSE)</f>
        <v>3900</v>
      </c>
      <c r="L227" s="133">
        <v>1.95E7</v>
      </c>
      <c r="N227" s="133" t="s">
        <v>585</v>
      </c>
      <c r="P227" s="122" t="s">
        <v>585</v>
      </c>
      <c r="R227" s="122" t="s">
        <v>585</v>
      </c>
      <c r="T227" s="122" t="s">
        <v>585</v>
      </c>
    </row>
    <row r="228">
      <c r="A228" s="167">
        <v>52.0</v>
      </c>
      <c r="B228" s="167" t="s">
        <v>613</v>
      </c>
      <c r="C228" s="167" t="s">
        <v>418</v>
      </c>
      <c r="D228" s="311" t="s">
        <v>614</v>
      </c>
      <c r="E228" s="367">
        <v>44415.0</v>
      </c>
      <c r="F228" s="368" t="s">
        <v>641</v>
      </c>
      <c r="G228" s="122" t="s">
        <v>92</v>
      </c>
      <c r="H228" s="122">
        <v>1.0</v>
      </c>
      <c r="J228" s="133">
        <v>0.0</v>
      </c>
      <c r="K228" s="366">
        <f>vlookup($D228,Python!$D$2:$F$1000,3,FALSE)</f>
        <v>98</v>
      </c>
      <c r="L228" s="133">
        <v>1000000.0</v>
      </c>
      <c r="N228" s="133" t="s">
        <v>585</v>
      </c>
      <c r="P228" s="122" t="s">
        <v>585</v>
      </c>
      <c r="R228" s="122" t="s">
        <v>585</v>
      </c>
      <c r="T228" s="122" t="s">
        <v>585</v>
      </c>
    </row>
    <row r="229">
      <c r="A229" s="167">
        <v>53.0</v>
      </c>
      <c r="B229" s="167" t="s">
        <v>611</v>
      </c>
      <c r="C229" s="167" t="s">
        <v>422</v>
      </c>
      <c r="D229" s="311" t="s">
        <v>832</v>
      </c>
      <c r="E229" s="367">
        <v>44436.0</v>
      </c>
      <c r="F229" s="368" t="s">
        <v>642</v>
      </c>
      <c r="G229" s="122" t="s">
        <v>92</v>
      </c>
      <c r="H229" s="122">
        <v>1.0</v>
      </c>
      <c r="J229" s="133">
        <v>0.0</v>
      </c>
      <c r="K229" s="366">
        <f>vlookup($D229,Python!$D$2:$F$1000,3,FALSE)</f>
        <v>118.5</v>
      </c>
      <c r="L229" s="133">
        <v>500000.0</v>
      </c>
      <c r="N229" s="133" t="s">
        <v>585</v>
      </c>
      <c r="P229" s="122" t="s">
        <v>585</v>
      </c>
      <c r="R229" s="122" t="s">
        <v>585</v>
      </c>
      <c r="T229" s="122" t="s">
        <v>585</v>
      </c>
    </row>
    <row r="230">
      <c r="A230" s="167">
        <v>54.0</v>
      </c>
      <c r="B230" s="167" t="s">
        <v>611</v>
      </c>
      <c r="C230" s="167" t="s">
        <v>422</v>
      </c>
      <c r="D230" s="310" t="s">
        <v>833</v>
      </c>
      <c r="E230" s="385">
        <v>44414.0</v>
      </c>
      <c r="F230" s="386" t="s">
        <v>642</v>
      </c>
      <c r="G230" s="122" t="s">
        <v>92</v>
      </c>
      <c r="H230" s="122">
        <v>1.0</v>
      </c>
      <c r="J230" s="133">
        <v>0.0</v>
      </c>
      <c r="K230" s="366">
        <f>vlookup($D230,Python!$D$2:$F$1000,3,FALSE)</f>
        <v>1800</v>
      </c>
      <c r="L230" s="133">
        <v>9000000.0</v>
      </c>
      <c r="N230" s="133" t="s">
        <v>585</v>
      </c>
      <c r="P230" s="122" t="s">
        <v>585</v>
      </c>
      <c r="R230" s="122" t="s">
        <v>585</v>
      </c>
      <c r="T230" s="122" t="s">
        <v>585</v>
      </c>
    </row>
    <row r="231">
      <c r="A231" s="167">
        <v>55.0</v>
      </c>
      <c r="B231" s="167" t="s">
        <v>606</v>
      </c>
      <c r="C231" s="167" t="s">
        <v>418</v>
      </c>
      <c r="D231" s="311" t="s">
        <v>608</v>
      </c>
      <c r="E231" s="367">
        <v>44408.0</v>
      </c>
      <c r="F231" s="368" t="s">
        <v>642</v>
      </c>
      <c r="G231" s="122" t="s">
        <v>92</v>
      </c>
      <c r="H231" s="122">
        <v>1.0</v>
      </c>
      <c r="J231" s="133">
        <v>0.0</v>
      </c>
      <c r="K231" s="366" t="str">
        <f>vlookup($D231,Python!$D$2:$F$1000,3,FALSE)</f>
        <v>#N/A</v>
      </c>
      <c r="L231" s="133" t="e">
        <v>#N/A</v>
      </c>
      <c r="N231" s="133" t="s">
        <v>585</v>
      </c>
      <c r="P231" s="122" t="s">
        <v>585</v>
      </c>
      <c r="R231" s="122" t="s">
        <v>585</v>
      </c>
      <c r="T231" s="122" t="s">
        <v>585</v>
      </c>
    </row>
    <row r="232">
      <c r="A232" s="167">
        <v>56.0</v>
      </c>
      <c r="B232" s="167" t="s">
        <v>604</v>
      </c>
      <c r="C232" s="167" t="s">
        <v>422</v>
      </c>
      <c r="D232" s="311" t="s">
        <v>835</v>
      </c>
      <c r="E232" s="367">
        <v>44413.0</v>
      </c>
      <c r="F232" s="368" t="s">
        <v>647</v>
      </c>
      <c r="G232" s="122" t="s">
        <v>92</v>
      </c>
      <c r="H232" s="122">
        <v>1.0</v>
      </c>
      <c r="J232" s="133">
        <v>0.0</v>
      </c>
      <c r="K232" s="366">
        <f>vlookup($D232,Python!$D$2:$F$1000,3,FALSE)</f>
        <v>776.7</v>
      </c>
      <c r="L232" s="133">
        <v>3500000.0</v>
      </c>
      <c r="N232" s="133" t="s">
        <v>585</v>
      </c>
      <c r="P232" s="122" t="s">
        <v>585</v>
      </c>
      <c r="R232" s="122" t="s">
        <v>585</v>
      </c>
      <c r="T232" s="122" t="s">
        <v>585</v>
      </c>
    </row>
    <row r="233">
      <c r="A233" s="167">
        <v>57.0</v>
      </c>
      <c r="B233" s="167" t="s">
        <v>604</v>
      </c>
      <c r="C233" s="167" t="s">
        <v>422</v>
      </c>
      <c r="D233" s="311" t="s">
        <v>836</v>
      </c>
      <c r="E233" s="367">
        <v>44416.0</v>
      </c>
      <c r="F233" s="368" t="s">
        <v>642</v>
      </c>
      <c r="G233" s="122" t="s">
        <v>92</v>
      </c>
      <c r="H233" s="122">
        <v>1.0</v>
      </c>
      <c r="J233" s="133">
        <v>0.0</v>
      </c>
      <c r="K233" s="366">
        <f>vlookup($D233,Python!$D$2:$F$1000,3,FALSE)</f>
        <v>495.1</v>
      </c>
      <c r="L233" s="133">
        <v>2000000.0</v>
      </c>
      <c r="N233" s="133" t="s">
        <v>585</v>
      </c>
      <c r="P233" s="122" t="s">
        <v>585</v>
      </c>
      <c r="R233" s="122" t="s">
        <v>585</v>
      </c>
      <c r="T233" s="122" t="s">
        <v>585</v>
      </c>
    </row>
    <row r="234">
      <c r="A234" s="167">
        <v>58.0</v>
      </c>
      <c r="B234" s="167" t="s">
        <v>604</v>
      </c>
      <c r="C234" s="167" t="s">
        <v>422</v>
      </c>
      <c r="D234" s="311" t="s">
        <v>837</v>
      </c>
      <c r="E234" s="367">
        <v>44408.0</v>
      </c>
      <c r="F234" s="368" t="s">
        <v>642</v>
      </c>
      <c r="G234" s="122" t="s">
        <v>92</v>
      </c>
      <c r="H234" s="122">
        <v>1.0</v>
      </c>
      <c r="J234" s="133">
        <v>0.0</v>
      </c>
      <c r="K234" s="366">
        <f>vlookup($D234,Python!$D$2:$F$1000,3,FALSE)</f>
        <v>9700</v>
      </c>
      <c r="L234" s="133">
        <v>4.85E7</v>
      </c>
      <c r="N234" s="133" t="s">
        <v>585</v>
      </c>
      <c r="P234" s="122" t="s">
        <v>585</v>
      </c>
      <c r="R234" s="122" t="s">
        <v>585</v>
      </c>
      <c r="T234" s="122" t="s">
        <v>585</v>
      </c>
    </row>
    <row r="235">
      <c r="A235" s="167">
        <v>59.0</v>
      </c>
      <c r="B235" s="167" t="s">
        <v>606</v>
      </c>
      <c r="C235" s="167" t="s">
        <v>422</v>
      </c>
      <c r="D235" s="311" t="s">
        <v>838</v>
      </c>
      <c r="E235" s="367">
        <v>44408.0</v>
      </c>
      <c r="F235" s="368" t="s">
        <v>642</v>
      </c>
      <c r="G235" s="122" t="s">
        <v>92</v>
      </c>
      <c r="H235" s="122">
        <v>1.0</v>
      </c>
      <c r="J235" s="133">
        <v>0.0</v>
      </c>
      <c r="K235" s="366">
        <f>vlookup($D235,Python!$D$2:$F$1000,3,FALSE)</f>
        <v>8400</v>
      </c>
      <c r="L235" s="133">
        <v>4.2E7</v>
      </c>
      <c r="N235" s="133" t="s">
        <v>585</v>
      </c>
      <c r="P235" s="122" t="s">
        <v>585</v>
      </c>
      <c r="R235" s="122" t="s">
        <v>585</v>
      </c>
      <c r="T235" s="122" t="s">
        <v>585</v>
      </c>
    </row>
    <row r="236">
      <c r="A236" s="167">
        <v>60.0</v>
      </c>
      <c r="B236" s="167" t="s">
        <v>606</v>
      </c>
      <c r="C236" s="167" t="s">
        <v>422</v>
      </c>
      <c r="D236" s="311" t="s">
        <v>839</v>
      </c>
      <c r="E236" s="367">
        <v>44413.0</v>
      </c>
      <c r="F236" s="368" t="s">
        <v>647</v>
      </c>
      <c r="G236" s="122" t="s">
        <v>92</v>
      </c>
      <c r="H236" s="122">
        <v>1.0</v>
      </c>
      <c r="J236" s="133">
        <v>0.0</v>
      </c>
      <c r="K236" s="366">
        <f>vlookup($D236,Python!$D$2:$F$1000,3,FALSE)</f>
        <v>648.8</v>
      </c>
      <c r="L236" s="133">
        <v>3000000.0</v>
      </c>
      <c r="N236" s="133" t="s">
        <v>585</v>
      </c>
      <c r="P236" s="122" t="s">
        <v>585</v>
      </c>
      <c r="R236" s="122" t="s">
        <v>585</v>
      </c>
      <c r="T236" s="122" t="s">
        <v>585</v>
      </c>
    </row>
    <row r="237">
      <c r="A237" s="167">
        <v>61.0</v>
      </c>
      <c r="B237" s="167" t="s">
        <v>606</v>
      </c>
      <c r="C237" s="167" t="s">
        <v>422</v>
      </c>
      <c r="D237" s="311" t="s">
        <v>840</v>
      </c>
      <c r="E237" s="367">
        <v>44416.0</v>
      </c>
      <c r="F237" s="368" t="s">
        <v>642</v>
      </c>
      <c r="G237" s="122" t="s">
        <v>92</v>
      </c>
      <c r="H237" s="122">
        <v>1.0</v>
      </c>
      <c r="J237" s="133">
        <v>0.0</v>
      </c>
      <c r="K237" s="366">
        <f>vlookup($D237,Python!$D$2:$F$1000,3,FALSE)</f>
        <v>1000</v>
      </c>
      <c r="L237" s="133">
        <v>5000000.0</v>
      </c>
      <c r="N237" s="133" t="s">
        <v>585</v>
      </c>
      <c r="P237" s="122" t="s">
        <v>585</v>
      </c>
      <c r="R237" s="122" t="s">
        <v>585</v>
      </c>
      <c r="T237" s="122" t="s">
        <v>585</v>
      </c>
    </row>
    <row r="238">
      <c r="A238" s="167">
        <v>62.0</v>
      </c>
      <c r="B238" s="167" t="s">
        <v>606</v>
      </c>
      <c r="C238" s="167" t="s">
        <v>609</v>
      </c>
      <c r="D238" s="311" t="s">
        <v>610</v>
      </c>
      <c r="E238" s="367">
        <v>44410.0</v>
      </c>
      <c r="F238" s="368" t="s">
        <v>642</v>
      </c>
      <c r="G238" s="122" t="s">
        <v>92</v>
      </c>
      <c r="H238" s="122">
        <v>1.0</v>
      </c>
      <c r="J238" s="133">
        <v>0.0</v>
      </c>
      <c r="K238" s="366" t="str">
        <f>vlookup($D238,Python!$D$2:$F$1000,3,FALSE)</f>
        <v/>
      </c>
      <c r="L238" s="133" t="s">
        <v>585</v>
      </c>
      <c r="N238" s="133" t="s">
        <v>585</v>
      </c>
      <c r="P238" s="122" t="s">
        <v>585</v>
      </c>
      <c r="R238" s="122" t="s">
        <v>585</v>
      </c>
      <c r="T238" s="122" t="s">
        <v>585</v>
      </c>
    </row>
    <row r="239">
      <c r="A239" s="167">
        <v>63.0</v>
      </c>
      <c r="B239" s="167" t="s">
        <v>458</v>
      </c>
      <c r="C239" s="167" t="s">
        <v>422</v>
      </c>
      <c r="D239" s="311" t="s">
        <v>841</v>
      </c>
      <c r="E239" s="367">
        <v>44416.0</v>
      </c>
      <c r="F239" s="368" t="s">
        <v>641</v>
      </c>
      <c r="G239" s="122" t="s">
        <v>92</v>
      </c>
      <c r="H239" s="122">
        <v>1.0</v>
      </c>
      <c r="J239" s="133">
        <v>0.0</v>
      </c>
      <c r="K239" s="366">
        <f>vlookup($D239,Python!$D$2:$F$1000,3,FALSE)</f>
        <v>42.3</v>
      </c>
      <c r="L239" s="133">
        <v>0.0</v>
      </c>
      <c r="N239" s="133" t="s">
        <v>585</v>
      </c>
      <c r="P239" s="122" t="s">
        <v>585</v>
      </c>
      <c r="R239" s="122" t="s">
        <v>585</v>
      </c>
      <c r="T239" s="122" t="s">
        <v>585</v>
      </c>
    </row>
    <row r="240">
      <c r="A240" s="167">
        <v>64.0</v>
      </c>
      <c r="B240" s="167" t="s">
        <v>623</v>
      </c>
      <c r="C240" s="167" t="s">
        <v>422</v>
      </c>
      <c r="D240" s="310" t="s">
        <v>842</v>
      </c>
      <c r="E240" s="385">
        <v>44419.0</v>
      </c>
      <c r="F240" s="386" t="s">
        <v>642</v>
      </c>
      <c r="G240" s="122" t="s">
        <v>92</v>
      </c>
      <c r="H240" s="122">
        <v>1.0</v>
      </c>
      <c r="J240" s="133">
        <v>0.0</v>
      </c>
      <c r="K240" s="366">
        <f>vlookup($D240,Python!$D$2:$F$1000,3,FALSE)</f>
        <v>3900</v>
      </c>
      <c r="L240" s="133">
        <v>1.95E7</v>
      </c>
      <c r="N240" s="133" t="s">
        <v>585</v>
      </c>
      <c r="P240" s="122" t="s">
        <v>585</v>
      </c>
      <c r="R240" s="122" t="s">
        <v>585</v>
      </c>
      <c r="T240" s="122" t="s">
        <v>585</v>
      </c>
    </row>
    <row r="241">
      <c r="A241" s="167">
        <v>65.0</v>
      </c>
      <c r="B241" s="167" t="s">
        <v>492</v>
      </c>
      <c r="C241" s="167" t="s">
        <v>422</v>
      </c>
      <c r="D241" s="311" t="s">
        <v>843</v>
      </c>
      <c r="E241" s="367">
        <v>44417.0</v>
      </c>
      <c r="F241" s="368" t="s">
        <v>647</v>
      </c>
      <c r="G241" s="122" t="s">
        <v>92</v>
      </c>
      <c r="H241" s="122">
        <v>1.0</v>
      </c>
      <c r="J241" s="133">
        <v>0.0</v>
      </c>
      <c r="K241" s="366">
        <f>vlookup($D241,Python!$D$2:$F$1000,3,FALSE)</f>
        <v>1800</v>
      </c>
      <c r="L241" s="133">
        <v>9000000.0</v>
      </c>
      <c r="N241" s="133" t="s">
        <v>585</v>
      </c>
      <c r="P241" s="122" t="s">
        <v>585</v>
      </c>
      <c r="R241" s="122" t="s">
        <v>585</v>
      </c>
      <c r="T241" s="122" t="s">
        <v>585</v>
      </c>
    </row>
    <row r="242">
      <c r="A242" s="167">
        <v>66.0</v>
      </c>
      <c r="B242" s="167" t="s">
        <v>492</v>
      </c>
      <c r="C242" s="167" t="s">
        <v>422</v>
      </c>
      <c r="D242" s="311" t="s">
        <v>844</v>
      </c>
      <c r="E242" s="367">
        <v>44419.0</v>
      </c>
      <c r="F242" s="368" t="s">
        <v>647</v>
      </c>
      <c r="G242" s="122" t="s">
        <v>92</v>
      </c>
      <c r="H242" s="122">
        <v>1.0</v>
      </c>
      <c r="J242" s="133">
        <v>0.0</v>
      </c>
      <c r="K242" s="366">
        <f>vlookup($D242,Python!$D$2:$F$1000,3,FALSE)</f>
        <v>822.5</v>
      </c>
      <c r="L242" s="133">
        <v>4000000.0</v>
      </c>
      <c r="N242" s="133" t="s">
        <v>585</v>
      </c>
      <c r="P242" s="122" t="s">
        <v>585</v>
      </c>
      <c r="R242" s="122" t="s">
        <v>585</v>
      </c>
      <c r="T242" s="122" t="s">
        <v>585</v>
      </c>
    </row>
    <row r="243">
      <c r="A243" s="167">
        <v>67.0</v>
      </c>
      <c r="B243" s="167" t="s">
        <v>1880</v>
      </c>
      <c r="C243" s="167" t="s">
        <v>418</v>
      </c>
      <c r="D243" s="311" t="s">
        <v>1881</v>
      </c>
      <c r="E243" s="367">
        <v>44419.0</v>
      </c>
      <c r="F243" s="368" t="s">
        <v>641</v>
      </c>
      <c r="G243" s="122" t="s">
        <v>466</v>
      </c>
      <c r="H243" s="122">
        <v>1.0</v>
      </c>
      <c r="J243" s="133">
        <v>0.0</v>
      </c>
      <c r="K243" s="366" t="str">
        <f>vlookup($D243,Python!$D$2:$F$1000,3,FALSE)</f>
        <v>#N/A</v>
      </c>
      <c r="L243" s="133" t="e">
        <v>#N/A</v>
      </c>
      <c r="N243" s="133" t="s">
        <v>585</v>
      </c>
      <c r="P243" s="122" t="s">
        <v>585</v>
      </c>
      <c r="R243" s="122" t="s">
        <v>585</v>
      </c>
      <c r="T243" s="122" t="s">
        <v>585</v>
      </c>
    </row>
    <row r="244">
      <c r="A244" s="167">
        <v>68.0</v>
      </c>
      <c r="B244" s="167" t="s">
        <v>1184</v>
      </c>
      <c r="C244" s="167" t="s">
        <v>418</v>
      </c>
      <c r="D244" s="311" t="s">
        <v>1882</v>
      </c>
      <c r="E244" s="367">
        <v>44418.0</v>
      </c>
      <c r="F244" s="368" t="s">
        <v>641</v>
      </c>
      <c r="G244" s="122" t="s">
        <v>92</v>
      </c>
      <c r="H244" s="122">
        <v>1.0</v>
      </c>
      <c r="J244" s="133">
        <v>0.0</v>
      </c>
      <c r="K244" s="366" t="str">
        <f>vlookup($D244,Python!$D$2:$F$1000,3,FALSE)</f>
        <v>#N/A</v>
      </c>
      <c r="L244" s="133" t="e">
        <v>#N/A</v>
      </c>
      <c r="N244" s="133" t="s">
        <v>585</v>
      </c>
      <c r="P244" s="122" t="s">
        <v>585</v>
      </c>
      <c r="R244" s="122" t="s">
        <v>585</v>
      </c>
      <c r="T244" s="122" t="s">
        <v>585</v>
      </c>
    </row>
    <row r="245">
      <c r="A245" s="167">
        <v>69.0</v>
      </c>
      <c r="B245" s="167" t="s">
        <v>896</v>
      </c>
      <c r="C245" s="167" t="s">
        <v>418</v>
      </c>
      <c r="D245" s="310" t="s">
        <v>1883</v>
      </c>
      <c r="E245" s="385">
        <v>44418.0</v>
      </c>
      <c r="F245" s="386" t="s">
        <v>641</v>
      </c>
      <c r="G245" s="122" t="s">
        <v>92</v>
      </c>
      <c r="H245" s="122">
        <v>1.0</v>
      </c>
      <c r="J245" s="133">
        <v>0.0</v>
      </c>
      <c r="K245" s="366" t="str">
        <f>vlookup($D245,Python!$D$2:$F$1000,3,FALSE)</f>
        <v>#N/A</v>
      </c>
      <c r="L245" s="133" t="e">
        <v>#N/A</v>
      </c>
      <c r="N245" s="133" t="s">
        <v>585</v>
      </c>
      <c r="P245" s="122" t="s">
        <v>585</v>
      </c>
      <c r="R245" s="122" t="s">
        <v>585</v>
      </c>
      <c r="T245" s="122" t="s">
        <v>585</v>
      </c>
    </row>
    <row r="246">
      <c r="A246" s="167">
        <v>70.0</v>
      </c>
      <c r="B246" s="167" t="s">
        <v>845</v>
      </c>
      <c r="C246" s="167" t="s">
        <v>422</v>
      </c>
      <c r="D246" s="311" t="s">
        <v>846</v>
      </c>
      <c r="E246" s="367">
        <v>44413.0</v>
      </c>
      <c r="F246" s="368" t="s">
        <v>642</v>
      </c>
      <c r="G246" s="122" t="s">
        <v>92</v>
      </c>
      <c r="H246" s="122">
        <v>1.0</v>
      </c>
      <c r="J246" s="133">
        <v>0.0</v>
      </c>
      <c r="K246" s="366">
        <f>vlookup($D246,Python!$D$2:$F$1000,3,FALSE)</f>
        <v>76.3</v>
      </c>
      <c r="L246" s="133">
        <v>0.0</v>
      </c>
      <c r="N246" s="133" t="s">
        <v>585</v>
      </c>
      <c r="P246" s="122" t="s">
        <v>585</v>
      </c>
      <c r="R246" s="122" t="s">
        <v>585</v>
      </c>
      <c r="T246" s="122" t="s">
        <v>585</v>
      </c>
    </row>
    <row r="247">
      <c r="A247" s="167">
        <v>71.0</v>
      </c>
      <c r="B247" s="167" t="s">
        <v>845</v>
      </c>
      <c r="C247" s="167" t="s">
        <v>422</v>
      </c>
      <c r="D247" s="311" t="s">
        <v>847</v>
      </c>
      <c r="E247" s="367">
        <v>44419.0</v>
      </c>
      <c r="F247" s="368" t="s">
        <v>647</v>
      </c>
      <c r="G247" s="122" t="s">
        <v>92</v>
      </c>
      <c r="H247" s="122">
        <v>1.0</v>
      </c>
      <c r="J247" s="133">
        <v>0.0</v>
      </c>
      <c r="K247" s="366">
        <f>vlookup($D247,Python!$D$2:$F$1000,3,FALSE)</f>
        <v>241.5</v>
      </c>
      <c r="L247" s="133">
        <v>1000000.0</v>
      </c>
      <c r="N247" s="133" t="s">
        <v>585</v>
      </c>
      <c r="P247" s="122" t="s">
        <v>585</v>
      </c>
      <c r="R247" s="122" t="s">
        <v>585</v>
      </c>
      <c r="T247" s="122" t="s">
        <v>585</v>
      </c>
    </row>
    <row r="248">
      <c r="A248" s="167">
        <v>72.0</v>
      </c>
      <c r="B248" s="167" t="s">
        <v>437</v>
      </c>
      <c r="C248" s="167" t="s">
        <v>422</v>
      </c>
      <c r="D248" s="311" t="s">
        <v>848</v>
      </c>
      <c r="E248" s="367">
        <v>44416.0</v>
      </c>
      <c r="F248" s="368" t="s">
        <v>641</v>
      </c>
      <c r="G248" s="122" t="s">
        <v>92</v>
      </c>
      <c r="H248" s="122">
        <v>1.0</v>
      </c>
      <c r="J248" s="133">
        <v>0.0</v>
      </c>
      <c r="K248" s="366">
        <f>vlookup($D248,Python!$D$2:$F$1000,3,FALSE)</f>
        <v>85.4</v>
      </c>
      <c r="L248" s="133">
        <v>0.0</v>
      </c>
      <c r="N248" s="133" t="s">
        <v>585</v>
      </c>
      <c r="P248" s="122" t="s">
        <v>585</v>
      </c>
      <c r="R248" s="122" t="s">
        <v>585</v>
      </c>
      <c r="T248" s="122" t="s">
        <v>585</v>
      </c>
    </row>
    <row r="249">
      <c r="A249" s="167">
        <v>73.0</v>
      </c>
      <c r="B249" s="167" t="s">
        <v>490</v>
      </c>
      <c r="C249" s="167" t="s">
        <v>422</v>
      </c>
      <c r="D249" s="311" t="s">
        <v>849</v>
      </c>
      <c r="E249" s="367">
        <v>44417.0</v>
      </c>
      <c r="F249" s="368" t="s">
        <v>642</v>
      </c>
      <c r="G249" s="122" t="s">
        <v>92</v>
      </c>
      <c r="H249" s="122">
        <v>1.0</v>
      </c>
      <c r="J249" s="133">
        <v>0.0</v>
      </c>
      <c r="K249" s="366">
        <f>vlookup($D249,Python!$D$2:$F$1000,3,FALSE)</f>
        <v>1200</v>
      </c>
      <c r="L249" s="133">
        <v>6000000.0</v>
      </c>
      <c r="N249" s="133" t="s">
        <v>585</v>
      </c>
      <c r="P249" s="122" t="s">
        <v>585</v>
      </c>
      <c r="R249" s="122" t="s">
        <v>585</v>
      </c>
      <c r="T249" s="122" t="s">
        <v>585</v>
      </c>
    </row>
    <row r="250">
      <c r="A250" s="380">
        <v>74.0</v>
      </c>
      <c r="B250" s="380" t="s">
        <v>490</v>
      </c>
      <c r="C250" s="380" t="s">
        <v>510</v>
      </c>
      <c r="D250" s="381" t="s">
        <v>850</v>
      </c>
      <c r="E250" s="382">
        <v>44417.0</v>
      </c>
      <c r="F250" s="383" t="s">
        <v>642</v>
      </c>
      <c r="G250" s="123" t="s">
        <v>92</v>
      </c>
      <c r="H250" s="123">
        <v>1.0</v>
      </c>
      <c r="I250" s="123"/>
      <c r="J250" s="384">
        <v>0.0</v>
      </c>
      <c r="K250" s="395">
        <f>vlookup($D250,Python!$D$2:$F$1000,3,FALSE)</f>
        <v>1349.001</v>
      </c>
      <c r="L250" s="384">
        <v>2.6E7</v>
      </c>
      <c r="M250" s="123"/>
      <c r="N250" s="384" t="s">
        <v>585</v>
      </c>
      <c r="O250" s="123"/>
      <c r="P250" s="123" t="s">
        <v>585</v>
      </c>
      <c r="Q250" s="123"/>
      <c r="R250" s="123" t="s">
        <v>585</v>
      </c>
      <c r="S250" s="123"/>
      <c r="T250" s="123" t="s">
        <v>585</v>
      </c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</row>
    <row r="251">
      <c r="A251" s="167">
        <v>75.0</v>
      </c>
      <c r="B251" s="167" t="s">
        <v>851</v>
      </c>
      <c r="C251" s="167" t="s">
        <v>422</v>
      </c>
      <c r="D251" s="310" t="s">
        <v>852</v>
      </c>
      <c r="E251" s="385">
        <v>44419.0</v>
      </c>
      <c r="F251" s="386" t="s">
        <v>647</v>
      </c>
      <c r="G251" s="122" t="s">
        <v>92</v>
      </c>
      <c r="H251" s="122">
        <v>1.0</v>
      </c>
      <c r="J251" s="133">
        <v>0.0</v>
      </c>
      <c r="K251" s="366">
        <f>vlookup($D251,Python!$D$2:$F$1000,3,FALSE)</f>
        <v>163</v>
      </c>
      <c r="L251" s="133">
        <v>500000.0</v>
      </c>
      <c r="N251" s="133" t="s">
        <v>585</v>
      </c>
      <c r="P251" s="122" t="s">
        <v>585</v>
      </c>
      <c r="R251" s="122" t="s">
        <v>585</v>
      </c>
      <c r="T251" s="122" t="s">
        <v>585</v>
      </c>
    </row>
    <row r="252">
      <c r="A252" s="167">
        <v>76.0</v>
      </c>
      <c r="B252" s="167" t="s">
        <v>851</v>
      </c>
      <c r="C252" s="167" t="s">
        <v>422</v>
      </c>
      <c r="D252" s="311" t="s">
        <v>853</v>
      </c>
      <c r="E252" s="367">
        <v>44420.0</v>
      </c>
      <c r="F252" s="368" t="s">
        <v>647</v>
      </c>
      <c r="G252" s="122" t="s">
        <v>92</v>
      </c>
      <c r="H252" s="122">
        <v>1.0</v>
      </c>
      <c r="J252" s="133">
        <v>0.0</v>
      </c>
      <c r="K252" s="366">
        <f>vlookup($D252,Python!$D$2:$F$1000,3,FALSE)</f>
        <v>52.3</v>
      </c>
      <c r="L252" s="133">
        <v>0.0</v>
      </c>
      <c r="N252" s="133" t="s">
        <v>585</v>
      </c>
      <c r="P252" s="122" t="s">
        <v>585</v>
      </c>
      <c r="R252" s="122" t="s">
        <v>585</v>
      </c>
      <c r="T252" s="122" t="s">
        <v>585</v>
      </c>
    </row>
    <row r="253">
      <c r="A253" s="167">
        <v>77.0</v>
      </c>
      <c r="B253" s="167" t="s">
        <v>611</v>
      </c>
      <c r="C253" s="167" t="s">
        <v>422</v>
      </c>
      <c r="D253" s="311" t="s">
        <v>854</v>
      </c>
      <c r="E253" s="385">
        <v>44421.0</v>
      </c>
      <c r="F253" s="386" t="s">
        <v>647</v>
      </c>
      <c r="G253" s="122" t="s">
        <v>92</v>
      </c>
      <c r="H253" s="122">
        <v>1.0</v>
      </c>
      <c r="J253" s="133">
        <v>0.0</v>
      </c>
      <c r="K253" s="366">
        <f>vlookup($D253,Python!$D$2:$F$1000,3,FALSE)</f>
        <v>168.5</v>
      </c>
      <c r="L253" s="133">
        <v>500000.0</v>
      </c>
      <c r="N253" s="133" t="s">
        <v>585</v>
      </c>
      <c r="P253" s="122" t="s">
        <v>585</v>
      </c>
      <c r="R253" s="122" t="s">
        <v>585</v>
      </c>
      <c r="T253" s="122" t="s">
        <v>585</v>
      </c>
    </row>
    <row r="254">
      <c r="A254" s="167">
        <v>78.0</v>
      </c>
      <c r="B254" s="167" t="s">
        <v>443</v>
      </c>
      <c r="C254" s="167" t="s">
        <v>422</v>
      </c>
      <c r="D254" s="311" t="s">
        <v>855</v>
      </c>
      <c r="E254" s="385">
        <v>44420.0</v>
      </c>
      <c r="F254" s="386" t="s">
        <v>642</v>
      </c>
      <c r="G254" s="122" t="s">
        <v>445</v>
      </c>
      <c r="H254" s="122">
        <v>1.0</v>
      </c>
      <c r="J254" s="133">
        <v>0.0</v>
      </c>
      <c r="K254" s="366">
        <f>vlookup($D254,Python!$D$2:$F$1000,3,FALSE)</f>
        <v>576.9</v>
      </c>
      <c r="L254" s="133">
        <v>2500000.0</v>
      </c>
      <c r="N254" s="133" t="s">
        <v>585</v>
      </c>
      <c r="P254" s="122" t="s">
        <v>585</v>
      </c>
      <c r="R254" s="122" t="s">
        <v>585</v>
      </c>
      <c r="T254" s="122" t="s">
        <v>585</v>
      </c>
    </row>
    <row r="255">
      <c r="A255" s="167">
        <v>79.0</v>
      </c>
      <c r="B255" s="167" t="s">
        <v>443</v>
      </c>
      <c r="C255" s="167" t="s">
        <v>422</v>
      </c>
      <c r="D255" s="311" t="s">
        <v>856</v>
      </c>
      <c r="E255" s="385">
        <v>44421.0</v>
      </c>
      <c r="F255" s="386" t="s">
        <v>642</v>
      </c>
      <c r="G255" s="122" t="s">
        <v>445</v>
      </c>
      <c r="H255" s="122">
        <v>1.0</v>
      </c>
      <c r="J255" s="133">
        <v>0.0</v>
      </c>
      <c r="K255" s="366">
        <f>vlookup($D255,Python!$D$2:$F$1000,3,FALSE)</f>
        <v>103.1</v>
      </c>
      <c r="L255" s="133">
        <v>500000.0</v>
      </c>
      <c r="N255" s="133" t="s">
        <v>585</v>
      </c>
      <c r="P255" s="122" t="s">
        <v>585</v>
      </c>
      <c r="R255" s="122" t="s">
        <v>585</v>
      </c>
      <c r="T255" s="122" t="s">
        <v>585</v>
      </c>
    </row>
    <row r="256">
      <c r="A256" s="167">
        <v>80.0</v>
      </c>
      <c r="B256" s="167" t="s">
        <v>437</v>
      </c>
      <c r="C256" s="167" t="s">
        <v>422</v>
      </c>
      <c r="D256" s="311" t="s">
        <v>857</v>
      </c>
      <c r="E256" s="385">
        <v>44423.0</v>
      </c>
      <c r="F256" s="386" t="s">
        <v>642</v>
      </c>
      <c r="G256" s="122" t="s">
        <v>92</v>
      </c>
      <c r="H256" s="122">
        <v>1.0</v>
      </c>
      <c r="J256" s="133">
        <v>0.0</v>
      </c>
      <c r="K256" s="366">
        <f>vlookup($D256,Python!$D$2:$F$1000,3,FALSE)</f>
        <v>54.6</v>
      </c>
      <c r="L256" s="133">
        <v>0.0</v>
      </c>
      <c r="N256" s="133" t="s">
        <v>585</v>
      </c>
      <c r="P256" s="122" t="s">
        <v>585</v>
      </c>
      <c r="R256" s="122" t="s">
        <v>585</v>
      </c>
      <c r="T256" s="122" t="s">
        <v>585</v>
      </c>
    </row>
    <row r="257">
      <c r="A257" s="167">
        <v>81.0</v>
      </c>
      <c r="B257" s="167" t="s">
        <v>623</v>
      </c>
      <c r="C257" s="167" t="s">
        <v>422</v>
      </c>
      <c r="D257" s="311" t="s">
        <v>858</v>
      </c>
      <c r="E257" s="385">
        <v>44419.0</v>
      </c>
      <c r="F257" s="386" t="s">
        <v>642</v>
      </c>
      <c r="G257" s="122" t="s">
        <v>92</v>
      </c>
      <c r="H257" s="122">
        <v>1.0</v>
      </c>
      <c r="J257" s="133">
        <v>0.0</v>
      </c>
      <c r="K257" s="366">
        <f>vlookup($D257,Python!$D$2:$F$1000,3,FALSE)</f>
        <v>702.4</v>
      </c>
      <c r="L257" s="133">
        <v>3500000.0</v>
      </c>
      <c r="N257" s="133" t="s">
        <v>585</v>
      </c>
      <c r="P257" s="122" t="s">
        <v>585</v>
      </c>
      <c r="R257" s="122" t="s">
        <v>585</v>
      </c>
      <c r="T257" s="122" t="s">
        <v>585</v>
      </c>
    </row>
    <row r="258">
      <c r="A258" s="167">
        <v>82.0</v>
      </c>
      <c r="B258" s="167" t="s">
        <v>623</v>
      </c>
      <c r="C258" s="167" t="s">
        <v>422</v>
      </c>
      <c r="D258" s="310" t="s">
        <v>859</v>
      </c>
      <c r="E258" s="385">
        <v>44421.0</v>
      </c>
      <c r="F258" s="386" t="s">
        <v>642</v>
      </c>
      <c r="G258" s="122" t="s">
        <v>92</v>
      </c>
      <c r="H258" s="122">
        <v>1.0</v>
      </c>
      <c r="J258" s="133">
        <v>0.0</v>
      </c>
      <c r="K258" s="366">
        <f>vlookup($D258,Python!$D$2:$F$1000,3,FALSE)</f>
        <v>1800</v>
      </c>
      <c r="L258" s="133">
        <v>9000000.0</v>
      </c>
      <c r="N258" s="133" t="s">
        <v>585</v>
      </c>
      <c r="P258" s="122" t="s">
        <v>585</v>
      </c>
      <c r="R258" s="122" t="s">
        <v>585</v>
      </c>
      <c r="T258" s="122" t="s">
        <v>585</v>
      </c>
    </row>
    <row r="259">
      <c r="A259" s="167">
        <v>83.0</v>
      </c>
      <c r="B259" s="167" t="s">
        <v>623</v>
      </c>
      <c r="C259" s="167" t="s">
        <v>422</v>
      </c>
      <c r="D259" s="311" t="s">
        <v>860</v>
      </c>
      <c r="E259" s="385">
        <v>44423.0</v>
      </c>
      <c r="F259" s="386" t="s">
        <v>642</v>
      </c>
      <c r="G259" s="122" t="s">
        <v>92</v>
      </c>
      <c r="H259" s="122">
        <v>1.0</v>
      </c>
      <c r="J259" s="133">
        <v>0.0</v>
      </c>
      <c r="K259" s="366">
        <f>vlookup($D259,Python!$D$2:$F$1000,3,FALSE)</f>
        <v>4100</v>
      </c>
      <c r="L259" s="133">
        <v>2.05E7</v>
      </c>
      <c r="N259" s="133" t="s">
        <v>585</v>
      </c>
      <c r="P259" s="122" t="s">
        <v>585</v>
      </c>
      <c r="R259" s="122" t="s">
        <v>585</v>
      </c>
      <c r="T259" s="122" t="s">
        <v>585</v>
      </c>
    </row>
    <row r="260">
      <c r="A260" s="167">
        <v>84.0</v>
      </c>
      <c r="B260" s="167" t="s">
        <v>851</v>
      </c>
      <c r="C260" s="167" t="s">
        <v>422</v>
      </c>
      <c r="D260" s="311" t="s">
        <v>861</v>
      </c>
      <c r="E260" s="385">
        <v>44425.0</v>
      </c>
      <c r="F260" s="386" t="s">
        <v>642</v>
      </c>
      <c r="G260" s="122" t="s">
        <v>92</v>
      </c>
      <c r="H260" s="122">
        <v>1.0</v>
      </c>
      <c r="J260" s="133">
        <v>0.0</v>
      </c>
      <c r="K260" s="366">
        <f>vlookup($D260,Python!$D$2:$F$1000,3,FALSE)</f>
        <v>255.9</v>
      </c>
      <c r="L260" s="133">
        <v>1000000.0</v>
      </c>
      <c r="N260" s="133" t="s">
        <v>585</v>
      </c>
      <c r="P260" s="122" t="s">
        <v>585</v>
      </c>
      <c r="R260" s="122" t="s">
        <v>585</v>
      </c>
      <c r="T260" s="122" t="s">
        <v>585</v>
      </c>
    </row>
    <row r="261">
      <c r="A261" s="167">
        <v>85.0</v>
      </c>
      <c r="B261" s="167" t="s">
        <v>862</v>
      </c>
      <c r="C261" s="167" t="s">
        <v>422</v>
      </c>
      <c r="D261" s="311" t="s">
        <v>863</v>
      </c>
      <c r="E261" s="385">
        <v>44424.0</v>
      </c>
      <c r="F261" s="386" t="s">
        <v>642</v>
      </c>
      <c r="G261" s="122" t="s">
        <v>466</v>
      </c>
      <c r="H261" s="122">
        <v>1.0</v>
      </c>
      <c r="J261" s="133">
        <v>0.0</v>
      </c>
      <c r="K261" s="366">
        <f>vlookup($D261,Python!$D$2:$F$1000,3,FALSE)</f>
        <v>338.2</v>
      </c>
      <c r="L261" s="133">
        <v>1500000.0</v>
      </c>
      <c r="N261" s="133" t="s">
        <v>585</v>
      </c>
      <c r="P261" s="122" t="s">
        <v>585</v>
      </c>
      <c r="R261" s="122" t="s">
        <v>585</v>
      </c>
      <c r="T261" s="122" t="s">
        <v>585</v>
      </c>
    </row>
    <row r="262">
      <c r="A262" s="167">
        <v>86.0</v>
      </c>
      <c r="B262" s="167" t="s">
        <v>864</v>
      </c>
      <c r="C262" s="167" t="s">
        <v>422</v>
      </c>
      <c r="D262" s="310" t="s">
        <v>865</v>
      </c>
      <c r="E262" s="385">
        <v>44421.0</v>
      </c>
      <c r="F262" s="386" t="s">
        <v>647</v>
      </c>
      <c r="G262" s="122" t="s">
        <v>466</v>
      </c>
      <c r="H262" s="122">
        <v>1.0</v>
      </c>
      <c r="J262" s="133">
        <v>0.0</v>
      </c>
      <c r="K262" s="366">
        <f>vlookup($D262,Python!$D$2:$F$1000,3,FALSE)</f>
        <v>164</v>
      </c>
      <c r="L262" s="133">
        <v>500000.0</v>
      </c>
      <c r="N262" s="133" t="s">
        <v>585</v>
      </c>
      <c r="P262" s="122" t="s">
        <v>585</v>
      </c>
      <c r="R262" s="122" t="s">
        <v>585</v>
      </c>
      <c r="T262" s="122" t="s">
        <v>585</v>
      </c>
    </row>
    <row r="263">
      <c r="A263" s="167">
        <v>87.0</v>
      </c>
      <c r="B263" s="167" t="s">
        <v>454</v>
      </c>
      <c r="C263" s="167" t="s">
        <v>422</v>
      </c>
      <c r="D263" s="311" t="s">
        <v>866</v>
      </c>
      <c r="E263" s="385">
        <v>44419.0</v>
      </c>
      <c r="F263" s="386" t="s">
        <v>647</v>
      </c>
      <c r="G263" s="122" t="s">
        <v>92</v>
      </c>
      <c r="H263" s="122">
        <v>1.0</v>
      </c>
      <c r="J263" s="133">
        <v>0.0</v>
      </c>
      <c r="K263" s="366">
        <f>vlookup($D263,Python!$D$2:$F$1000,3,FALSE)</f>
        <v>119</v>
      </c>
      <c r="L263" s="133">
        <v>500000.0</v>
      </c>
      <c r="N263" s="133" t="s">
        <v>585</v>
      </c>
      <c r="P263" s="122" t="s">
        <v>585</v>
      </c>
      <c r="R263" s="122" t="s">
        <v>585</v>
      </c>
      <c r="T263" s="122" t="s">
        <v>585</v>
      </c>
    </row>
    <row r="264">
      <c r="A264" s="167">
        <v>88.0</v>
      </c>
      <c r="B264" s="167" t="s">
        <v>464</v>
      </c>
      <c r="C264" s="167" t="s">
        <v>422</v>
      </c>
      <c r="D264" s="311" t="s">
        <v>867</v>
      </c>
      <c r="E264" s="385">
        <v>44419.0</v>
      </c>
      <c r="F264" s="386" t="s">
        <v>642</v>
      </c>
      <c r="G264" s="122" t="s">
        <v>466</v>
      </c>
      <c r="H264" s="122">
        <v>1.0</v>
      </c>
      <c r="J264" s="133">
        <v>0.0</v>
      </c>
      <c r="K264" s="366">
        <f>vlookup($D264,Python!$D$2:$F$1000,3,FALSE)</f>
        <v>8.976</v>
      </c>
      <c r="L264" s="133">
        <v>0.0</v>
      </c>
      <c r="N264" s="133" t="s">
        <v>585</v>
      </c>
      <c r="P264" s="122" t="s">
        <v>585</v>
      </c>
      <c r="R264" s="122" t="s">
        <v>585</v>
      </c>
      <c r="T264" s="122" t="s">
        <v>585</v>
      </c>
    </row>
    <row r="265">
      <c r="A265" s="167">
        <v>89.0</v>
      </c>
      <c r="B265" s="371" t="s">
        <v>868</v>
      </c>
      <c r="C265" s="371" t="s">
        <v>422</v>
      </c>
      <c r="D265" s="373" t="s">
        <v>869</v>
      </c>
      <c r="E265" s="396">
        <v>44406.0</v>
      </c>
      <c r="F265" s="397" t="s">
        <v>647</v>
      </c>
      <c r="G265" s="155" t="s">
        <v>92</v>
      </c>
      <c r="H265" s="155">
        <v>1.0</v>
      </c>
      <c r="I265" s="155"/>
      <c r="J265" s="375">
        <v>0.0</v>
      </c>
      <c r="K265" s="366">
        <f>vlookup($D265,Python!$D$2:$F$1000,3,FALSE)</f>
        <v>44.5</v>
      </c>
      <c r="L265" s="375">
        <v>0.0</v>
      </c>
      <c r="N265" s="375" t="s">
        <v>585</v>
      </c>
      <c r="O265" s="155"/>
      <c r="P265" s="155" t="s">
        <v>585</v>
      </c>
      <c r="Q265" s="155"/>
      <c r="R265" s="155" t="s">
        <v>585</v>
      </c>
      <c r="S265" s="155"/>
      <c r="T265" s="155" t="s">
        <v>585</v>
      </c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  <c r="AF265" s="155"/>
    </row>
    <row r="266">
      <c r="A266" s="167">
        <v>90.0</v>
      </c>
      <c r="B266" s="167" t="s">
        <v>870</v>
      </c>
      <c r="C266" s="167" t="s">
        <v>422</v>
      </c>
      <c r="D266" s="311" t="s">
        <v>871</v>
      </c>
      <c r="E266" s="385">
        <v>44407.0</v>
      </c>
      <c r="F266" s="386" t="s">
        <v>647</v>
      </c>
      <c r="G266" s="122" t="s">
        <v>92</v>
      </c>
      <c r="H266" s="122">
        <v>1.0</v>
      </c>
      <c r="J266" s="133">
        <v>0.0</v>
      </c>
      <c r="K266" s="366">
        <f>vlookup($D266,Python!$D$2:$F$1000,3,FALSE)</f>
        <v>32.9</v>
      </c>
      <c r="L266" s="133">
        <v>0.0</v>
      </c>
      <c r="N266" s="133" t="s">
        <v>585</v>
      </c>
      <c r="P266" s="122" t="s">
        <v>585</v>
      </c>
      <c r="R266" s="122" t="s">
        <v>585</v>
      </c>
      <c r="T266" s="122" t="s">
        <v>585</v>
      </c>
    </row>
    <row r="267">
      <c r="A267" s="167">
        <v>91.0</v>
      </c>
      <c r="B267" s="167" t="s">
        <v>872</v>
      </c>
      <c r="C267" s="167" t="s">
        <v>422</v>
      </c>
      <c r="D267" s="311" t="s">
        <v>873</v>
      </c>
      <c r="E267" s="385">
        <v>44419.0</v>
      </c>
      <c r="F267" s="386" t="s">
        <v>647</v>
      </c>
      <c r="G267" s="122" t="s">
        <v>92</v>
      </c>
      <c r="H267" s="122">
        <v>1.0</v>
      </c>
      <c r="J267" s="133">
        <v>0.0</v>
      </c>
      <c r="K267" s="366">
        <f>vlookup($D267,Python!$D$2:$F$1000,3,FALSE)</f>
        <v>196.3</v>
      </c>
      <c r="L267" s="133">
        <v>500000.0</v>
      </c>
      <c r="N267" s="133" t="s">
        <v>585</v>
      </c>
      <c r="P267" s="122" t="s">
        <v>585</v>
      </c>
      <c r="R267" s="122" t="s">
        <v>585</v>
      </c>
      <c r="T267" s="122" t="s">
        <v>585</v>
      </c>
    </row>
    <row r="268">
      <c r="A268" s="167">
        <v>92.0</v>
      </c>
      <c r="B268" s="167" t="s">
        <v>872</v>
      </c>
      <c r="C268" s="167" t="s">
        <v>422</v>
      </c>
      <c r="D268" s="311" t="s">
        <v>874</v>
      </c>
      <c r="E268" s="385">
        <v>44420.0</v>
      </c>
      <c r="F268" s="386" t="s">
        <v>647</v>
      </c>
      <c r="G268" s="122" t="s">
        <v>92</v>
      </c>
      <c r="H268" s="122">
        <v>1.0</v>
      </c>
      <c r="J268" s="133">
        <v>0.0</v>
      </c>
      <c r="K268" s="366">
        <f>vlookup($D268,Python!$D$2:$F$1000,3,FALSE)</f>
        <v>135.1</v>
      </c>
      <c r="L268" s="133">
        <v>500000.0</v>
      </c>
      <c r="N268" s="133" t="s">
        <v>585</v>
      </c>
      <c r="P268" s="122" t="s">
        <v>585</v>
      </c>
      <c r="R268" s="122" t="s">
        <v>585</v>
      </c>
      <c r="T268" s="122" t="s">
        <v>585</v>
      </c>
    </row>
    <row r="269">
      <c r="A269" s="167">
        <v>93.0</v>
      </c>
      <c r="B269" s="167" t="s">
        <v>875</v>
      </c>
      <c r="C269" s="167" t="s">
        <v>422</v>
      </c>
      <c r="D269" s="310" t="s">
        <v>876</v>
      </c>
      <c r="E269" s="385">
        <v>44419.0</v>
      </c>
      <c r="F269" s="386" t="s">
        <v>647</v>
      </c>
      <c r="G269" s="122" t="s">
        <v>92</v>
      </c>
      <c r="H269" s="122">
        <v>1.0</v>
      </c>
      <c r="J269" s="133">
        <v>0.0</v>
      </c>
      <c r="K269" s="366">
        <f>vlookup($D269,Python!$D$2:$F$1000,3,FALSE)</f>
        <v>33.6</v>
      </c>
      <c r="L269" s="133">
        <v>0.0</v>
      </c>
      <c r="N269" s="133" t="s">
        <v>585</v>
      </c>
      <c r="P269" s="122" t="s">
        <v>585</v>
      </c>
      <c r="R269" s="122" t="s">
        <v>585</v>
      </c>
      <c r="T269" s="122" t="s">
        <v>585</v>
      </c>
    </row>
    <row r="270">
      <c r="A270" s="167">
        <v>94.0</v>
      </c>
      <c r="B270" s="167" t="s">
        <v>877</v>
      </c>
      <c r="C270" s="167" t="s">
        <v>422</v>
      </c>
      <c r="D270" s="310" t="s">
        <v>878</v>
      </c>
      <c r="E270" s="385">
        <v>44411.0</v>
      </c>
      <c r="F270" s="386" t="s">
        <v>642</v>
      </c>
      <c r="G270" s="122" t="s">
        <v>92</v>
      </c>
      <c r="H270" s="122">
        <v>1.0</v>
      </c>
      <c r="J270" s="133">
        <v>0.0</v>
      </c>
      <c r="K270" s="366">
        <f>vlookup($D270,Python!$D$2:$F$1000,3,FALSE)</f>
        <v>8.864</v>
      </c>
      <c r="L270" s="133">
        <v>0.0</v>
      </c>
      <c r="N270" s="133" t="s">
        <v>585</v>
      </c>
      <c r="P270" s="122" t="s">
        <v>585</v>
      </c>
      <c r="R270" s="122" t="s">
        <v>585</v>
      </c>
      <c r="T270" s="122" t="s">
        <v>585</v>
      </c>
    </row>
    <row r="271">
      <c r="A271" s="167">
        <v>95.0</v>
      </c>
      <c r="B271" s="167" t="s">
        <v>879</v>
      </c>
      <c r="C271" s="167" t="s">
        <v>422</v>
      </c>
      <c r="D271" s="311" t="s">
        <v>880</v>
      </c>
      <c r="E271" s="385">
        <v>44397.0</v>
      </c>
      <c r="F271" s="386" t="s">
        <v>641</v>
      </c>
      <c r="G271" s="122" t="s">
        <v>92</v>
      </c>
      <c r="H271" s="122">
        <v>1.0</v>
      </c>
      <c r="J271" s="133">
        <v>0.0</v>
      </c>
      <c r="K271" s="366">
        <f>vlookup($D271,Python!$D$2:$F$1000,3,FALSE)</f>
        <v>8.724</v>
      </c>
      <c r="L271" s="133">
        <v>0.0</v>
      </c>
      <c r="N271" s="133" t="s">
        <v>585</v>
      </c>
      <c r="P271" s="122" t="s">
        <v>585</v>
      </c>
      <c r="R271" s="122" t="s">
        <v>585</v>
      </c>
      <c r="T271" s="122" t="s">
        <v>585</v>
      </c>
    </row>
    <row r="272">
      <c r="A272" s="167">
        <v>96.0</v>
      </c>
      <c r="B272" s="167" t="s">
        <v>881</v>
      </c>
      <c r="C272" s="167" t="s">
        <v>422</v>
      </c>
      <c r="D272" s="311" t="s">
        <v>882</v>
      </c>
      <c r="E272" s="385">
        <v>44403.0</v>
      </c>
      <c r="F272" s="386" t="s">
        <v>647</v>
      </c>
      <c r="G272" s="122" t="s">
        <v>92</v>
      </c>
      <c r="H272" s="122">
        <v>1.0</v>
      </c>
      <c r="J272" s="133">
        <v>0.0</v>
      </c>
      <c r="K272" s="366">
        <f>vlookup($D272,Python!$D$2:$F$1000,3,FALSE)</f>
        <v>21.3</v>
      </c>
      <c r="L272" s="133">
        <v>0.0</v>
      </c>
      <c r="N272" s="133" t="s">
        <v>585</v>
      </c>
      <c r="P272" s="122" t="s">
        <v>585</v>
      </c>
      <c r="R272" s="122" t="s">
        <v>585</v>
      </c>
      <c r="T272" s="122" t="s">
        <v>585</v>
      </c>
    </row>
    <row r="273">
      <c r="A273" s="167">
        <v>97.0</v>
      </c>
      <c r="B273" s="167" t="s">
        <v>883</v>
      </c>
      <c r="C273" s="167" t="s">
        <v>422</v>
      </c>
      <c r="D273" s="311" t="s">
        <v>884</v>
      </c>
      <c r="E273" s="385">
        <v>44409.0</v>
      </c>
      <c r="F273" s="386" t="s">
        <v>642</v>
      </c>
      <c r="G273" s="122" t="s">
        <v>92</v>
      </c>
      <c r="H273" s="122">
        <v>1.0</v>
      </c>
      <c r="J273" s="133">
        <v>0.0</v>
      </c>
      <c r="K273" s="366">
        <f>vlookup($D273,Python!$D$2:$F$1000,3,FALSE)</f>
        <v>3200</v>
      </c>
      <c r="L273" s="133">
        <v>1.6E7</v>
      </c>
      <c r="N273" s="133" t="s">
        <v>585</v>
      </c>
      <c r="P273" s="122" t="s">
        <v>585</v>
      </c>
      <c r="R273" s="122" t="s">
        <v>585</v>
      </c>
      <c r="T273" s="122" t="s">
        <v>585</v>
      </c>
    </row>
    <row r="274">
      <c r="A274" s="167">
        <v>98.0</v>
      </c>
      <c r="B274" s="167" t="s">
        <v>883</v>
      </c>
      <c r="C274" s="167" t="s">
        <v>422</v>
      </c>
      <c r="D274" s="311" t="s">
        <v>885</v>
      </c>
      <c r="E274" s="385">
        <v>44412.0</v>
      </c>
      <c r="F274" s="386" t="s">
        <v>642</v>
      </c>
      <c r="G274" s="122" t="s">
        <v>92</v>
      </c>
      <c r="H274" s="122">
        <v>1.0</v>
      </c>
      <c r="J274" s="133">
        <v>0.0</v>
      </c>
      <c r="K274" s="366">
        <f>vlookup($D274,Python!$D$2:$F$1000,3,FALSE)</f>
        <v>677.4</v>
      </c>
      <c r="L274" s="133">
        <v>3000000.0</v>
      </c>
      <c r="N274" s="133" t="s">
        <v>585</v>
      </c>
      <c r="P274" s="122" t="s">
        <v>585</v>
      </c>
      <c r="R274" s="122" t="s">
        <v>585</v>
      </c>
      <c r="T274" s="122" t="s">
        <v>585</v>
      </c>
    </row>
    <row r="275">
      <c r="A275" s="167">
        <v>99.0</v>
      </c>
      <c r="B275" s="167" t="s">
        <v>886</v>
      </c>
      <c r="C275" s="167" t="s">
        <v>422</v>
      </c>
      <c r="D275" s="311" t="s">
        <v>887</v>
      </c>
      <c r="E275" s="385">
        <v>44405.0</v>
      </c>
      <c r="F275" s="386" t="s">
        <v>642</v>
      </c>
      <c r="G275" s="122" t="s">
        <v>92</v>
      </c>
      <c r="H275" s="122">
        <v>1.0</v>
      </c>
      <c r="J275" s="133">
        <v>0.0</v>
      </c>
      <c r="K275" s="366">
        <f>vlookup($D275,Python!$D$2:$F$1000,3,FALSE)</f>
        <v>1400</v>
      </c>
      <c r="L275" s="133">
        <v>7000000.0</v>
      </c>
      <c r="N275" s="133" t="s">
        <v>585</v>
      </c>
      <c r="P275" s="122" t="s">
        <v>585</v>
      </c>
      <c r="R275" s="122" t="s">
        <v>585</v>
      </c>
      <c r="T275" s="122" t="s">
        <v>585</v>
      </c>
    </row>
    <row r="276">
      <c r="A276" s="167">
        <v>100.0</v>
      </c>
      <c r="B276" s="167" t="s">
        <v>886</v>
      </c>
      <c r="C276" s="167" t="s">
        <v>422</v>
      </c>
      <c r="D276" s="311" t="s">
        <v>888</v>
      </c>
      <c r="E276" s="385">
        <v>44415.0</v>
      </c>
      <c r="F276" s="386" t="s">
        <v>642</v>
      </c>
      <c r="G276" s="122" t="s">
        <v>92</v>
      </c>
      <c r="H276" s="122">
        <v>1.0</v>
      </c>
      <c r="J276" s="133">
        <v>0.0</v>
      </c>
      <c r="K276" s="366">
        <f>vlookup($D276,Python!$D$2:$F$1000,3,FALSE)</f>
        <v>1900</v>
      </c>
      <c r="L276" s="133">
        <v>9500000.0</v>
      </c>
      <c r="N276" s="133" t="s">
        <v>585</v>
      </c>
      <c r="P276" s="122" t="s">
        <v>585</v>
      </c>
      <c r="R276" s="122" t="s">
        <v>585</v>
      </c>
      <c r="T276" s="122" t="s">
        <v>585</v>
      </c>
    </row>
    <row r="277">
      <c r="A277" s="167">
        <v>101.0</v>
      </c>
      <c r="B277" s="167" t="s">
        <v>889</v>
      </c>
      <c r="C277" s="167" t="s">
        <v>422</v>
      </c>
      <c r="D277" s="311" t="s">
        <v>890</v>
      </c>
      <c r="E277" s="385">
        <v>44417.0</v>
      </c>
      <c r="F277" s="386" t="s">
        <v>642</v>
      </c>
      <c r="G277" s="122" t="s">
        <v>92</v>
      </c>
      <c r="H277" s="122">
        <v>1.0</v>
      </c>
      <c r="J277" s="133">
        <v>0.0</v>
      </c>
      <c r="K277" s="366">
        <f>vlookup($D277,Python!$D$2:$F$1000,3,FALSE)</f>
        <v>526.2</v>
      </c>
      <c r="L277" s="133">
        <v>2500000.0</v>
      </c>
      <c r="N277" s="133" t="s">
        <v>585</v>
      </c>
      <c r="P277" s="122" t="s">
        <v>585</v>
      </c>
      <c r="R277" s="122" t="s">
        <v>585</v>
      </c>
      <c r="T277" s="122" t="s">
        <v>585</v>
      </c>
    </row>
    <row r="278">
      <c r="A278" s="167">
        <v>102.0</v>
      </c>
      <c r="B278" s="167" t="s">
        <v>889</v>
      </c>
      <c r="C278" s="167" t="s">
        <v>422</v>
      </c>
      <c r="D278" s="310" t="s">
        <v>891</v>
      </c>
      <c r="E278" s="385">
        <v>44422.0</v>
      </c>
      <c r="F278" s="386" t="s">
        <v>642</v>
      </c>
      <c r="G278" s="122" t="s">
        <v>92</v>
      </c>
      <c r="H278" s="122">
        <v>1.0</v>
      </c>
      <c r="J278" s="133">
        <v>0.0</v>
      </c>
      <c r="K278" s="366">
        <f>vlookup($D278,Python!$D$2:$F$1000,3,FALSE)</f>
        <v>106.5</v>
      </c>
      <c r="L278" s="133">
        <v>500000.0</v>
      </c>
      <c r="N278" s="133" t="s">
        <v>585</v>
      </c>
      <c r="P278" s="122" t="s">
        <v>585</v>
      </c>
      <c r="R278" s="122" t="s">
        <v>585</v>
      </c>
      <c r="T278" s="122" t="s">
        <v>585</v>
      </c>
    </row>
    <row r="279">
      <c r="A279" s="167">
        <v>103.0</v>
      </c>
      <c r="B279" s="167" t="s">
        <v>892</v>
      </c>
      <c r="C279" s="167" t="s">
        <v>422</v>
      </c>
      <c r="D279" s="311" t="s">
        <v>893</v>
      </c>
      <c r="E279" s="385">
        <v>44405.0</v>
      </c>
      <c r="F279" s="386" t="s">
        <v>647</v>
      </c>
      <c r="G279" s="122" t="s">
        <v>92</v>
      </c>
      <c r="H279" s="122">
        <v>1.0</v>
      </c>
      <c r="J279" s="133">
        <v>0.0</v>
      </c>
      <c r="K279" s="366">
        <f>vlookup($D279,Python!$D$2:$F$1000,3,FALSE)</f>
        <v>97.1</v>
      </c>
      <c r="L279" s="133">
        <v>0.0</v>
      </c>
      <c r="N279" s="133" t="s">
        <v>585</v>
      </c>
      <c r="P279" s="122" t="s">
        <v>585</v>
      </c>
      <c r="R279" s="122" t="s">
        <v>585</v>
      </c>
      <c r="T279" s="122" t="s">
        <v>585</v>
      </c>
    </row>
    <row r="280">
      <c r="A280" s="167">
        <v>104.0</v>
      </c>
      <c r="B280" s="167" t="s">
        <v>604</v>
      </c>
      <c r="C280" s="167" t="s">
        <v>422</v>
      </c>
      <c r="D280" s="311" t="s">
        <v>894</v>
      </c>
      <c r="E280" s="385">
        <v>44417.0</v>
      </c>
      <c r="F280" s="386" t="s">
        <v>642</v>
      </c>
      <c r="G280" s="122" t="s">
        <v>92</v>
      </c>
      <c r="H280" s="122">
        <v>1.0</v>
      </c>
      <c r="J280" s="133">
        <v>0.0</v>
      </c>
      <c r="K280" s="366">
        <f>vlookup($D280,Python!$D$2:$F$1000,3,FALSE)</f>
        <v>3800</v>
      </c>
      <c r="L280" s="133">
        <v>1.9E7</v>
      </c>
      <c r="N280" s="133" t="s">
        <v>585</v>
      </c>
      <c r="P280" s="122" t="s">
        <v>585</v>
      </c>
      <c r="R280" s="122" t="s">
        <v>585</v>
      </c>
      <c r="T280" s="122" t="s">
        <v>585</v>
      </c>
    </row>
    <row r="281">
      <c r="A281" s="167">
        <v>105.0</v>
      </c>
      <c r="B281" s="167" t="s">
        <v>611</v>
      </c>
      <c r="C281" s="167" t="s">
        <v>422</v>
      </c>
      <c r="D281" s="311" t="s">
        <v>895</v>
      </c>
      <c r="E281" s="385">
        <v>44417.0</v>
      </c>
      <c r="F281" s="386" t="s">
        <v>647</v>
      </c>
      <c r="G281" s="122" t="s">
        <v>92</v>
      </c>
      <c r="H281" s="122">
        <v>1.0</v>
      </c>
      <c r="J281" s="133">
        <v>0.0</v>
      </c>
      <c r="K281" s="366">
        <f>vlookup($D281,Python!$D$2:$F$1000,3,FALSE)</f>
        <v>432.4</v>
      </c>
      <c r="L281" s="133">
        <v>2000000.0</v>
      </c>
      <c r="N281" s="133" t="s">
        <v>585</v>
      </c>
      <c r="P281" s="122" t="s">
        <v>585</v>
      </c>
      <c r="R281" s="122" t="s">
        <v>585</v>
      </c>
      <c r="T281" s="122" t="s">
        <v>585</v>
      </c>
    </row>
    <row r="282">
      <c r="A282" s="167">
        <v>106.0</v>
      </c>
      <c r="B282" s="371" t="s">
        <v>896</v>
      </c>
      <c r="C282" s="371" t="s">
        <v>418</v>
      </c>
      <c r="D282" s="398" t="s">
        <v>897</v>
      </c>
      <c r="E282" s="396">
        <v>44420.0</v>
      </c>
      <c r="F282" s="397" t="s">
        <v>647</v>
      </c>
      <c r="G282" s="155" t="s">
        <v>92</v>
      </c>
      <c r="H282" s="155">
        <v>1.0</v>
      </c>
      <c r="I282" s="155"/>
      <c r="J282" s="375">
        <v>0.0</v>
      </c>
      <c r="K282" s="366">
        <f>vlookup($D282,Python!$D$2:$F$1000,3,FALSE)</f>
        <v>3.6</v>
      </c>
      <c r="L282" s="375">
        <v>0.0</v>
      </c>
      <c r="N282" s="375" t="s">
        <v>585</v>
      </c>
      <c r="O282" s="155"/>
      <c r="P282" s="155" t="s">
        <v>585</v>
      </c>
      <c r="Q282" s="155"/>
      <c r="R282" s="155" t="s">
        <v>585</v>
      </c>
      <c r="S282" s="155"/>
      <c r="T282" s="155" t="s">
        <v>585</v>
      </c>
      <c r="U282" s="155"/>
      <c r="V282" s="155"/>
      <c r="W282" s="155"/>
      <c r="X282" s="155"/>
      <c r="Y282" s="155"/>
      <c r="Z282" s="155"/>
      <c r="AA282" s="155"/>
      <c r="AB282" s="155"/>
      <c r="AC282" s="155"/>
      <c r="AD282" s="155"/>
      <c r="AE282" s="155"/>
      <c r="AF282" s="155"/>
    </row>
    <row r="283">
      <c r="A283" s="167">
        <v>107.0</v>
      </c>
      <c r="B283" s="167" t="s">
        <v>898</v>
      </c>
      <c r="C283" s="167" t="s">
        <v>422</v>
      </c>
      <c r="D283" s="311" t="s">
        <v>899</v>
      </c>
      <c r="E283" s="385">
        <v>44426.0</v>
      </c>
      <c r="F283" s="386" t="s">
        <v>641</v>
      </c>
      <c r="G283" s="122" t="s">
        <v>466</v>
      </c>
      <c r="H283" s="122">
        <v>1.0</v>
      </c>
      <c r="J283" s="133">
        <v>0.0</v>
      </c>
      <c r="K283" s="366">
        <f>vlookup($D283,Python!$D$2:$F$1000,3,FALSE)</f>
        <v>5.285</v>
      </c>
      <c r="L283" s="133">
        <v>0.0</v>
      </c>
      <c r="N283" s="133" t="s">
        <v>585</v>
      </c>
      <c r="P283" s="122" t="s">
        <v>585</v>
      </c>
      <c r="R283" s="122" t="s">
        <v>585</v>
      </c>
      <c r="T283" s="122" t="s">
        <v>585</v>
      </c>
    </row>
    <row r="284">
      <c r="A284" s="371">
        <v>116.0</v>
      </c>
      <c r="B284" s="371" t="s">
        <v>900</v>
      </c>
      <c r="C284" s="371" t="s">
        <v>422</v>
      </c>
      <c r="D284" s="373" t="s">
        <v>901</v>
      </c>
      <c r="E284" s="396">
        <v>44404.0</v>
      </c>
      <c r="F284" s="397" t="s">
        <v>642</v>
      </c>
      <c r="G284" s="155" t="s">
        <v>21</v>
      </c>
      <c r="H284" s="155">
        <v>1.0</v>
      </c>
      <c r="I284" s="155"/>
      <c r="J284" s="375">
        <v>0.0</v>
      </c>
      <c r="K284" s="389">
        <f>vlookup($D284,Python!$D$2:$F$1000,3,FALSE)</f>
        <v>4700</v>
      </c>
      <c r="L284" s="375">
        <v>2.35E7</v>
      </c>
      <c r="M284" s="155"/>
      <c r="N284" s="375" t="s">
        <v>585</v>
      </c>
      <c r="O284" s="155"/>
      <c r="P284" s="155" t="s">
        <v>585</v>
      </c>
      <c r="Q284" s="155"/>
      <c r="R284" s="155" t="s">
        <v>585</v>
      </c>
      <c r="S284" s="155"/>
      <c r="T284" s="155" t="s">
        <v>585</v>
      </c>
      <c r="U284" s="155"/>
      <c r="V284" s="155"/>
      <c r="W284" s="155"/>
      <c r="X284" s="155"/>
      <c r="Y284" s="155"/>
      <c r="Z284" s="155"/>
      <c r="AA284" s="155"/>
      <c r="AB284" s="155"/>
      <c r="AC284" s="155"/>
      <c r="AD284" s="155"/>
      <c r="AE284" s="155"/>
      <c r="AF284" s="155"/>
    </row>
    <row r="285">
      <c r="A285" s="167">
        <v>117.0</v>
      </c>
      <c r="B285" s="167" t="s">
        <v>900</v>
      </c>
      <c r="C285" s="167" t="s">
        <v>422</v>
      </c>
      <c r="D285" s="311" t="s">
        <v>902</v>
      </c>
      <c r="E285" s="385">
        <v>44405.0</v>
      </c>
      <c r="F285" s="386" t="s">
        <v>642</v>
      </c>
      <c r="G285" s="122" t="s">
        <v>21</v>
      </c>
      <c r="H285" s="122">
        <v>1.0</v>
      </c>
      <c r="J285" s="133">
        <v>0.0</v>
      </c>
      <c r="K285" s="366">
        <f>vlookup($D285,Python!$D$2:$F$1000,3,FALSE)</f>
        <v>645.6</v>
      </c>
      <c r="L285" s="133">
        <v>3000000.0</v>
      </c>
      <c r="N285" s="133" t="s">
        <v>585</v>
      </c>
      <c r="P285" s="122" t="s">
        <v>585</v>
      </c>
      <c r="R285" s="122" t="s">
        <v>585</v>
      </c>
      <c r="T285" s="122" t="s">
        <v>585</v>
      </c>
    </row>
    <row r="286">
      <c r="A286" s="167">
        <v>118.0</v>
      </c>
      <c r="B286" s="167" t="s">
        <v>900</v>
      </c>
      <c r="C286" s="167" t="s">
        <v>422</v>
      </c>
      <c r="D286" s="310" t="s">
        <v>903</v>
      </c>
      <c r="E286" s="385">
        <v>44406.0</v>
      </c>
      <c r="F286" s="386" t="s">
        <v>642</v>
      </c>
      <c r="G286" s="122" t="s">
        <v>21</v>
      </c>
      <c r="H286" s="122">
        <v>1.0</v>
      </c>
      <c r="J286" s="133">
        <v>0.0</v>
      </c>
      <c r="K286" s="366">
        <f>vlookup($D286,Python!$D$2:$F$1000,3,FALSE)</f>
        <v>1900</v>
      </c>
      <c r="L286" s="133">
        <v>9500000.0</v>
      </c>
      <c r="N286" s="133" t="s">
        <v>585</v>
      </c>
      <c r="P286" s="122" t="s">
        <v>585</v>
      </c>
      <c r="R286" s="122" t="s">
        <v>585</v>
      </c>
      <c r="T286" s="122" t="s">
        <v>585</v>
      </c>
    </row>
    <row r="287">
      <c r="A287" s="167">
        <v>119.0</v>
      </c>
      <c r="B287" s="167" t="s">
        <v>900</v>
      </c>
      <c r="C287" s="167" t="s">
        <v>422</v>
      </c>
      <c r="D287" s="311" t="s">
        <v>904</v>
      </c>
      <c r="E287" s="385">
        <v>44407.0</v>
      </c>
      <c r="F287" s="386" t="s">
        <v>642</v>
      </c>
      <c r="G287" s="122" t="s">
        <v>21</v>
      </c>
      <c r="H287" s="122">
        <v>1.0</v>
      </c>
      <c r="J287" s="133">
        <v>0.0</v>
      </c>
      <c r="K287" s="366">
        <f>vlookup($D287,Python!$D$2:$F$1000,3,FALSE)</f>
        <v>4000</v>
      </c>
      <c r="L287" s="133">
        <v>2.0E7</v>
      </c>
      <c r="N287" s="133" t="s">
        <v>585</v>
      </c>
      <c r="P287" s="122" t="s">
        <v>585</v>
      </c>
      <c r="R287" s="122" t="s">
        <v>585</v>
      </c>
      <c r="T287" s="122" t="s">
        <v>585</v>
      </c>
    </row>
    <row r="288">
      <c r="A288" s="167">
        <v>120.0</v>
      </c>
      <c r="B288" s="167" t="s">
        <v>900</v>
      </c>
      <c r="C288" s="167" t="s">
        <v>422</v>
      </c>
      <c r="D288" s="311" t="s">
        <v>905</v>
      </c>
      <c r="E288" s="399">
        <v>44408.0</v>
      </c>
      <c r="F288" s="386" t="s">
        <v>642</v>
      </c>
      <c r="G288" s="122" t="s">
        <v>21</v>
      </c>
      <c r="H288" s="122">
        <v>1.0</v>
      </c>
      <c r="J288" s="133">
        <v>0.0</v>
      </c>
      <c r="K288" s="366">
        <f>vlookup($D288,Python!$D$2:$F$1000,3,FALSE)</f>
        <v>3200</v>
      </c>
      <c r="L288" s="133">
        <v>1.6E7</v>
      </c>
      <c r="N288" s="133" t="s">
        <v>585</v>
      </c>
      <c r="P288" s="122" t="s">
        <v>585</v>
      </c>
      <c r="R288" s="122" t="s">
        <v>585</v>
      </c>
      <c r="T288" s="122" t="s">
        <v>585</v>
      </c>
    </row>
    <row r="289">
      <c r="A289" s="167">
        <v>121.0</v>
      </c>
      <c r="B289" s="167" t="s">
        <v>900</v>
      </c>
      <c r="C289" s="167" t="s">
        <v>422</v>
      </c>
      <c r="D289" s="311" t="s">
        <v>906</v>
      </c>
      <c r="E289" s="385">
        <v>44409.0</v>
      </c>
      <c r="F289" s="386" t="s">
        <v>642</v>
      </c>
      <c r="G289" s="122" t="s">
        <v>21</v>
      </c>
      <c r="H289" s="122">
        <v>1.0</v>
      </c>
      <c r="J289" s="133">
        <v>0.0</v>
      </c>
      <c r="K289" s="366">
        <f>vlookup($D289,Python!$D$2:$F$1000,3,FALSE)</f>
        <v>2100</v>
      </c>
      <c r="L289" s="133">
        <v>1.05E7</v>
      </c>
      <c r="N289" s="133" t="s">
        <v>585</v>
      </c>
      <c r="P289" s="122" t="s">
        <v>585</v>
      </c>
      <c r="R289" s="122" t="s">
        <v>585</v>
      </c>
      <c r="T289" s="122" t="s">
        <v>585</v>
      </c>
    </row>
    <row r="290">
      <c r="A290" s="167">
        <v>122.0</v>
      </c>
      <c r="B290" s="167" t="s">
        <v>900</v>
      </c>
      <c r="C290" s="167" t="s">
        <v>422</v>
      </c>
      <c r="D290" s="311" t="s">
        <v>907</v>
      </c>
      <c r="E290" s="385">
        <v>44379.0</v>
      </c>
      <c r="F290" s="386" t="s">
        <v>642</v>
      </c>
      <c r="G290" s="122" t="s">
        <v>21</v>
      </c>
      <c r="H290" s="122">
        <v>1.0</v>
      </c>
      <c r="J290" s="133">
        <v>0.0</v>
      </c>
      <c r="K290" s="366">
        <f>vlookup($D290,Python!$D$2:$F$1000,3,FALSE)</f>
        <v>2900</v>
      </c>
      <c r="L290" s="133">
        <v>1.45E7</v>
      </c>
      <c r="N290" s="133" t="s">
        <v>585</v>
      </c>
      <c r="P290" s="122" t="s">
        <v>585</v>
      </c>
      <c r="R290" s="122" t="s">
        <v>585</v>
      </c>
      <c r="T290" s="122" t="s">
        <v>585</v>
      </c>
    </row>
    <row r="291">
      <c r="A291" s="167">
        <v>123.0</v>
      </c>
      <c r="B291" s="167" t="s">
        <v>900</v>
      </c>
      <c r="C291" s="167" t="s">
        <v>422</v>
      </c>
      <c r="D291" s="311" t="s">
        <v>908</v>
      </c>
      <c r="E291" s="385">
        <v>44385.0</v>
      </c>
      <c r="F291" s="386" t="s">
        <v>642</v>
      </c>
      <c r="G291" s="122" t="s">
        <v>21</v>
      </c>
      <c r="H291" s="122">
        <v>1.0</v>
      </c>
      <c r="J291" s="133">
        <v>0.0</v>
      </c>
      <c r="K291" s="366">
        <f>vlookup($D291,Python!$D$2:$F$1000,3,FALSE)</f>
        <v>3500</v>
      </c>
      <c r="L291" s="133">
        <v>1.75E7</v>
      </c>
      <c r="N291" s="133" t="s">
        <v>585</v>
      </c>
      <c r="P291" s="122" t="s">
        <v>585</v>
      </c>
      <c r="R291" s="122" t="s">
        <v>585</v>
      </c>
      <c r="T291" s="122" t="s">
        <v>585</v>
      </c>
    </row>
    <row r="292">
      <c r="A292" s="167">
        <v>124.0</v>
      </c>
      <c r="B292" s="167" t="s">
        <v>900</v>
      </c>
      <c r="C292" s="167" t="s">
        <v>422</v>
      </c>
      <c r="D292" s="310" t="s">
        <v>909</v>
      </c>
      <c r="E292" s="385">
        <v>44391.0</v>
      </c>
      <c r="F292" s="386" t="s">
        <v>642</v>
      </c>
      <c r="G292" s="122" t="s">
        <v>21</v>
      </c>
      <c r="H292" s="122">
        <v>1.0</v>
      </c>
      <c r="J292" s="133">
        <v>0.0</v>
      </c>
      <c r="K292" s="366">
        <f>vlookup($D292,Python!$D$2:$F$1000,3,FALSE)</f>
        <v>6100</v>
      </c>
      <c r="L292" s="133">
        <v>3.05E7</v>
      </c>
      <c r="N292" s="133" t="s">
        <v>585</v>
      </c>
      <c r="P292" s="122" t="s">
        <v>585</v>
      </c>
      <c r="R292" s="122" t="s">
        <v>585</v>
      </c>
      <c r="T292" s="122" t="s">
        <v>585</v>
      </c>
    </row>
    <row r="293">
      <c r="A293" s="167">
        <v>125.0</v>
      </c>
      <c r="B293" s="167" t="s">
        <v>910</v>
      </c>
      <c r="C293" s="167" t="s">
        <v>422</v>
      </c>
      <c r="D293" s="311" t="s">
        <v>911</v>
      </c>
      <c r="E293" s="385">
        <v>44425.0</v>
      </c>
      <c r="F293" s="386" t="s">
        <v>642</v>
      </c>
      <c r="G293" s="122" t="s">
        <v>21</v>
      </c>
      <c r="H293" s="122">
        <v>1.0</v>
      </c>
      <c r="J293" s="133">
        <v>0.0</v>
      </c>
      <c r="K293" s="366">
        <f>vlookup($D293,Python!$D$2:$F$1000,3,FALSE)</f>
        <v>1400</v>
      </c>
      <c r="L293" s="133">
        <v>7000000.0</v>
      </c>
      <c r="N293" s="133" t="s">
        <v>585</v>
      </c>
      <c r="P293" s="122" t="s">
        <v>585</v>
      </c>
      <c r="R293" s="122" t="s">
        <v>585</v>
      </c>
      <c r="T293" s="122" t="s">
        <v>585</v>
      </c>
    </row>
    <row r="294">
      <c r="A294" s="167">
        <v>126.0</v>
      </c>
      <c r="B294" s="167" t="s">
        <v>910</v>
      </c>
      <c r="C294" s="167" t="s">
        <v>422</v>
      </c>
      <c r="D294" s="311" t="s">
        <v>912</v>
      </c>
      <c r="E294" s="385">
        <v>44425.0</v>
      </c>
      <c r="F294" s="386" t="s">
        <v>642</v>
      </c>
      <c r="G294" s="122" t="s">
        <v>21</v>
      </c>
      <c r="H294" s="122">
        <v>1.0</v>
      </c>
      <c r="J294" s="133">
        <v>0.0</v>
      </c>
      <c r="K294" s="366">
        <f>vlookup($D294,Python!$D$2:$F$1000,3,FALSE)</f>
        <v>2500</v>
      </c>
      <c r="L294" s="133">
        <v>1.25E7</v>
      </c>
      <c r="N294" s="133" t="s">
        <v>585</v>
      </c>
      <c r="P294" s="122" t="s">
        <v>585</v>
      </c>
      <c r="R294" s="122" t="s">
        <v>585</v>
      </c>
      <c r="T294" s="122" t="s">
        <v>585</v>
      </c>
    </row>
    <row r="295">
      <c r="A295" s="167">
        <v>127.0</v>
      </c>
      <c r="B295" s="167" t="s">
        <v>913</v>
      </c>
      <c r="C295" s="167" t="s">
        <v>609</v>
      </c>
      <c r="D295" s="311" t="s">
        <v>914</v>
      </c>
      <c r="E295" s="385">
        <v>44412.0</v>
      </c>
      <c r="F295" s="386" t="s">
        <v>647</v>
      </c>
      <c r="G295" s="122" t="s">
        <v>21</v>
      </c>
      <c r="H295" s="122">
        <v>1.0</v>
      </c>
      <c r="J295" s="133">
        <v>0.0</v>
      </c>
      <c r="K295" s="366" t="str">
        <f>vlookup($D295,Python!$D$2:$F$1000,3,FALSE)</f>
        <v/>
      </c>
      <c r="L295" s="133" t="s">
        <v>585</v>
      </c>
      <c r="N295" s="133" t="s">
        <v>585</v>
      </c>
      <c r="P295" s="122" t="s">
        <v>585</v>
      </c>
      <c r="R295" s="122" t="s">
        <v>585</v>
      </c>
      <c r="T295" s="122" t="s">
        <v>585</v>
      </c>
    </row>
    <row r="296">
      <c r="A296" s="167">
        <v>128.0</v>
      </c>
      <c r="B296" s="167" t="s">
        <v>913</v>
      </c>
      <c r="C296" s="167" t="s">
        <v>609</v>
      </c>
      <c r="D296" s="311" t="s">
        <v>915</v>
      </c>
      <c r="E296" s="385">
        <v>44416.0</v>
      </c>
      <c r="F296" s="386" t="s">
        <v>647</v>
      </c>
      <c r="G296" s="122" t="s">
        <v>21</v>
      </c>
      <c r="H296" s="122">
        <v>1.0</v>
      </c>
      <c r="J296" s="133">
        <v>0.0</v>
      </c>
      <c r="K296" s="366" t="str">
        <f>vlookup($D296,Python!$D$2:$F$1000,3,FALSE)</f>
        <v/>
      </c>
      <c r="L296" s="133" t="s">
        <v>585</v>
      </c>
      <c r="N296" s="133" t="s">
        <v>585</v>
      </c>
      <c r="P296" s="122" t="s">
        <v>585</v>
      </c>
      <c r="R296" s="122" t="s">
        <v>585</v>
      </c>
      <c r="T296" s="122" t="s">
        <v>585</v>
      </c>
    </row>
    <row r="297">
      <c r="A297" s="167">
        <v>129.0</v>
      </c>
      <c r="B297" s="167" t="s">
        <v>913</v>
      </c>
      <c r="C297" s="167" t="s">
        <v>609</v>
      </c>
      <c r="D297" s="311" t="s">
        <v>916</v>
      </c>
      <c r="E297" s="385">
        <v>44422.0</v>
      </c>
      <c r="F297" s="386" t="s">
        <v>647</v>
      </c>
      <c r="G297" s="122" t="s">
        <v>21</v>
      </c>
      <c r="H297" s="122">
        <v>1.0</v>
      </c>
      <c r="J297" s="133">
        <v>0.0</v>
      </c>
      <c r="K297" s="366" t="str">
        <f>vlookup($D297,Python!$D$2:$F$1000,3,FALSE)</f>
        <v/>
      </c>
      <c r="L297" s="133" t="s">
        <v>585</v>
      </c>
      <c r="N297" s="133" t="s">
        <v>585</v>
      </c>
      <c r="P297" s="122" t="s">
        <v>585</v>
      </c>
      <c r="R297" s="122" t="s">
        <v>585</v>
      </c>
      <c r="T297" s="122" t="s">
        <v>585</v>
      </c>
    </row>
    <row r="298">
      <c r="A298" s="167">
        <v>130.0</v>
      </c>
      <c r="B298" s="167" t="s">
        <v>539</v>
      </c>
      <c r="C298" s="167" t="s">
        <v>418</v>
      </c>
      <c r="D298" s="311" t="s">
        <v>917</v>
      </c>
      <c r="E298" s="385">
        <v>44423.0</v>
      </c>
      <c r="F298" s="386" t="s">
        <v>647</v>
      </c>
      <c r="G298" s="122" t="s">
        <v>21</v>
      </c>
      <c r="H298" s="122">
        <v>1.0</v>
      </c>
      <c r="J298" s="133">
        <v>0.0</v>
      </c>
      <c r="K298" s="366">
        <f>vlookup($D298,Python!$D$2:$F$1000,3,FALSE)</f>
        <v>90</v>
      </c>
      <c r="L298" s="133">
        <v>1000000.0</v>
      </c>
      <c r="N298" s="133" t="s">
        <v>585</v>
      </c>
      <c r="P298" s="122" t="s">
        <v>585</v>
      </c>
      <c r="R298" s="122" t="s">
        <v>585</v>
      </c>
      <c r="T298" s="122" t="s">
        <v>585</v>
      </c>
    </row>
    <row r="299">
      <c r="A299" s="167">
        <v>131.0</v>
      </c>
      <c r="B299" s="167" t="s">
        <v>534</v>
      </c>
      <c r="C299" s="167" t="s">
        <v>418</v>
      </c>
      <c r="D299" s="310" t="s">
        <v>918</v>
      </c>
      <c r="E299" s="385">
        <v>44416.0</v>
      </c>
      <c r="F299" s="386" t="s">
        <v>641</v>
      </c>
      <c r="G299" s="122" t="s">
        <v>21</v>
      </c>
      <c r="H299" s="122">
        <v>1.0</v>
      </c>
      <c r="J299" s="133">
        <v>0.0</v>
      </c>
      <c r="K299" s="366">
        <f>vlookup($D299,Python!$D$2:$F$1000,3,FALSE)</f>
        <v>102</v>
      </c>
      <c r="L299" s="133">
        <v>2000000.0</v>
      </c>
      <c r="N299" s="133" t="s">
        <v>585</v>
      </c>
      <c r="P299" s="122" t="s">
        <v>585</v>
      </c>
      <c r="R299" s="122" t="s">
        <v>585</v>
      </c>
      <c r="T299" s="122" t="s">
        <v>585</v>
      </c>
    </row>
    <row r="300">
      <c r="A300" s="167">
        <v>132.0</v>
      </c>
      <c r="B300" s="167" t="s">
        <v>534</v>
      </c>
      <c r="C300" s="167" t="s">
        <v>418</v>
      </c>
      <c r="D300" s="311" t="s">
        <v>919</v>
      </c>
      <c r="E300" s="385">
        <v>44422.0</v>
      </c>
      <c r="F300" s="386" t="s">
        <v>641</v>
      </c>
      <c r="G300" s="122" t="s">
        <v>21</v>
      </c>
      <c r="H300" s="122">
        <v>1.0</v>
      </c>
      <c r="J300" s="133">
        <v>0.0</v>
      </c>
      <c r="K300" s="366">
        <f>vlookup($D300,Python!$D$2:$F$1000,3,FALSE)</f>
        <v>50</v>
      </c>
      <c r="L300" s="133">
        <v>1000000.0</v>
      </c>
      <c r="N300" s="133" t="s">
        <v>585</v>
      </c>
      <c r="P300" s="122" t="s">
        <v>585</v>
      </c>
      <c r="R300" s="122" t="s">
        <v>585</v>
      </c>
      <c r="T300" s="122" t="s">
        <v>585</v>
      </c>
    </row>
    <row r="301">
      <c r="A301" s="167">
        <v>133.0</v>
      </c>
      <c r="B301" s="167" t="s">
        <v>920</v>
      </c>
      <c r="C301" s="167" t="s">
        <v>422</v>
      </c>
      <c r="D301" s="400" t="s">
        <v>921</v>
      </c>
      <c r="E301" s="385">
        <v>44403.0</v>
      </c>
      <c r="F301" s="386" t="s">
        <v>642</v>
      </c>
      <c r="G301" s="122" t="s">
        <v>922</v>
      </c>
      <c r="H301" s="122">
        <v>1.0</v>
      </c>
      <c r="J301" s="133">
        <v>0.0</v>
      </c>
      <c r="K301" s="366">
        <f>vlookup($D301,Python!$D$2:$F$1000,3,FALSE)</f>
        <v>1100</v>
      </c>
      <c r="L301" s="133">
        <v>5500000.0</v>
      </c>
      <c r="N301" s="133" t="s">
        <v>585</v>
      </c>
      <c r="P301" s="122" t="s">
        <v>585</v>
      </c>
      <c r="R301" s="122" t="s">
        <v>585</v>
      </c>
      <c r="T301" s="122" t="s">
        <v>585</v>
      </c>
    </row>
    <row r="302">
      <c r="A302" s="167">
        <v>134.0</v>
      </c>
      <c r="B302" s="167" t="s">
        <v>920</v>
      </c>
      <c r="C302" s="167" t="s">
        <v>422</v>
      </c>
      <c r="D302" s="401" t="s">
        <v>923</v>
      </c>
      <c r="E302" s="385">
        <v>44422.0</v>
      </c>
      <c r="F302" s="386" t="s">
        <v>642</v>
      </c>
      <c r="G302" s="122" t="s">
        <v>922</v>
      </c>
      <c r="H302" s="122">
        <v>1.0</v>
      </c>
      <c r="J302" s="133">
        <v>0.0</v>
      </c>
      <c r="K302" s="366">
        <f>vlookup($D302,Python!$D$2:$F$1000,3,FALSE)</f>
        <v>116.7</v>
      </c>
      <c r="L302" s="133">
        <v>500000.0</v>
      </c>
      <c r="N302" s="133" t="s">
        <v>585</v>
      </c>
      <c r="P302" s="122" t="s">
        <v>585</v>
      </c>
      <c r="R302" s="122" t="s">
        <v>585</v>
      </c>
      <c r="T302" s="122" t="s">
        <v>585</v>
      </c>
    </row>
    <row r="303">
      <c r="A303" s="167">
        <v>135.0</v>
      </c>
      <c r="B303" s="167" t="s">
        <v>924</v>
      </c>
      <c r="C303" s="167" t="s">
        <v>422</v>
      </c>
      <c r="D303" s="402" t="s">
        <v>925</v>
      </c>
      <c r="E303" s="403">
        <v>44406.0</v>
      </c>
      <c r="F303" s="386" t="s">
        <v>642</v>
      </c>
      <c r="G303" s="122" t="s">
        <v>926</v>
      </c>
      <c r="H303" s="122">
        <v>1.0</v>
      </c>
      <c r="J303" s="133">
        <v>0.0</v>
      </c>
      <c r="K303" s="366">
        <f>vlookup($D303,Python!$D$2:$F$1000,3,FALSE)</f>
        <v>1100</v>
      </c>
      <c r="L303" s="133">
        <v>5500000.0</v>
      </c>
      <c r="N303" s="133" t="s">
        <v>585</v>
      </c>
      <c r="P303" s="122" t="s">
        <v>585</v>
      </c>
      <c r="R303" s="122" t="s">
        <v>585</v>
      </c>
      <c r="T303" s="122" t="s">
        <v>585</v>
      </c>
    </row>
    <row r="304">
      <c r="A304" s="167">
        <v>136.0</v>
      </c>
      <c r="B304" s="167" t="s">
        <v>924</v>
      </c>
      <c r="C304" s="167" t="s">
        <v>422</v>
      </c>
      <c r="D304" s="402" t="s">
        <v>927</v>
      </c>
      <c r="E304" s="403">
        <v>44407.0</v>
      </c>
      <c r="F304" s="386" t="s">
        <v>642</v>
      </c>
      <c r="G304" s="122" t="s">
        <v>926</v>
      </c>
      <c r="H304" s="122">
        <v>1.0</v>
      </c>
      <c r="J304" s="133">
        <v>0.0</v>
      </c>
      <c r="K304" s="366">
        <f>vlookup($D304,Python!$D$2:$F$1000,3,FALSE)</f>
        <v>55.6</v>
      </c>
      <c r="L304" s="133">
        <v>0.0</v>
      </c>
      <c r="N304" s="133" t="s">
        <v>585</v>
      </c>
      <c r="P304" s="122" t="s">
        <v>585</v>
      </c>
      <c r="R304" s="122" t="s">
        <v>585</v>
      </c>
      <c r="T304" s="122" t="s">
        <v>585</v>
      </c>
    </row>
    <row r="305">
      <c r="A305" s="167">
        <v>137.0</v>
      </c>
      <c r="B305" s="167" t="s">
        <v>924</v>
      </c>
      <c r="C305" s="167" t="s">
        <v>422</v>
      </c>
      <c r="D305" s="402" t="s">
        <v>1884</v>
      </c>
      <c r="E305" s="403">
        <v>44408.0</v>
      </c>
      <c r="F305" s="386" t="s">
        <v>642</v>
      </c>
      <c r="G305" s="122" t="s">
        <v>926</v>
      </c>
      <c r="H305" s="122">
        <v>1.0</v>
      </c>
      <c r="J305" s="133">
        <v>0.0</v>
      </c>
      <c r="K305" s="366">
        <f>vlookup($D305,Python!$D$2:$F$1000,3,FALSE)</f>
        <v>125.8</v>
      </c>
      <c r="L305" s="133">
        <v>500000.0</v>
      </c>
      <c r="N305" s="133" t="s">
        <v>585</v>
      </c>
      <c r="P305" s="122" t="s">
        <v>585</v>
      </c>
      <c r="R305" s="122" t="s">
        <v>585</v>
      </c>
      <c r="T305" s="122" t="s">
        <v>585</v>
      </c>
    </row>
    <row r="306">
      <c r="A306" s="167">
        <v>138.0</v>
      </c>
      <c r="B306" s="167" t="s">
        <v>924</v>
      </c>
      <c r="C306" s="167" t="s">
        <v>422</v>
      </c>
      <c r="D306" s="402" t="s">
        <v>929</v>
      </c>
      <c r="E306" s="403">
        <v>44413.0</v>
      </c>
      <c r="F306" s="386" t="s">
        <v>642</v>
      </c>
      <c r="G306" s="122" t="s">
        <v>926</v>
      </c>
      <c r="H306" s="122">
        <v>1.0</v>
      </c>
      <c r="J306" s="133">
        <v>0.0</v>
      </c>
      <c r="K306" s="366">
        <f>vlookup($D306,Python!$D$2:$F$1000,3,FALSE)</f>
        <v>764.2</v>
      </c>
      <c r="L306" s="133">
        <v>3500000.0</v>
      </c>
      <c r="N306" s="133" t="s">
        <v>585</v>
      </c>
      <c r="P306" s="122" t="s">
        <v>585</v>
      </c>
      <c r="R306" s="122" t="s">
        <v>585</v>
      </c>
      <c r="T306" s="122" t="s">
        <v>585</v>
      </c>
    </row>
    <row r="307">
      <c r="A307" s="167">
        <v>139.0</v>
      </c>
      <c r="B307" s="167" t="s">
        <v>924</v>
      </c>
      <c r="C307" s="167" t="s">
        <v>422</v>
      </c>
      <c r="D307" s="402" t="s">
        <v>930</v>
      </c>
      <c r="E307" s="403">
        <v>44416.0</v>
      </c>
      <c r="F307" s="386" t="s">
        <v>642</v>
      </c>
      <c r="G307" s="122" t="s">
        <v>926</v>
      </c>
      <c r="H307" s="122">
        <v>1.0</v>
      </c>
      <c r="J307" s="133">
        <v>0.0</v>
      </c>
      <c r="K307" s="366">
        <f>vlookup($D307,Python!$D$2:$F$1000,3,FALSE)</f>
        <v>53.8</v>
      </c>
      <c r="L307" s="133">
        <v>0.0</v>
      </c>
      <c r="N307" s="133" t="s">
        <v>585</v>
      </c>
      <c r="P307" s="122" t="s">
        <v>585</v>
      </c>
      <c r="R307" s="122" t="s">
        <v>585</v>
      </c>
      <c r="T307" s="122" t="s">
        <v>585</v>
      </c>
    </row>
    <row r="308">
      <c r="A308" s="167">
        <v>140.0</v>
      </c>
      <c r="B308" s="167" t="s">
        <v>924</v>
      </c>
      <c r="C308" s="167" t="s">
        <v>422</v>
      </c>
      <c r="D308" s="402" t="s">
        <v>931</v>
      </c>
      <c r="E308" s="403">
        <v>44420.0</v>
      </c>
      <c r="F308" s="386" t="s">
        <v>642</v>
      </c>
      <c r="G308" s="122" t="s">
        <v>926</v>
      </c>
      <c r="H308" s="122">
        <v>1.0</v>
      </c>
      <c r="J308" s="133">
        <v>0.0</v>
      </c>
      <c r="K308" s="366">
        <f>vlookup($D308,Python!$D$2:$F$1000,3,FALSE)</f>
        <v>1200</v>
      </c>
      <c r="L308" s="133">
        <v>6000000.0</v>
      </c>
      <c r="N308" s="133" t="s">
        <v>585</v>
      </c>
      <c r="P308" s="122" t="s">
        <v>585</v>
      </c>
      <c r="R308" s="122" t="s">
        <v>585</v>
      </c>
      <c r="T308" s="122" t="s">
        <v>585</v>
      </c>
    </row>
    <row r="309">
      <c r="A309" s="167">
        <v>141.0</v>
      </c>
      <c r="B309" s="167" t="s">
        <v>924</v>
      </c>
      <c r="C309" s="167" t="s">
        <v>422</v>
      </c>
      <c r="D309" s="402" t="s">
        <v>932</v>
      </c>
      <c r="E309" s="403">
        <v>44423.0</v>
      </c>
      <c r="F309" s="386" t="s">
        <v>642</v>
      </c>
      <c r="G309" s="122" t="s">
        <v>926</v>
      </c>
      <c r="H309" s="122">
        <v>1.0</v>
      </c>
      <c r="J309" s="133">
        <v>0.0</v>
      </c>
      <c r="K309" s="366">
        <f>vlookup($D309,Python!$D$2:$F$1000,3,FALSE)</f>
        <v>34.6</v>
      </c>
      <c r="L309" s="133">
        <v>0.0</v>
      </c>
      <c r="N309" s="133" t="s">
        <v>585</v>
      </c>
      <c r="P309" s="122" t="s">
        <v>585</v>
      </c>
      <c r="R309" s="122" t="s">
        <v>585</v>
      </c>
      <c r="T309" s="122" t="s">
        <v>585</v>
      </c>
    </row>
    <row r="310">
      <c r="A310" s="167">
        <v>142.0</v>
      </c>
      <c r="B310" s="167" t="s">
        <v>933</v>
      </c>
      <c r="C310" s="167" t="s">
        <v>422</v>
      </c>
      <c r="D310" s="404" t="s">
        <v>1885</v>
      </c>
      <c r="E310" s="405">
        <v>44404.0</v>
      </c>
      <c r="F310" s="386" t="s">
        <v>641</v>
      </c>
      <c r="G310" s="122" t="s">
        <v>21</v>
      </c>
      <c r="H310" s="122">
        <v>1.0</v>
      </c>
      <c r="J310" s="133">
        <v>0.0</v>
      </c>
      <c r="K310" s="366">
        <f>vlookup($D310,Python!$D$2:$F$1000,3,FALSE)</f>
        <v>230.2</v>
      </c>
      <c r="L310" s="133">
        <v>1000000.0</v>
      </c>
      <c r="N310" s="133" t="s">
        <v>585</v>
      </c>
      <c r="P310" s="122" t="s">
        <v>585</v>
      </c>
      <c r="R310" s="122" t="s">
        <v>585</v>
      </c>
      <c r="T310" s="122" t="s">
        <v>585</v>
      </c>
    </row>
    <row r="311">
      <c r="A311" s="167">
        <v>143.0</v>
      </c>
      <c r="B311" s="167" t="s">
        <v>933</v>
      </c>
      <c r="C311" s="167" t="s">
        <v>422</v>
      </c>
      <c r="D311" s="404" t="s">
        <v>935</v>
      </c>
      <c r="E311" s="405">
        <v>44403.0</v>
      </c>
      <c r="F311" s="386" t="s">
        <v>642</v>
      </c>
      <c r="G311" s="122" t="s">
        <v>21</v>
      </c>
      <c r="H311" s="122">
        <v>1.0</v>
      </c>
      <c r="J311" s="133">
        <v>0.0</v>
      </c>
      <c r="K311" s="366">
        <f>vlookup($D311,Python!$D$2:$F$1000,3,FALSE)</f>
        <v>2700</v>
      </c>
      <c r="L311" s="133">
        <v>1.35E7</v>
      </c>
      <c r="N311" s="133" t="s">
        <v>585</v>
      </c>
      <c r="P311" s="122" t="s">
        <v>585</v>
      </c>
      <c r="R311" s="122" t="s">
        <v>585</v>
      </c>
      <c r="T311" s="122" t="s">
        <v>585</v>
      </c>
    </row>
    <row r="312">
      <c r="A312" s="167">
        <v>144.0</v>
      </c>
      <c r="B312" s="167" t="s">
        <v>933</v>
      </c>
      <c r="C312" s="167" t="s">
        <v>422</v>
      </c>
      <c r="D312" s="404" t="s">
        <v>936</v>
      </c>
      <c r="E312" s="405">
        <v>44412.0</v>
      </c>
      <c r="F312" s="386" t="s">
        <v>642</v>
      </c>
      <c r="G312" s="122" t="s">
        <v>21</v>
      </c>
      <c r="H312" s="122">
        <v>1.0</v>
      </c>
      <c r="J312" s="133">
        <v>0.0</v>
      </c>
      <c r="K312" s="366">
        <f>vlookup($D312,Python!$D$2:$F$1000,3,FALSE)</f>
        <v>75.4</v>
      </c>
      <c r="L312" s="133">
        <v>0.0</v>
      </c>
      <c r="N312" s="133" t="s">
        <v>585</v>
      </c>
      <c r="P312" s="122" t="s">
        <v>585</v>
      </c>
      <c r="R312" s="122" t="s">
        <v>585</v>
      </c>
      <c r="T312" s="122" t="s">
        <v>585</v>
      </c>
    </row>
    <row r="313">
      <c r="A313" s="167">
        <v>145.0</v>
      </c>
      <c r="B313" s="167" t="s">
        <v>933</v>
      </c>
      <c r="C313" s="167" t="s">
        <v>422</v>
      </c>
      <c r="D313" s="404" t="s">
        <v>937</v>
      </c>
      <c r="E313" s="405">
        <v>44413.0</v>
      </c>
      <c r="F313" s="386" t="s">
        <v>642</v>
      </c>
      <c r="G313" s="122" t="s">
        <v>21</v>
      </c>
      <c r="H313" s="122">
        <v>1.0</v>
      </c>
      <c r="J313" s="133">
        <v>0.0</v>
      </c>
      <c r="K313" s="366">
        <f>vlookup($D313,Python!$D$2:$F$1000,3,FALSE)</f>
        <v>229.8</v>
      </c>
      <c r="L313" s="133">
        <v>1000000.0</v>
      </c>
      <c r="N313" s="133" t="s">
        <v>585</v>
      </c>
      <c r="P313" s="122" t="s">
        <v>585</v>
      </c>
      <c r="R313" s="122" t="s">
        <v>585</v>
      </c>
      <c r="T313" s="122" t="s">
        <v>585</v>
      </c>
    </row>
    <row r="314">
      <c r="A314" s="167">
        <v>146.0</v>
      </c>
      <c r="B314" s="167" t="s">
        <v>933</v>
      </c>
      <c r="C314" s="167" t="s">
        <v>422</v>
      </c>
      <c r="D314" s="404" t="s">
        <v>938</v>
      </c>
      <c r="E314" s="406">
        <v>44417.0</v>
      </c>
      <c r="F314" s="386" t="s">
        <v>647</v>
      </c>
      <c r="G314" s="122" t="s">
        <v>21</v>
      </c>
      <c r="H314" s="122">
        <v>1.0</v>
      </c>
      <c r="J314" s="133">
        <v>0.0</v>
      </c>
      <c r="K314" s="366">
        <f>vlookup($D314,Python!$D$2:$F$1000,3,FALSE)</f>
        <v>216.2</v>
      </c>
      <c r="L314" s="133">
        <v>1000000.0</v>
      </c>
      <c r="N314" s="133" t="s">
        <v>585</v>
      </c>
      <c r="P314" s="122" t="s">
        <v>585</v>
      </c>
      <c r="R314" s="122" t="s">
        <v>585</v>
      </c>
      <c r="T314" s="122" t="s">
        <v>585</v>
      </c>
    </row>
    <row r="315">
      <c r="A315" s="167">
        <v>147.0</v>
      </c>
      <c r="B315" s="167" t="s">
        <v>933</v>
      </c>
      <c r="C315" s="167" t="s">
        <v>422</v>
      </c>
      <c r="D315" s="404" t="s">
        <v>939</v>
      </c>
      <c r="E315" s="406">
        <v>44421.0</v>
      </c>
      <c r="F315" s="386" t="s">
        <v>647</v>
      </c>
      <c r="G315" s="122" t="s">
        <v>21</v>
      </c>
      <c r="H315" s="122">
        <v>1.0</v>
      </c>
      <c r="J315" s="133">
        <v>0.0</v>
      </c>
      <c r="K315" s="366">
        <f>vlookup($D315,Python!$D$2:$F$1000,3,FALSE)</f>
        <v>164.5</v>
      </c>
      <c r="L315" s="133">
        <v>500000.0</v>
      </c>
      <c r="N315" s="133" t="s">
        <v>585</v>
      </c>
      <c r="P315" s="122" t="s">
        <v>585</v>
      </c>
      <c r="R315" s="122" t="s">
        <v>585</v>
      </c>
      <c r="T315" s="122" t="s">
        <v>585</v>
      </c>
    </row>
    <row r="316">
      <c r="A316" s="167">
        <v>148.0</v>
      </c>
      <c r="B316" s="167" t="s">
        <v>553</v>
      </c>
      <c r="C316" s="167" t="s">
        <v>422</v>
      </c>
      <c r="D316" s="404" t="s">
        <v>940</v>
      </c>
      <c r="E316" s="406">
        <v>44408.0</v>
      </c>
      <c r="F316" s="386" t="s">
        <v>642</v>
      </c>
      <c r="G316" s="122" t="s">
        <v>21</v>
      </c>
      <c r="H316" s="122">
        <v>1.0</v>
      </c>
      <c r="J316" s="133">
        <v>0.0</v>
      </c>
      <c r="K316" s="366">
        <f>vlookup($D316,Python!$D$2:$F$1000,3,FALSE)</f>
        <v>187.1</v>
      </c>
      <c r="L316" s="133">
        <v>500000.0</v>
      </c>
      <c r="N316" s="133" t="s">
        <v>585</v>
      </c>
      <c r="P316" s="122" t="s">
        <v>585</v>
      </c>
      <c r="R316" s="122" t="s">
        <v>585</v>
      </c>
      <c r="T316" s="122" t="s">
        <v>585</v>
      </c>
    </row>
    <row r="317">
      <c r="A317" s="167">
        <v>149.0</v>
      </c>
      <c r="B317" s="167" t="s">
        <v>553</v>
      </c>
      <c r="C317" s="167" t="s">
        <v>422</v>
      </c>
      <c r="D317" s="404" t="s">
        <v>941</v>
      </c>
      <c r="E317" s="406">
        <v>44412.0</v>
      </c>
      <c r="F317" s="386" t="s">
        <v>642</v>
      </c>
      <c r="G317" s="122" t="s">
        <v>21</v>
      </c>
      <c r="H317" s="122">
        <v>1.0</v>
      </c>
      <c r="J317" s="133">
        <v>0.0</v>
      </c>
      <c r="K317" s="366">
        <f>vlookup($D317,Python!$D$2:$F$1000,3,FALSE)</f>
        <v>1800</v>
      </c>
      <c r="L317" s="133">
        <v>9000000.0</v>
      </c>
      <c r="N317" s="133" t="s">
        <v>585</v>
      </c>
      <c r="P317" s="122" t="s">
        <v>585</v>
      </c>
      <c r="R317" s="122" t="s">
        <v>585</v>
      </c>
      <c r="T317" s="122" t="s">
        <v>585</v>
      </c>
    </row>
    <row r="318">
      <c r="A318" s="167">
        <v>150.0</v>
      </c>
      <c r="B318" s="167" t="s">
        <v>553</v>
      </c>
      <c r="C318" s="167" t="s">
        <v>422</v>
      </c>
      <c r="D318" s="404" t="s">
        <v>942</v>
      </c>
      <c r="E318" s="406">
        <v>44415.0</v>
      </c>
      <c r="F318" s="386" t="s">
        <v>647</v>
      </c>
      <c r="G318" s="122" t="s">
        <v>21</v>
      </c>
      <c r="H318" s="122">
        <v>1.0</v>
      </c>
      <c r="J318" s="133">
        <v>0.0</v>
      </c>
      <c r="K318" s="366">
        <f>vlookup($D318,Python!$D$2:$F$1000,3,FALSE)</f>
        <v>146.5</v>
      </c>
      <c r="L318" s="133">
        <v>500000.0</v>
      </c>
      <c r="N318" s="133" t="s">
        <v>585</v>
      </c>
      <c r="P318" s="122" t="s">
        <v>585</v>
      </c>
      <c r="R318" s="122" t="s">
        <v>585</v>
      </c>
      <c r="T318" s="122" t="s">
        <v>585</v>
      </c>
    </row>
    <row r="319">
      <c r="A319" s="167">
        <v>151.0</v>
      </c>
      <c r="B319" s="167" t="s">
        <v>553</v>
      </c>
      <c r="C319" s="167" t="s">
        <v>422</v>
      </c>
      <c r="D319" s="404" t="s">
        <v>943</v>
      </c>
      <c r="E319" s="406">
        <v>44426.0</v>
      </c>
      <c r="F319" s="386" t="s">
        <v>647</v>
      </c>
      <c r="G319" s="122" t="s">
        <v>21</v>
      </c>
      <c r="H319" s="122">
        <v>1.0</v>
      </c>
      <c r="J319" s="133">
        <v>0.0</v>
      </c>
      <c r="K319" s="366">
        <f>vlookup($D319,Python!$D$2:$F$1000,3,FALSE)</f>
        <v>105.4</v>
      </c>
      <c r="L319" s="133">
        <v>500000.0</v>
      </c>
      <c r="N319" s="133" t="s">
        <v>585</v>
      </c>
      <c r="P319" s="122" t="s">
        <v>585</v>
      </c>
      <c r="R319" s="122" t="s">
        <v>585</v>
      </c>
      <c r="T319" s="122" t="s">
        <v>585</v>
      </c>
    </row>
    <row r="320">
      <c r="A320" s="167">
        <v>152.0</v>
      </c>
      <c r="B320" s="167" t="s">
        <v>944</v>
      </c>
      <c r="C320" s="167" t="s">
        <v>422</v>
      </c>
      <c r="D320" s="404" t="s">
        <v>945</v>
      </c>
      <c r="E320" s="406">
        <v>44405.0</v>
      </c>
      <c r="F320" s="386" t="s">
        <v>642</v>
      </c>
      <c r="G320" s="122" t="s">
        <v>21</v>
      </c>
      <c r="H320" s="122">
        <v>1.0</v>
      </c>
      <c r="J320" s="133">
        <v>0.0</v>
      </c>
      <c r="K320" s="366">
        <f>vlookup($D320,Python!$D$2:$F$1000,3,FALSE)</f>
        <v>1200</v>
      </c>
      <c r="L320" s="133">
        <v>6000000.0</v>
      </c>
      <c r="N320" s="133" t="s">
        <v>585</v>
      </c>
      <c r="P320" s="122" t="s">
        <v>585</v>
      </c>
      <c r="R320" s="122" t="s">
        <v>585</v>
      </c>
      <c r="T320" s="122" t="s">
        <v>585</v>
      </c>
    </row>
    <row r="321">
      <c r="A321" s="167">
        <v>153.0</v>
      </c>
      <c r="B321" s="167" t="s">
        <v>944</v>
      </c>
      <c r="C321" s="167" t="s">
        <v>422</v>
      </c>
      <c r="D321" s="404" t="s">
        <v>946</v>
      </c>
      <c r="E321" s="406">
        <v>44408.0</v>
      </c>
      <c r="F321" s="386" t="s">
        <v>642</v>
      </c>
      <c r="G321" s="122" t="s">
        <v>21</v>
      </c>
      <c r="H321" s="122">
        <v>1.0</v>
      </c>
      <c r="J321" s="133">
        <v>0.0</v>
      </c>
      <c r="K321" s="366">
        <f>vlookup($D321,Python!$D$2:$F$1000,3,FALSE)</f>
        <v>455</v>
      </c>
      <c r="L321" s="133">
        <v>2000000.0</v>
      </c>
      <c r="N321" s="133" t="s">
        <v>585</v>
      </c>
      <c r="P321" s="122" t="s">
        <v>585</v>
      </c>
      <c r="R321" s="122" t="s">
        <v>585</v>
      </c>
      <c r="T321" s="122" t="s">
        <v>585</v>
      </c>
    </row>
    <row r="322">
      <c r="A322" s="167">
        <v>154.0</v>
      </c>
      <c r="B322" s="167" t="s">
        <v>944</v>
      </c>
      <c r="C322" s="167" t="s">
        <v>422</v>
      </c>
      <c r="D322" s="404" t="s">
        <v>947</v>
      </c>
      <c r="E322" s="406">
        <v>44412.0</v>
      </c>
      <c r="F322" s="386" t="s">
        <v>642</v>
      </c>
      <c r="G322" s="122" t="s">
        <v>21</v>
      </c>
      <c r="H322" s="122">
        <v>1.0</v>
      </c>
      <c r="J322" s="133">
        <v>0.0</v>
      </c>
      <c r="K322" s="366">
        <f>vlookup($D322,Python!$D$2:$F$1000,3,FALSE)</f>
        <v>217</v>
      </c>
      <c r="L322" s="133">
        <v>1000000.0</v>
      </c>
      <c r="N322" s="133" t="s">
        <v>585</v>
      </c>
      <c r="P322" s="122" t="s">
        <v>585</v>
      </c>
      <c r="R322" s="122" t="s">
        <v>585</v>
      </c>
      <c r="T322" s="122" t="s">
        <v>585</v>
      </c>
    </row>
    <row r="323">
      <c r="A323" s="167">
        <v>155.0</v>
      </c>
      <c r="B323" s="167" t="s">
        <v>944</v>
      </c>
      <c r="C323" s="167" t="s">
        <v>422</v>
      </c>
      <c r="D323" s="404" t="s">
        <v>948</v>
      </c>
      <c r="E323" s="406">
        <v>44415.0</v>
      </c>
      <c r="F323" s="386" t="s">
        <v>642</v>
      </c>
      <c r="G323" s="122" t="s">
        <v>21</v>
      </c>
      <c r="H323" s="122">
        <v>1.0</v>
      </c>
      <c r="J323" s="133">
        <v>0.0</v>
      </c>
      <c r="K323" s="366">
        <f>vlookup($D323,Python!$D$2:$F$1000,3,FALSE)</f>
        <v>4000</v>
      </c>
      <c r="L323" s="133">
        <v>2.0E7</v>
      </c>
      <c r="N323" s="133" t="s">
        <v>585</v>
      </c>
      <c r="P323" s="122" t="s">
        <v>585</v>
      </c>
      <c r="R323" s="122" t="s">
        <v>585</v>
      </c>
      <c r="T323" s="122" t="s">
        <v>585</v>
      </c>
    </row>
    <row r="324">
      <c r="A324" s="167">
        <v>156.0</v>
      </c>
      <c r="B324" s="167" t="s">
        <v>944</v>
      </c>
      <c r="C324" s="167" t="s">
        <v>422</v>
      </c>
      <c r="D324" s="404" t="s">
        <v>949</v>
      </c>
      <c r="E324" s="406">
        <v>44417.0</v>
      </c>
      <c r="F324" s="386" t="s">
        <v>647</v>
      </c>
      <c r="G324" s="122" t="s">
        <v>21</v>
      </c>
      <c r="H324" s="122">
        <v>1.0</v>
      </c>
      <c r="J324" s="133">
        <v>0.0</v>
      </c>
      <c r="K324" s="366">
        <f>vlookup($D324,Python!$D$2:$F$1000,3,FALSE)</f>
        <v>972.9</v>
      </c>
      <c r="L324" s="133">
        <v>4500000.0</v>
      </c>
      <c r="N324" s="133" t="s">
        <v>585</v>
      </c>
      <c r="P324" s="122" t="s">
        <v>585</v>
      </c>
      <c r="R324" s="122" t="s">
        <v>585</v>
      </c>
      <c r="T324" s="122" t="s">
        <v>585</v>
      </c>
    </row>
    <row r="325">
      <c r="A325" s="167">
        <v>157.0</v>
      </c>
      <c r="B325" s="167" t="s">
        <v>950</v>
      </c>
      <c r="C325" s="167" t="s">
        <v>422</v>
      </c>
      <c r="D325" s="407" t="s">
        <v>951</v>
      </c>
      <c r="E325" s="408">
        <v>44422.0</v>
      </c>
      <c r="F325" s="386" t="s">
        <v>642</v>
      </c>
      <c r="G325" s="122" t="s">
        <v>21</v>
      </c>
      <c r="H325" s="122">
        <v>1.0</v>
      </c>
      <c r="J325" s="133">
        <v>0.0</v>
      </c>
      <c r="K325" s="366">
        <f>vlookup($D325,Python!$D$2:$F$1000,3,FALSE)</f>
        <v>869.8</v>
      </c>
      <c r="L325" s="133">
        <v>4000000.0</v>
      </c>
      <c r="N325" s="133" t="s">
        <v>585</v>
      </c>
      <c r="P325" s="122" t="s">
        <v>585</v>
      </c>
      <c r="R325" s="122" t="s">
        <v>585</v>
      </c>
      <c r="T325" s="122" t="s">
        <v>585</v>
      </c>
    </row>
    <row r="326">
      <c r="A326" s="167">
        <v>158.0</v>
      </c>
      <c r="B326" s="167" t="s">
        <v>950</v>
      </c>
      <c r="C326" s="167" t="s">
        <v>422</v>
      </c>
      <c r="D326" s="407" t="s">
        <v>952</v>
      </c>
      <c r="E326" s="408">
        <v>44421.0</v>
      </c>
      <c r="F326" s="386" t="s">
        <v>642</v>
      </c>
      <c r="G326" s="122" t="s">
        <v>21</v>
      </c>
      <c r="H326" s="122">
        <v>1.0</v>
      </c>
      <c r="J326" s="133">
        <v>0.0</v>
      </c>
      <c r="K326" s="366">
        <f>vlookup($D326,Python!$D$2:$F$1000,3,FALSE)</f>
        <v>2600</v>
      </c>
      <c r="L326" s="133">
        <v>1.3E7</v>
      </c>
      <c r="N326" s="133" t="s">
        <v>585</v>
      </c>
      <c r="P326" s="122" t="s">
        <v>585</v>
      </c>
      <c r="R326" s="122" t="s">
        <v>585</v>
      </c>
      <c r="T326" s="122" t="s">
        <v>585</v>
      </c>
    </row>
    <row r="327">
      <c r="A327" s="167">
        <v>159.0</v>
      </c>
      <c r="B327" s="167" t="s">
        <v>953</v>
      </c>
      <c r="C327" s="167" t="s">
        <v>422</v>
      </c>
      <c r="D327" s="407" t="s">
        <v>954</v>
      </c>
      <c r="E327" s="408">
        <v>44422.0</v>
      </c>
      <c r="F327" s="386" t="s">
        <v>642</v>
      </c>
      <c r="G327" s="122" t="s">
        <v>926</v>
      </c>
      <c r="H327" s="122">
        <v>1.0</v>
      </c>
      <c r="J327" s="133">
        <v>0.0</v>
      </c>
      <c r="K327" s="366">
        <f>vlookup($D327,Python!$D$2:$F$1000,3,FALSE)</f>
        <v>166.8</v>
      </c>
      <c r="L327" s="133">
        <v>500000.0</v>
      </c>
      <c r="N327" s="133" t="s">
        <v>585</v>
      </c>
      <c r="P327" s="122" t="s">
        <v>585</v>
      </c>
      <c r="R327" s="122" t="s">
        <v>585</v>
      </c>
      <c r="T327" s="122" t="s">
        <v>585</v>
      </c>
    </row>
    <row r="328">
      <c r="A328" s="167">
        <v>160.0</v>
      </c>
      <c r="B328" s="167" t="s">
        <v>953</v>
      </c>
      <c r="C328" s="167" t="s">
        <v>422</v>
      </c>
      <c r="D328" s="407" t="s">
        <v>955</v>
      </c>
      <c r="E328" s="408">
        <v>44424.0</v>
      </c>
      <c r="F328" s="386" t="s">
        <v>642</v>
      </c>
      <c r="G328" s="122" t="s">
        <v>926</v>
      </c>
      <c r="H328" s="122">
        <v>1.0</v>
      </c>
      <c r="J328" s="133">
        <v>0.0</v>
      </c>
      <c r="K328" s="366">
        <f>vlookup($D328,Python!$D$2:$F$1000,3,FALSE)</f>
        <v>100.9</v>
      </c>
      <c r="L328" s="133">
        <v>500000.0</v>
      </c>
      <c r="N328" s="133" t="s">
        <v>585</v>
      </c>
      <c r="P328" s="122" t="s">
        <v>585</v>
      </c>
      <c r="R328" s="122" t="s">
        <v>585</v>
      </c>
      <c r="T328" s="122" t="s">
        <v>585</v>
      </c>
    </row>
    <row r="329">
      <c r="A329" s="167">
        <v>161.0</v>
      </c>
      <c r="B329" s="167" t="s">
        <v>913</v>
      </c>
      <c r="C329" s="167" t="s">
        <v>422</v>
      </c>
      <c r="D329" s="311" t="s">
        <v>956</v>
      </c>
      <c r="E329" s="385">
        <v>44407.0</v>
      </c>
      <c r="F329" s="386" t="s">
        <v>642</v>
      </c>
      <c r="G329" s="122" t="s">
        <v>21</v>
      </c>
      <c r="H329" s="122">
        <v>1.0</v>
      </c>
      <c r="J329" s="133">
        <v>0.0</v>
      </c>
      <c r="K329" s="366">
        <f>vlookup($D329,Python!$D$2:$F$1000,3,FALSE)</f>
        <v>338.1</v>
      </c>
      <c r="L329" s="133">
        <v>1500000.0</v>
      </c>
      <c r="N329" s="133" t="s">
        <v>585</v>
      </c>
      <c r="P329" s="122" t="s">
        <v>585</v>
      </c>
      <c r="R329" s="122" t="s">
        <v>585</v>
      </c>
      <c r="T329" s="122" t="s">
        <v>585</v>
      </c>
    </row>
    <row r="330">
      <c r="A330" s="167">
        <v>162.0</v>
      </c>
      <c r="B330" s="167" t="s">
        <v>913</v>
      </c>
      <c r="C330" s="167" t="s">
        <v>422</v>
      </c>
      <c r="D330" s="311" t="s">
        <v>957</v>
      </c>
      <c r="E330" s="385">
        <v>44408.0</v>
      </c>
      <c r="F330" s="386" t="s">
        <v>642</v>
      </c>
      <c r="G330" s="122" t="s">
        <v>21</v>
      </c>
      <c r="H330" s="122">
        <v>1.0</v>
      </c>
      <c r="J330" s="133">
        <v>0.0</v>
      </c>
      <c r="K330" s="366">
        <f>vlookup($D330,Python!$D$2:$F$1000,3,FALSE)</f>
        <v>1700</v>
      </c>
      <c r="L330" s="133">
        <v>8500000.0</v>
      </c>
      <c r="N330" s="133" t="s">
        <v>585</v>
      </c>
      <c r="P330" s="122" t="s">
        <v>585</v>
      </c>
      <c r="R330" s="122" t="s">
        <v>585</v>
      </c>
      <c r="T330" s="122" t="s">
        <v>585</v>
      </c>
    </row>
    <row r="331">
      <c r="A331" s="167">
        <v>163.0</v>
      </c>
      <c r="B331" s="167" t="s">
        <v>913</v>
      </c>
      <c r="C331" s="167" t="s">
        <v>422</v>
      </c>
      <c r="D331" s="311" t="s">
        <v>958</v>
      </c>
      <c r="E331" s="385">
        <v>44410.0</v>
      </c>
      <c r="F331" s="386" t="s">
        <v>642</v>
      </c>
      <c r="G331" s="122" t="s">
        <v>21</v>
      </c>
      <c r="H331" s="122">
        <v>1.0</v>
      </c>
      <c r="J331" s="133">
        <v>0.0</v>
      </c>
      <c r="K331" s="366">
        <f>vlookup($D331,Python!$D$2:$F$1000,3,FALSE)</f>
        <v>338.8</v>
      </c>
      <c r="L331" s="133">
        <v>1500000.0</v>
      </c>
      <c r="N331" s="133" t="s">
        <v>585</v>
      </c>
      <c r="P331" s="122" t="s">
        <v>585</v>
      </c>
      <c r="R331" s="122" t="s">
        <v>585</v>
      </c>
      <c r="T331" s="122" t="s">
        <v>585</v>
      </c>
    </row>
    <row r="332">
      <c r="A332" s="167">
        <v>164.0</v>
      </c>
      <c r="B332" s="167" t="s">
        <v>913</v>
      </c>
      <c r="C332" s="167" t="s">
        <v>422</v>
      </c>
      <c r="D332" s="409" t="s">
        <v>1886</v>
      </c>
      <c r="E332" s="385">
        <v>44415.0</v>
      </c>
      <c r="F332" s="386" t="s">
        <v>642</v>
      </c>
      <c r="G332" s="122" t="s">
        <v>21</v>
      </c>
      <c r="H332" s="122">
        <v>1.0</v>
      </c>
      <c r="J332" s="133">
        <v>0.0</v>
      </c>
      <c r="K332" s="366">
        <f>vlookup($D332,Python!$D$2:$F$1000,3,FALSE)</f>
        <v>292.7</v>
      </c>
      <c r="L332" s="133">
        <v>1000000.0</v>
      </c>
      <c r="N332" s="133" t="s">
        <v>585</v>
      </c>
      <c r="P332" s="122" t="s">
        <v>585</v>
      </c>
      <c r="R332" s="122" t="s">
        <v>585</v>
      </c>
      <c r="T332" s="122" t="s">
        <v>585</v>
      </c>
    </row>
    <row r="333">
      <c r="A333" s="167">
        <v>165.0</v>
      </c>
      <c r="B333" s="167" t="s">
        <v>913</v>
      </c>
      <c r="C333" s="167" t="s">
        <v>422</v>
      </c>
      <c r="D333" s="311" t="s">
        <v>960</v>
      </c>
      <c r="E333" s="385">
        <v>44416.0</v>
      </c>
      <c r="F333" s="386" t="s">
        <v>642</v>
      </c>
      <c r="G333" s="122" t="s">
        <v>21</v>
      </c>
      <c r="H333" s="122">
        <v>1.0</v>
      </c>
      <c r="J333" s="133">
        <v>0.0</v>
      </c>
      <c r="K333" s="366">
        <f>vlookup($D333,Python!$D$2:$F$1000,3,FALSE)</f>
        <v>377</v>
      </c>
      <c r="L333" s="133">
        <v>1500000.0</v>
      </c>
      <c r="N333" s="133" t="s">
        <v>585</v>
      </c>
      <c r="P333" s="122" t="s">
        <v>585</v>
      </c>
      <c r="R333" s="122" t="s">
        <v>585</v>
      </c>
      <c r="T333" s="122" t="s">
        <v>585</v>
      </c>
    </row>
    <row r="334">
      <c r="A334" s="167">
        <v>166.0</v>
      </c>
      <c r="B334" s="167" t="s">
        <v>913</v>
      </c>
      <c r="C334" s="167" t="s">
        <v>422</v>
      </c>
      <c r="D334" s="310" t="s">
        <v>961</v>
      </c>
      <c r="E334" s="399">
        <v>44419.0</v>
      </c>
      <c r="F334" s="386" t="s">
        <v>642</v>
      </c>
      <c r="G334" s="122" t="s">
        <v>21</v>
      </c>
      <c r="H334" s="122">
        <v>1.0</v>
      </c>
      <c r="J334" s="133">
        <v>0.0</v>
      </c>
      <c r="K334" s="366">
        <f>vlookup($D334,Python!$D$2:$F$1000,3,FALSE)</f>
        <v>5200</v>
      </c>
      <c r="L334" s="133">
        <v>2.6E7</v>
      </c>
      <c r="N334" s="133" t="s">
        <v>585</v>
      </c>
      <c r="P334" s="122" t="s">
        <v>585</v>
      </c>
      <c r="R334" s="122" t="s">
        <v>585</v>
      </c>
      <c r="T334" s="122" t="s">
        <v>585</v>
      </c>
    </row>
    <row r="335">
      <c r="A335" s="167">
        <v>167.0</v>
      </c>
      <c r="B335" s="167" t="s">
        <v>913</v>
      </c>
      <c r="C335" s="167" t="s">
        <v>422</v>
      </c>
      <c r="D335" s="310" t="s">
        <v>962</v>
      </c>
      <c r="E335" s="385">
        <v>44424.0</v>
      </c>
      <c r="F335" s="386" t="s">
        <v>642</v>
      </c>
      <c r="G335" s="122" t="s">
        <v>21</v>
      </c>
      <c r="H335" s="122">
        <v>1.0</v>
      </c>
      <c r="J335" s="133">
        <v>0.0</v>
      </c>
      <c r="K335" s="366">
        <f>vlookup($D335,Python!$D$2:$F$1000,3,FALSE)</f>
        <v>63.2</v>
      </c>
      <c r="L335" s="133">
        <v>0.0</v>
      </c>
      <c r="N335" s="133" t="s">
        <v>585</v>
      </c>
      <c r="P335" s="122" t="s">
        <v>585</v>
      </c>
      <c r="R335" s="122" t="s">
        <v>585</v>
      </c>
      <c r="T335" s="122" t="s">
        <v>585</v>
      </c>
    </row>
    <row r="336">
      <c r="A336" s="167">
        <v>168.0</v>
      </c>
      <c r="B336" s="167" t="s">
        <v>913</v>
      </c>
      <c r="C336" s="167" t="s">
        <v>422</v>
      </c>
      <c r="D336" s="311" t="s">
        <v>963</v>
      </c>
      <c r="E336" s="385">
        <v>44426.0</v>
      </c>
      <c r="F336" s="386" t="s">
        <v>642</v>
      </c>
      <c r="G336" s="122" t="s">
        <v>21</v>
      </c>
      <c r="H336" s="122">
        <v>1.0</v>
      </c>
      <c r="J336" s="133">
        <v>0.0</v>
      </c>
      <c r="K336" s="366">
        <f>vlookup($D336,Python!$D$2:$F$1000,3,FALSE)</f>
        <v>28</v>
      </c>
      <c r="L336" s="133">
        <v>0.0</v>
      </c>
      <c r="N336" s="133" t="s">
        <v>585</v>
      </c>
      <c r="P336" s="122" t="s">
        <v>585</v>
      </c>
      <c r="R336" s="122" t="s">
        <v>585</v>
      </c>
      <c r="T336" s="122" t="s">
        <v>585</v>
      </c>
    </row>
    <row r="337">
      <c r="A337" s="167">
        <v>169.0</v>
      </c>
      <c r="B337" s="167" t="s">
        <v>964</v>
      </c>
      <c r="C337" s="167" t="s">
        <v>422</v>
      </c>
      <c r="D337" s="410" t="s">
        <v>965</v>
      </c>
      <c r="E337" s="411">
        <v>44415.0</v>
      </c>
      <c r="F337" s="386" t="s">
        <v>641</v>
      </c>
      <c r="G337" s="122" t="s">
        <v>21</v>
      </c>
      <c r="H337" s="122">
        <v>1.0</v>
      </c>
      <c r="J337" s="133">
        <v>0.0</v>
      </c>
      <c r="K337" s="366">
        <f>vlookup($D337,Python!$D$2:$F$1000,3,FALSE)</f>
        <v>1000</v>
      </c>
      <c r="L337" s="133">
        <v>5000000.0</v>
      </c>
      <c r="N337" s="133" t="s">
        <v>585</v>
      </c>
      <c r="P337" s="122" t="s">
        <v>585</v>
      </c>
      <c r="R337" s="122" t="s">
        <v>585</v>
      </c>
      <c r="T337" s="122" t="s">
        <v>585</v>
      </c>
    </row>
    <row r="338">
      <c r="A338" s="167">
        <v>170.0</v>
      </c>
      <c r="B338" s="167" t="s">
        <v>964</v>
      </c>
      <c r="C338" s="167" t="s">
        <v>422</v>
      </c>
      <c r="D338" s="410" t="s">
        <v>966</v>
      </c>
      <c r="E338" s="406">
        <v>44421.0</v>
      </c>
      <c r="F338" s="386" t="s">
        <v>642</v>
      </c>
      <c r="G338" s="122" t="s">
        <v>21</v>
      </c>
      <c r="H338" s="122">
        <v>1.0</v>
      </c>
      <c r="J338" s="133">
        <v>0.0</v>
      </c>
      <c r="K338" s="366">
        <f>vlookup($D338,Python!$D$2:$F$1000,3,FALSE)</f>
        <v>505.2</v>
      </c>
      <c r="L338" s="133">
        <v>2500000.0</v>
      </c>
      <c r="N338" s="133" t="s">
        <v>585</v>
      </c>
      <c r="P338" s="122" t="s">
        <v>585</v>
      </c>
      <c r="R338" s="122" t="s">
        <v>585</v>
      </c>
      <c r="T338" s="122" t="s">
        <v>585</v>
      </c>
    </row>
    <row r="339">
      <c r="A339" s="167">
        <v>171.0</v>
      </c>
      <c r="B339" s="167" t="s">
        <v>964</v>
      </c>
      <c r="C339" s="167" t="s">
        <v>422</v>
      </c>
      <c r="D339" s="412" t="s">
        <v>967</v>
      </c>
      <c r="E339" s="406"/>
      <c r="F339" s="386" t="s">
        <v>642</v>
      </c>
      <c r="G339" s="122" t="s">
        <v>21</v>
      </c>
      <c r="H339" s="122">
        <v>1.0</v>
      </c>
      <c r="J339" s="133">
        <v>0.0</v>
      </c>
      <c r="K339" s="366">
        <f>vlookup($D339,Python!$D$2:$F$1000,3,FALSE)</f>
        <v>0.34</v>
      </c>
      <c r="L339" s="133">
        <v>0.0</v>
      </c>
      <c r="N339" s="133" t="s">
        <v>585</v>
      </c>
      <c r="P339" s="122" t="s">
        <v>585</v>
      </c>
      <c r="R339" s="122" t="s">
        <v>585</v>
      </c>
      <c r="T339" s="122" t="s">
        <v>585</v>
      </c>
    </row>
    <row r="340">
      <c r="A340" s="167">
        <v>172.0</v>
      </c>
      <c r="B340" s="167" t="s">
        <v>964</v>
      </c>
      <c r="C340" s="167" t="s">
        <v>418</v>
      </c>
      <c r="D340" s="311" t="s">
        <v>968</v>
      </c>
      <c r="E340" s="385">
        <v>44415.0</v>
      </c>
      <c r="F340" s="386" t="s">
        <v>641</v>
      </c>
      <c r="G340" s="122" t="s">
        <v>21</v>
      </c>
      <c r="H340" s="122">
        <v>1.0</v>
      </c>
      <c r="J340" s="133">
        <v>0.0</v>
      </c>
      <c r="K340" s="366">
        <f>vlookup($D340,Python!$D$2:$F$1000,3,FALSE)</f>
        <v>50</v>
      </c>
      <c r="L340" s="133">
        <v>1000000.0</v>
      </c>
      <c r="N340" s="133" t="s">
        <v>585</v>
      </c>
      <c r="P340" s="122" t="s">
        <v>585</v>
      </c>
      <c r="R340" s="122" t="s">
        <v>585</v>
      </c>
      <c r="T340" s="122" t="s">
        <v>585</v>
      </c>
    </row>
    <row r="341">
      <c r="A341" s="167">
        <v>173.0</v>
      </c>
      <c r="B341" s="167" t="s">
        <v>969</v>
      </c>
      <c r="C341" s="167" t="s">
        <v>418</v>
      </c>
      <c r="D341" s="410" t="s">
        <v>970</v>
      </c>
      <c r="E341" s="406">
        <v>44407.0</v>
      </c>
      <c r="F341" s="386" t="s">
        <v>647</v>
      </c>
      <c r="G341" s="122" t="s">
        <v>21</v>
      </c>
      <c r="H341" s="122">
        <v>1.0</v>
      </c>
      <c r="J341" s="133">
        <v>0.0</v>
      </c>
      <c r="K341" s="366">
        <f>vlookup($D341,Python!$D$2:$F$1000,3,FALSE)</f>
        <v>55</v>
      </c>
      <c r="L341" s="133">
        <v>1000000.0</v>
      </c>
      <c r="N341" s="133" t="s">
        <v>585</v>
      </c>
      <c r="P341" s="122" t="s">
        <v>585</v>
      </c>
      <c r="R341" s="122" t="s">
        <v>585</v>
      </c>
      <c r="T341" s="122" t="s">
        <v>585</v>
      </c>
    </row>
    <row r="342">
      <c r="A342" s="167">
        <v>174.0</v>
      </c>
      <c r="B342" s="167" t="s">
        <v>971</v>
      </c>
      <c r="C342" s="167" t="s">
        <v>418</v>
      </c>
      <c r="D342" s="410" t="s">
        <v>972</v>
      </c>
      <c r="E342" s="406">
        <v>44421.0</v>
      </c>
      <c r="F342" s="386" t="s">
        <v>647</v>
      </c>
      <c r="G342" s="122" t="s">
        <v>21</v>
      </c>
      <c r="H342" s="122">
        <v>1.0</v>
      </c>
      <c r="J342" s="133">
        <v>0.0</v>
      </c>
      <c r="K342" s="366">
        <f>vlookup($D342,Python!$D$2:$F$1000,3,FALSE)</f>
        <v>5.5</v>
      </c>
      <c r="L342" s="133">
        <v>0.0</v>
      </c>
      <c r="N342" s="133" t="s">
        <v>585</v>
      </c>
      <c r="P342" s="122" t="s">
        <v>585</v>
      </c>
      <c r="R342" s="122" t="s">
        <v>585</v>
      </c>
      <c r="T342" s="122" t="s">
        <v>585</v>
      </c>
    </row>
    <row r="343">
      <c r="A343" s="167">
        <v>175.0</v>
      </c>
      <c r="B343" s="167" t="s">
        <v>973</v>
      </c>
      <c r="C343" s="167" t="s">
        <v>418</v>
      </c>
      <c r="D343" s="410" t="s">
        <v>974</v>
      </c>
      <c r="E343" s="406">
        <v>44410.0</v>
      </c>
      <c r="F343" s="386" t="s">
        <v>647</v>
      </c>
      <c r="G343" s="122" t="s">
        <v>21</v>
      </c>
      <c r="H343" s="122">
        <v>1.0</v>
      </c>
      <c r="J343" s="133">
        <v>0.0</v>
      </c>
      <c r="K343" s="366">
        <f>vlookup($D343,Python!$D$2:$F$1000,3,FALSE)</f>
        <v>104</v>
      </c>
      <c r="L343" s="133">
        <v>2000000.0</v>
      </c>
      <c r="N343" s="133" t="s">
        <v>585</v>
      </c>
      <c r="P343" s="122" t="s">
        <v>585</v>
      </c>
      <c r="R343" s="122" t="s">
        <v>585</v>
      </c>
      <c r="T343" s="122" t="s">
        <v>585</v>
      </c>
    </row>
    <row r="344">
      <c r="A344" s="167">
        <v>176.0</v>
      </c>
      <c r="B344" s="167" t="s">
        <v>975</v>
      </c>
      <c r="C344" s="167" t="s">
        <v>422</v>
      </c>
      <c r="D344" s="412" t="s">
        <v>976</v>
      </c>
      <c r="E344" s="346"/>
      <c r="F344" s="386" t="s">
        <v>647</v>
      </c>
      <c r="G344" s="122" t="s">
        <v>21</v>
      </c>
      <c r="H344" s="122">
        <v>1.0</v>
      </c>
      <c r="J344" s="133">
        <v>0.0</v>
      </c>
      <c r="K344" s="366">
        <f>vlookup($D344,Python!$D$2:$F$1000,3,FALSE)</f>
        <v>70.4</v>
      </c>
      <c r="L344" s="133">
        <v>0.0</v>
      </c>
      <c r="N344" s="133" t="s">
        <v>585</v>
      </c>
      <c r="P344" s="122" t="s">
        <v>585</v>
      </c>
      <c r="R344" s="122" t="s">
        <v>585</v>
      </c>
      <c r="T344" s="122" t="s">
        <v>585</v>
      </c>
    </row>
    <row r="345">
      <c r="A345" s="167">
        <v>177.0</v>
      </c>
      <c r="B345" s="167" t="s">
        <v>975</v>
      </c>
      <c r="C345" s="167" t="s">
        <v>422</v>
      </c>
      <c r="D345" s="412" t="s">
        <v>977</v>
      </c>
      <c r="E345" s="346"/>
      <c r="F345" s="386" t="s">
        <v>647</v>
      </c>
      <c r="G345" s="122" t="s">
        <v>21</v>
      </c>
      <c r="H345" s="122">
        <v>1.0</v>
      </c>
      <c r="J345" s="133">
        <v>0.0</v>
      </c>
      <c r="K345" s="366">
        <f>vlookup($D345,Python!$D$2:$F$1000,3,FALSE)</f>
        <v>35.2</v>
      </c>
      <c r="L345" s="133">
        <v>0.0</v>
      </c>
      <c r="N345" s="133" t="s">
        <v>585</v>
      </c>
      <c r="P345" s="122" t="s">
        <v>585</v>
      </c>
      <c r="R345" s="122" t="s">
        <v>585</v>
      </c>
      <c r="T345" s="122" t="s">
        <v>585</v>
      </c>
    </row>
    <row r="346">
      <c r="A346" s="167">
        <v>178.0</v>
      </c>
      <c r="B346" s="167" t="s">
        <v>978</v>
      </c>
      <c r="C346" s="167" t="s">
        <v>418</v>
      </c>
      <c r="D346" s="413" t="s">
        <v>979</v>
      </c>
      <c r="E346" s="414">
        <v>44415.0</v>
      </c>
      <c r="F346" s="386" t="s">
        <v>647</v>
      </c>
      <c r="G346" s="122" t="s">
        <v>980</v>
      </c>
      <c r="H346" s="122">
        <v>1.0</v>
      </c>
      <c r="J346" s="133">
        <v>0.0</v>
      </c>
      <c r="K346" s="366">
        <f>vlookup($D346,Python!$D$2:$F$1000,3,FALSE)</f>
        <v>3.9</v>
      </c>
      <c r="L346" s="133">
        <v>0.0</v>
      </c>
      <c r="N346" s="133" t="s">
        <v>585</v>
      </c>
      <c r="P346" s="122" t="s">
        <v>585</v>
      </c>
      <c r="R346" s="122" t="s">
        <v>585</v>
      </c>
      <c r="T346" s="122" t="s">
        <v>585</v>
      </c>
    </row>
    <row r="347">
      <c r="A347" s="167">
        <v>179.0</v>
      </c>
      <c r="B347" s="167" t="s">
        <v>981</v>
      </c>
      <c r="C347" s="167" t="s">
        <v>418</v>
      </c>
      <c r="D347" s="413" t="s">
        <v>982</v>
      </c>
      <c r="E347" s="414">
        <v>44403.0</v>
      </c>
      <c r="F347" s="386" t="s">
        <v>641</v>
      </c>
      <c r="G347" s="122" t="s">
        <v>21</v>
      </c>
      <c r="H347" s="122">
        <v>1.0</v>
      </c>
      <c r="J347" s="133">
        <v>0.0</v>
      </c>
      <c r="K347" s="366">
        <f>vlookup($D347,Python!$D$2:$F$1000,3,FALSE)</f>
        <v>41</v>
      </c>
      <c r="L347" s="133">
        <v>0.0</v>
      </c>
      <c r="N347" s="133" t="s">
        <v>585</v>
      </c>
      <c r="P347" s="122" t="s">
        <v>585</v>
      </c>
      <c r="R347" s="122" t="s">
        <v>585</v>
      </c>
      <c r="T347" s="122" t="s">
        <v>585</v>
      </c>
    </row>
    <row r="348">
      <c r="A348" s="167">
        <v>180.0</v>
      </c>
      <c r="B348" s="167" t="s">
        <v>983</v>
      </c>
      <c r="C348" s="167" t="s">
        <v>418</v>
      </c>
      <c r="D348" s="407" t="s">
        <v>984</v>
      </c>
      <c r="E348" s="408">
        <v>44409.0</v>
      </c>
      <c r="F348" s="386" t="s">
        <v>641</v>
      </c>
      <c r="G348" s="122" t="s">
        <v>21</v>
      </c>
      <c r="H348" s="122">
        <v>1.0</v>
      </c>
      <c r="J348" s="133">
        <v>0.0</v>
      </c>
      <c r="K348" s="366" t="str">
        <f>vlookup($D348,Python!$D$2:$F$1000,3,FALSE)</f>
        <v/>
      </c>
      <c r="L348" s="133" t="s">
        <v>585</v>
      </c>
      <c r="N348" s="133" t="s">
        <v>585</v>
      </c>
      <c r="P348" s="122" t="s">
        <v>585</v>
      </c>
      <c r="R348" s="122" t="s">
        <v>585</v>
      </c>
      <c r="T348" s="122" t="s">
        <v>585</v>
      </c>
    </row>
    <row r="349">
      <c r="A349" s="167">
        <v>181.0</v>
      </c>
      <c r="B349" s="167" t="s">
        <v>985</v>
      </c>
      <c r="C349" s="167" t="s">
        <v>418</v>
      </c>
      <c r="D349" s="407" t="s">
        <v>986</v>
      </c>
      <c r="E349" s="408">
        <v>44409.0</v>
      </c>
      <c r="F349" s="386" t="s">
        <v>641</v>
      </c>
      <c r="G349" s="122" t="s">
        <v>21</v>
      </c>
      <c r="H349" s="122">
        <v>1.0</v>
      </c>
      <c r="J349" s="133">
        <v>0.0</v>
      </c>
      <c r="K349" s="366" t="str">
        <f>vlookup($D349,Python!$D$2:$F$1000,3,FALSE)</f>
        <v/>
      </c>
      <c r="L349" s="133" t="s">
        <v>585</v>
      </c>
      <c r="N349" s="133" t="s">
        <v>585</v>
      </c>
      <c r="P349" s="122" t="s">
        <v>585</v>
      </c>
      <c r="R349" s="122" t="s">
        <v>585</v>
      </c>
      <c r="T349" s="122" t="s">
        <v>585</v>
      </c>
    </row>
    <row r="350">
      <c r="A350" s="167">
        <v>182.0</v>
      </c>
      <c r="B350" s="167" t="s">
        <v>987</v>
      </c>
      <c r="C350" s="167" t="s">
        <v>418</v>
      </c>
      <c r="D350" s="407" t="s">
        <v>988</v>
      </c>
      <c r="E350" s="408">
        <v>44414.0</v>
      </c>
      <c r="F350" s="386" t="s">
        <v>641</v>
      </c>
      <c r="G350" s="122" t="s">
        <v>21</v>
      </c>
      <c r="H350" s="122">
        <v>1.0</v>
      </c>
      <c r="J350" s="133">
        <v>0.0</v>
      </c>
      <c r="K350" s="366" t="str">
        <f>vlookup($D350,Python!$D$2:$F$1000,3,FALSE)</f>
        <v/>
      </c>
      <c r="L350" s="133" t="s">
        <v>585</v>
      </c>
      <c r="N350" s="133" t="s">
        <v>585</v>
      </c>
      <c r="P350" s="122" t="s">
        <v>585</v>
      </c>
      <c r="R350" s="122" t="s">
        <v>585</v>
      </c>
      <c r="T350" s="122" t="s">
        <v>585</v>
      </c>
    </row>
    <row r="351">
      <c r="A351" s="167">
        <v>183.0</v>
      </c>
      <c r="B351" s="167" t="s">
        <v>989</v>
      </c>
      <c r="C351" s="167" t="s">
        <v>418</v>
      </c>
      <c r="D351" s="407" t="s">
        <v>990</v>
      </c>
      <c r="E351" s="408">
        <v>44413.0</v>
      </c>
      <c r="F351" s="386" t="s">
        <v>641</v>
      </c>
      <c r="G351" s="122" t="s">
        <v>21</v>
      </c>
      <c r="H351" s="122">
        <v>1.0</v>
      </c>
      <c r="J351" s="133">
        <v>0.0</v>
      </c>
      <c r="K351" s="366" t="str">
        <f>vlookup($D351,Python!$D$2:$F$1000,3,FALSE)</f>
        <v/>
      </c>
      <c r="L351" s="133" t="s">
        <v>585</v>
      </c>
      <c r="N351" s="133" t="s">
        <v>585</v>
      </c>
      <c r="P351" s="122" t="s">
        <v>585</v>
      </c>
      <c r="R351" s="122" t="s">
        <v>585</v>
      </c>
      <c r="T351" s="122" t="s">
        <v>585</v>
      </c>
    </row>
    <row r="352">
      <c r="A352" s="167">
        <v>184.0</v>
      </c>
      <c r="B352" s="167" t="s">
        <v>991</v>
      </c>
      <c r="C352" s="167" t="s">
        <v>422</v>
      </c>
      <c r="D352" s="407" t="s">
        <v>992</v>
      </c>
      <c r="E352" s="408">
        <v>44422.0</v>
      </c>
      <c r="F352" s="386" t="s">
        <v>641</v>
      </c>
      <c r="G352" s="122" t="s">
        <v>21</v>
      </c>
      <c r="H352" s="122">
        <v>1.0</v>
      </c>
      <c r="J352" s="133">
        <v>0.0</v>
      </c>
      <c r="K352" s="366">
        <f>vlookup($D352,Python!$D$2:$F$1000,3,FALSE)</f>
        <v>51.6</v>
      </c>
      <c r="L352" s="133">
        <v>0.0</v>
      </c>
      <c r="N352" s="133" t="s">
        <v>585</v>
      </c>
      <c r="P352" s="122" t="s">
        <v>585</v>
      </c>
      <c r="R352" s="122" t="s">
        <v>585</v>
      </c>
      <c r="T352" s="122" t="s">
        <v>585</v>
      </c>
    </row>
    <row r="353">
      <c r="A353" s="167">
        <v>185.0</v>
      </c>
      <c r="B353" s="167" t="s">
        <v>993</v>
      </c>
      <c r="C353" s="167" t="s">
        <v>418</v>
      </c>
      <c r="D353" s="415" t="s">
        <v>994</v>
      </c>
      <c r="E353" s="408">
        <v>44407.0</v>
      </c>
      <c r="F353" s="386" t="s">
        <v>641</v>
      </c>
      <c r="G353" s="122" t="s">
        <v>21</v>
      </c>
      <c r="H353" s="122">
        <v>1.0</v>
      </c>
      <c r="J353" s="133">
        <v>0.0</v>
      </c>
      <c r="K353" s="366">
        <f>vlookup($D353,Python!$D$2:$F$1000,3,FALSE)</f>
        <v>55</v>
      </c>
      <c r="L353" s="133">
        <v>1000000.0</v>
      </c>
      <c r="N353" s="133" t="s">
        <v>585</v>
      </c>
      <c r="P353" s="122" t="s">
        <v>585</v>
      </c>
      <c r="R353" s="122" t="s">
        <v>585</v>
      </c>
      <c r="T353" s="122" t="s">
        <v>585</v>
      </c>
    </row>
    <row r="354">
      <c r="A354" s="167">
        <v>186.0</v>
      </c>
      <c r="B354" s="167" t="s">
        <v>995</v>
      </c>
      <c r="C354" s="167" t="s">
        <v>418</v>
      </c>
      <c r="D354" s="415" t="s">
        <v>996</v>
      </c>
      <c r="E354" s="408">
        <v>44423.0</v>
      </c>
      <c r="F354" s="386" t="s">
        <v>641</v>
      </c>
      <c r="G354" s="122" t="s">
        <v>980</v>
      </c>
      <c r="H354" s="122">
        <v>1.0</v>
      </c>
      <c r="J354" s="133">
        <v>0.0</v>
      </c>
      <c r="K354" s="366">
        <f>vlookup($D354,Python!$D$2:$F$1000,3,FALSE)</f>
        <v>33</v>
      </c>
      <c r="L354" s="133">
        <v>0.0</v>
      </c>
      <c r="N354" s="133" t="s">
        <v>585</v>
      </c>
      <c r="P354" s="122" t="s">
        <v>585</v>
      </c>
      <c r="R354" s="122" t="s">
        <v>585</v>
      </c>
      <c r="T354" s="122" t="s">
        <v>585</v>
      </c>
    </row>
    <row r="355">
      <c r="A355" s="167">
        <v>187.0</v>
      </c>
      <c r="B355" s="277" t="s">
        <v>900</v>
      </c>
      <c r="C355" s="167" t="s">
        <v>418</v>
      </c>
      <c r="D355" s="311" t="s">
        <v>997</v>
      </c>
      <c r="E355" s="385">
        <v>44404.0</v>
      </c>
      <c r="F355" s="386" t="s">
        <v>642</v>
      </c>
      <c r="G355" s="122" t="s">
        <v>21</v>
      </c>
      <c r="H355" s="122">
        <v>1.0</v>
      </c>
      <c r="J355" s="133">
        <v>0.0</v>
      </c>
      <c r="K355" s="366">
        <f>vlookup($D355,Python!$D$2:$F$1000,3,FALSE)</f>
        <v>271</v>
      </c>
      <c r="L355" s="133">
        <v>5000000.0</v>
      </c>
      <c r="N355" s="133" t="s">
        <v>585</v>
      </c>
      <c r="P355" s="122" t="s">
        <v>585</v>
      </c>
      <c r="R355" s="122" t="s">
        <v>585</v>
      </c>
      <c r="T355" s="122" t="s">
        <v>585</v>
      </c>
    </row>
    <row r="356">
      <c r="A356" s="167">
        <v>188.0</v>
      </c>
      <c r="B356" s="277" t="s">
        <v>900</v>
      </c>
      <c r="C356" s="167" t="s">
        <v>418</v>
      </c>
      <c r="D356" s="311" t="s">
        <v>998</v>
      </c>
      <c r="E356" s="385">
        <v>44406.0</v>
      </c>
      <c r="F356" s="386" t="s">
        <v>642</v>
      </c>
      <c r="G356" s="122" t="s">
        <v>21</v>
      </c>
      <c r="H356" s="122">
        <v>1.0</v>
      </c>
      <c r="J356" s="133">
        <v>0.0</v>
      </c>
      <c r="K356" s="366">
        <f>vlookup($D356,Python!$D$2:$F$1000,3,FALSE)</f>
        <v>1000</v>
      </c>
      <c r="L356" s="133">
        <v>2.0E7</v>
      </c>
      <c r="N356" s="133" t="s">
        <v>585</v>
      </c>
      <c r="P356" s="122" t="s">
        <v>585</v>
      </c>
      <c r="R356" s="122" t="s">
        <v>585</v>
      </c>
      <c r="T356" s="122" t="s">
        <v>585</v>
      </c>
    </row>
    <row r="357">
      <c r="A357" s="167">
        <v>189.0</v>
      </c>
      <c r="B357" s="277" t="s">
        <v>900</v>
      </c>
      <c r="C357" s="167" t="s">
        <v>418</v>
      </c>
      <c r="D357" s="310" t="s">
        <v>999</v>
      </c>
      <c r="E357" s="385">
        <v>44416.0</v>
      </c>
      <c r="F357" s="386" t="s">
        <v>647</v>
      </c>
      <c r="G357" s="122" t="s">
        <v>21</v>
      </c>
      <c r="H357" s="122">
        <v>1.0</v>
      </c>
      <c r="J357" s="133">
        <v>0.0</v>
      </c>
      <c r="K357" s="366">
        <f>vlookup($D357,Python!$D$2:$F$1000,3,FALSE)</f>
        <v>412</v>
      </c>
      <c r="L357" s="133">
        <v>8000000.0</v>
      </c>
      <c r="N357" s="133" t="s">
        <v>585</v>
      </c>
      <c r="P357" s="122" t="s">
        <v>585</v>
      </c>
      <c r="R357" s="122" t="s">
        <v>585</v>
      </c>
      <c r="T357" s="122" t="s">
        <v>585</v>
      </c>
    </row>
    <row r="358">
      <c r="A358" s="167">
        <v>190.0</v>
      </c>
      <c r="B358" s="277" t="s">
        <v>900</v>
      </c>
      <c r="C358" s="167" t="s">
        <v>418</v>
      </c>
      <c r="D358" s="311" t="s">
        <v>1000</v>
      </c>
      <c r="E358" s="385">
        <v>44423.0</v>
      </c>
      <c r="F358" s="386" t="s">
        <v>647</v>
      </c>
      <c r="G358" s="122" t="s">
        <v>21</v>
      </c>
      <c r="H358" s="122">
        <v>1.0</v>
      </c>
      <c r="J358" s="133">
        <v>0.0</v>
      </c>
      <c r="K358" s="366">
        <f>vlookup($D358,Python!$D$2:$F$1000,3,FALSE)</f>
        <v>307</v>
      </c>
      <c r="L358" s="133">
        <v>6000000.0</v>
      </c>
      <c r="N358" s="133" t="s">
        <v>585</v>
      </c>
      <c r="P358" s="122" t="s">
        <v>585</v>
      </c>
      <c r="R358" s="122" t="s">
        <v>585</v>
      </c>
      <c r="T358" s="122" t="s">
        <v>585</v>
      </c>
    </row>
    <row r="359">
      <c r="A359" s="167">
        <v>191.0</v>
      </c>
      <c r="B359" s="416" t="s">
        <v>913</v>
      </c>
      <c r="C359" s="167" t="s">
        <v>418</v>
      </c>
      <c r="D359" s="311" t="s">
        <v>1001</v>
      </c>
      <c r="E359" s="385">
        <v>44410.0</v>
      </c>
      <c r="F359" s="386" t="s">
        <v>642</v>
      </c>
      <c r="G359" s="122" t="s">
        <v>21</v>
      </c>
      <c r="H359" s="122">
        <v>1.0</v>
      </c>
      <c r="J359" s="133">
        <v>0.0</v>
      </c>
      <c r="K359" s="366">
        <f>vlookup($D359,Python!$D$2:$F$1000,3,FALSE)</f>
        <v>97</v>
      </c>
      <c r="L359" s="133">
        <v>1000000.0</v>
      </c>
      <c r="N359" s="133" t="s">
        <v>585</v>
      </c>
      <c r="P359" s="122" t="s">
        <v>585</v>
      </c>
      <c r="R359" s="122" t="s">
        <v>585</v>
      </c>
      <c r="T359" s="122" t="s">
        <v>585</v>
      </c>
    </row>
    <row r="360">
      <c r="A360" s="167">
        <v>192.0</v>
      </c>
      <c r="B360" s="167" t="s">
        <v>913</v>
      </c>
      <c r="C360" s="167" t="s">
        <v>418</v>
      </c>
      <c r="D360" s="311" t="s">
        <v>1002</v>
      </c>
      <c r="E360" s="385">
        <v>44416.0</v>
      </c>
      <c r="F360" s="386" t="s">
        <v>647</v>
      </c>
      <c r="G360" s="122" t="s">
        <v>21</v>
      </c>
      <c r="H360" s="122">
        <v>1.0</v>
      </c>
      <c r="J360" s="133">
        <v>0.0</v>
      </c>
      <c r="K360" s="366">
        <f>vlookup($D360,Python!$D$2:$F$1000,3,FALSE)</f>
        <v>158</v>
      </c>
      <c r="L360" s="133">
        <v>3000000.0</v>
      </c>
      <c r="N360" s="133" t="s">
        <v>585</v>
      </c>
      <c r="P360" s="122" t="s">
        <v>585</v>
      </c>
      <c r="R360" s="122" t="s">
        <v>585</v>
      </c>
      <c r="T360" s="122" t="s">
        <v>585</v>
      </c>
    </row>
    <row r="361">
      <c r="A361" s="167">
        <v>193.0</v>
      </c>
      <c r="B361" s="167" t="s">
        <v>913</v>
      </c>
      <c r="C361" s="167" t="s">
        <v>418</v>
      </c>
      <c r="D361" s="311" t="s">
        <v>1003</v>
      </c>
      <c r="E361" s="385">
        <v>44422.0</v>
      </c>
      <c r="F361" s="386" t="s">
        <v>647</v>
      </c>
      <c r="G361" s="122" t="s">
        <v>21</v>
      </c>
      <c r="H361" s="122">
        <v>1.0</v>
      </c>
      <c r="J361" s="133">
        <v>0.0</v>
      </c>
      <c r="K361" s="366">
        <f>vlookup($D361,Python!$D$2:$F$1000,3,FALSE)</f>
        <v>17</v>
      </c>
      <c r="L361" s="133">
        <v>0.0</v>
      </c>
      <c r="N361" s="133" t="s">
        <v>585</v>
      </c>
      <c r="P361" s="122" t="s">
        <v>585</v>
      </c>
      <c r="R361" s="122" t="s">
        <v>585</v>
      </c>
      <c r="T361" s="122" t="s">
        <v>585</v>
      </c>
    </row>
    <row r="362">
      <c r="A362" s="167">
        <v>194.0</v>
      </c>
      <c r="B362" s="167" t="s">
        <v>913</v>
      </c>
      <c r="C362" s="167" t="s">
        <v>418</v>
      </c>
      <c r="D362" s="311" t="s">
        <v>1004</v>
      </c>
      <c r="E362" s="385">
        <v>44425.0</v>
      </c>
      <c r="F362" s="386" t="s">
        <v>647</v>
      </c>
      <c r="G362" s="122" t="s">
        <v>21</v>
      </c>
      <c r="H362" s="122">
        <v>1.0</v>
      </c>
      <c r="J362" s="133">
        <v>0.0</v>
      </c>
      <c r="K362" s="366">
        <f>vlookup($D362,Python!$D$2:$F$1000,3,FALSE)</f>
        <v>14</v>
      </c>
      <c r="L362" s="133">
        <v>0.0</v>
      </c>
      <c r="N362" s="133" t="s">
        <v>585</v>
      </c>
      <c r="P362" s="122" t="s">
        <v>585</v>
      </c>
      <c r="R362" s="122" t="s">
        <v>585</v>
      </c>
      <c r="T362" s="122" t="s">
        <v>585</v>
      </c>
    </row>
    <row r="363">
      <c r="A363" s="167">
        <v>195.0</v>
      </c>
      <c r="B363" s="167" t="s">
        <v>1005</v>
      </c>
      <c r="C363" s="167" t="s">
        <v>422</v>
      </c>
      <c r="D363" s="311" t="s">
        <v>1006</v>
      </c>
      <c r="E363" s="385">
        <v>44423.0</v>
      </c>
      <c r="F363" s="386" t="s">
        <v>647</v>
      </c>
      <c r="G363" s="122" t="s">
        <v>21</v>
      </c>
      <c r="H363" s="122">
        <v>1.0</v>
      </c>
      <c r="J363" s="133">
        <v>0.0</v>
      </c>
      <c r="K363" s="366" t="str">
        <f>vlookup($D363,Python!$D$2:$F$1000,3,FALSE)</f>
        <v/>
      </c>
      <c r="L363" s="133" t="s">
        <v>585</v>
      </c>
      <c r="N363" s="133" t="s">
        <v>585</v>
      </c>
      <c r="P363" s="122" t="s">
        <v>585</v>
      </c>
      <c r="R363" s="122" t="s">
        <v>585</v>
      </c>
      <c r="T363" s="122" t="s">
        <v>585</v>
      </c>
    </row>
    <row r="364">
      <c r="A364" s="167">
        <v>196.0</v>
      </c>
      <c r="B364" s="277" t="s">
        <v>1007</v>
      </c>
      <c r="C364" s="167" t="s">
        <v>422</v>
      </c>
      <c r="D364" s="311" t="s">
        <v>1008</v>
      </c>
      <c r="E364" s="385">
        <v>44414.0</v>
      </c>
      <c r="F364" s="386" t="s">
        <v>642</v>
      </c>
      <c r="G364" s="122" t="s">
        <v>21</v>
      </c>
      <c r="H364" s="122">
        <v>1.0</v>
      </c>
      <c r="J364" s="133">
        <v>0.0</v>
      </c>
      <c r="K364" s="366">
        <f>vlookup($D364,Python!$D$2:$F$1000,3,FALSE)</f>
        <v>9200</v>
      </c>
      <c r="L364" s="133">
        <v>4.6E7</v>
      </c>
      <c r="N364" s="133" t="s">
        <v>585</v>
      </c>
      <c r="P364" s="122" t="s">
        <v>585</v>
      </c>
      <c r="R364" s="122" t="s">
        <v>585</v>
      </c>
      <c r="T364" s="122" t="s">
        <v>585</v>
      </c>
    </row>
    <row r="365">
      <c r="A365" s="167">
        <v>197.0</v>
      </c>
      <c r="B365" s="277" t="s">
        <v>1007</v>
      </c>
      <c r="C365" s="167" t="s">
        <v>422</v>
      </c>
      <c r="D365" s="311" t="s">
        <v>1009</v>
      </c>
      <c r="E365" s="385">
        <v>44416.0</v>
      </c>
      <c r="F365" s="386" t="s">
        <v>641</v>
      </c>
      <c r="G365" s="122" t="s">
        <v>21</v>
      </c>
      <c r="H365" s="122">
        <v>1.0</v>
      </c>
      <c r="J365" s="133">
        <v>0.0</v>
      </c>
      <c r="K365" s="366">
        <f>vlookup($D365,Python!$D$2:$F$1000,3,FALSE)</f>
        <v>2400</v>
      </c>
      <c r="L365" s="133">
        <v>1.2E7</v>
      </c>
      <c r="N365" s="133" t="s">
        <v>585</v>
      </c>
      <c r="P365" s="122" t="s">
        <v>585</v>
      </c>
      <c r="R365" s="122" t="s">
        <v>585</v>
      </c>
      <c r="T365" s="122" t="s">
        <v>585</v>
      </c>
    </row>
    <row r="366">
      <c r="A366" s="167">
        <v>198.0</v>
      </c>
      <c r="B366" s="277" t="s">
        <v>1007</v>
      </c>
      <c r="C366" s="167" t="s">
        <v>422</v>
      </c>
      <c r="D366" s="310" t="s">
        <v>1010</v>
      </c>
      <c r="E366" s="385">
        <v>44417.0</v>
      </c>
      <c r="F366" s="386" t="s">
        <v>642</v>
      </c>
      <c r="G366" s="122" t="s">
        <v>21</v>
      </c>
      <c r="H366" s="122">
        <v>1.0</v>
      </c>
      <c r="J366" s="133">
        <v>0.0</v>
      </c>
      <c r="K366" s="366">
        <f>vlookup($D366,Python!$D$2:$F$1000,3,FALSE)</f>
        <v>4600</v>
      </c>
      <c r="L366" s="133">
        <v>2.3E7</v>
      </c>
      <c r="N366" s="133" t="s">
        <v>585</v>
      </c>
      <c r="P366" s="122" t="s">
        <v>585</v>
      </c>
      <c r="R366" s="122" t="s">
        <v>585</v>
      </c>
      <c r="T366" s="122" t="s">
        <v>585</v>
      </c>
    </row>
    <row r="367">
      <c r="A367" s="167">
        <v>199.0</v>
      </c>
      <c r="B367" s="277" t="s">
        <v>1007</v>
      </c>
      <c r="C367" s="167" t="s">
        <v>422</v>
      </c>
      <c r="D367" s="311" t="s">
        <v>1011</v>
      </c>
      <c r="E367" s="385">
        <v>44421.0</v>
      </c>
      <c r="F367" s="386" t="s">
        <v>642</v>
      </c>
      <c r="G367" s="122" t="s">
        <v>21</v>
      </c>
      <c r="H367" s="122">
        <v>1.0</v>
      </c>
      <c r="J367" s="133">
        <v>0.0</v>
      </c>
      <c r="K367" s="366">
        <f>vlookup($D367,Python!$D$2:$F$1000,3,FALSE)</f>
        <v>6000</v>
      </c>
      <c r="L367" s="133">
        <v>3.0E7</v>
      </c>
      <c r="N367" s="133" t="s">
        <v>585</v>
      </c>
      <c r="P367" s="122" t="s">
        <v>585</v>
      </c>
      <c r="R367" s="122" t="s">
        <v>585</v>
      </c>
      <c r="T367" s="122" t="s">
        <v>585</v>
      </c>
    </row>
    <row r="368">
      <c r="A368" s="167">
        <v>200.0</v>
      </c>
      <c r="B368" s="277" t="s">
        <v>1007</v>
      </c>
      <c r="C368" s="167" t="s">
        <v>422</v>
      </c>
      <c r="D368" s="311" t="s">
        <v>1012</v>
      </c>
      <c r="E368" s="385">
        <v>44423.0</v>
      </c>
      <c r="F368" s="386" t="s">
        <v>647</v>
      </c>
      <c r="G368" s="122" t="s">
        <v>21</v>
      </c>
      <c r="H368" s="122">
        <v>1.0</v>
      </c>
      <c r="J368" s="133">
        <v>0.0</v>
      </c>
      <c r="K368" s="366">
        <f>vlookup($D368,Python!$D$2:$F$1000,3,FALSE)</f>
        <v>535.4</v>
      </c>
      <c r="L368" s="133">
        <v>2500000.0</v>
      </c>
      <c r="N368" s="133" t="s">
        <v>585</v>
      </c>
      <c r="P368" s="122" t="s">
        <v>585</v>
      </c>
      <c r="R368" s="122" t="s">
        <v>585</v>
      </c>
      <c r="T368" s="122" t="s">
        <v>585</v>
      </c>
    </row>
    <row r="369">
      <c r="A369" s="167">
        <v>201.0</v>
      </c>
      <c r="B369" s="167" t="s">
        <v>561</v>
      </c>
      <c r="C369" s="167" t="s">
        <v>422</v>
      </c>
      <c r="D369" s="311" t="s">
        <v>1013</v>
      </c>
      <c r="E369" s="385">
        <v>44407.0</v>
      </c>
      <c r="F369" s="386" t="s">
        <v>647</v>
      </c>
      <c r="G369" s="122" t="s">
        <v>21</v>
      </c>
      <c r="H369" s="122">
        <v>1.0</v>
      </c>
      <c r="J369" s="133">
        <v>0.0</v>
      </c>
      <c r="K369" s="366">
        <f>vlookup($D369,Python!$D$2:$F$1000,3,FALSE)</f>
        <v>159.2</v>
      </c>
      <c r="L369" s="133">
        <v>500000.0</v>
      </c>
      <c r="N369" s="133" t="s">
        <v>585</v>
      </c>
      <c r="P369" s="122" t="s">
        <v>585</v>
      </c>
      <c r="R369" s="122" t="s">
        <v>585</v>
      </c>
      <c r="T369" s="122" t="s">
        <v>585</v>
      </c>
    </row>
    <row r="370">
      <c r="A370" s="167">
        <v>202.0</v>
      </c>
      <c r="B370" s="167" t="s">
        <v>561</v>
      </c>
      <c r="C370" s="167" t="s">
        <v>422</v>
      </c>
      <c r="D370" s="311" t="s">
        <v>1014</v>
      </c>
      <c r="E370" s="385">
        <v>44417.0</v>
      </c>
      <c r="F370" s="386" t="s">
        <v>647</v>
      </c>
      <c r="G370" s="122" t="s">
        <v>21</v>
      </c>
      <c r="H370" s="122">
        <v>1.0</v>
      </c>
      <c r="J370" s="133">
        <v>0.0</v>
      </c>
      <c r="K370" s="366">
        <f>vlookup($D370,Python!$D$2:$F$1000,3,FALSE)</f>
        <v>341.9</v>
      </c>
      <c r="L370" s="133">
        <v>1500000.0</v>
      </c>
      <c r="N370" s="133" t="s">
        <v>585</v>
      </c>
      <c r="P370" s="122" t="s">
        <v>585</v>
      </c>
      <c r="R370" s="122" t="s">
        <v>585</v>
      </c>
      <c r="T370" s="122" t="s">
        <v>585</v>
      </c>
    </row>
    <row r="371">
      <c r="A371" s="167">
        <v>203.0</v>
      </c>
      <c r="B371" s="167" t="s">
        <v>561</v>
      </c>
      <c r="C371" s="167" t="s">
        <v>422</v>
      </c>
      <c r="D371" s="311" t="s">
        <v>1015</v>
      </c>
      <c r="E371" s="385">
        <v>44405.0</v>
      </c>
      <c r="F371" s="386" t="s">
        <v>647</v>
      </c>
      <c r="G371" s="122" t="s">
        <v>21</v>
      </c>
      <c r="H371" s="122">
        <v>1.0</v>
      </c>
      <c r="J371" s="133">
        <v>0.0</v>
      </c>
      <c r="K371" s="366">
        <f>vlookup($D371,Python!$D$2:$F$1000,3,FALSE)</f>
        <v>76.3</v>
      </c>
      <c r="L371" s="133">
        <v>0.0</v>
      </c>
      <c r="N371" s="133" t="s">
        <v>585</v>
      </c>
      <c r="P371" s="122" t="s">
        <v>585</v>
      </c>
      <c r="R371" s="122" t="s">
        <v>585</v>
      </c>
      <c r="T371" s="122" t="s">
        <v>585</v>
      </c>
    </row>
    <row r="372">
      <c r="A372" s="167">
        <v>204.0</v>
      </c>
      <c r="B372" s="167" t="s">
        <v>1016</v>
      </c>
      <c r="C372" s="167" t="s">
        <v>422</v>
      </c>
      <c r="D372" s="311" t="s">
        <v>1017</v>
      </c>
      <c r="E372" s="385">
        <v>44405.0</v>
      </c>
      <c r="F372" s="386" t="s">
        <v>642</v>
      </c>
      <c r="G372" s="122" t="s">
        <v>21</v>
      </c>
      <c r="H372" s="122">
        <v>1.0</v>
      </c>
      <c r="J372" s="133">
        <v>0.0</v>
      </c>
      <c r="K372" s="366">
        <f>vlookup($D372,Python!$D$2:$F$1000,3,FALSE)</f>
        <v>1100</v>
      </c>
      <c r="L372" s="133">
        <v>5500000.0</v>
      </c>
      <c r="N372" s="133" t="s">
        <v>585</v>
      </c>
      <c r="P372" s="122" t="s">
        <v>585</v>
      </c>
      <c r="R372" s="122" t="s">
        <v>585</v>
      </c>
      <c r="T372" s="122" t="s">
        <v>585</v>
      </c>
    </row>
    <row r="373">
      <c r="A373" s="167">
        <v>205.0</v>
      </c>
      <c r="B373" s="167" t="s">
        <v>1016</v>
      </c>
      <c r="C373" s="167" t="s">
        <v>422</v>
      </c>
      <c r="D373" s="311" t="s">
        <v>1018</v>
      </c>
      <c r="E373" s="385">
        <v>44408.0</v>
      </c>
      <c r="F373" s="386" t="s">
        <v>642</v>
      </c>
      <c r="G373" s="122" t="s">
        <v>21</v>
      </c>
      <c r="H373" s="122">
        <v>1.0</v>
      </c>
      <c r="J373" s="133">
        <v>0.0</v>
      </c>
      <c r="K373" s="366">
        <f>vlookup($D373,Python!$D$2:$F$1000,3,FALSE)</f>
        <v>1400</v>
      </c>
      <c r="L373" s="133">
        <v>7000000.0</v>
      </c>
      <c r="N373" s="133" t="s">
        <v>585</v>
      </c>
      <c r="P373" s="122" t="s">
        <v>585</v>
      </c>
      <c r="R373" s="122" t="s">
        <v>585</v>
      </c>
      <c r="T373" s="122" t="s">
        <v>585</v>
      </c>
    </row>
    <row r="374">
      <c r="A374" s="167">
        <v>206.0</v>
      </c>
      <c r="B374" s="167" t="s">
        <v>1016</v>
      </c>
      <c r="C374" s="167" t="s">
        <v>422</v>
      </c>
      <c r="D374" s="311" t="s">
        <v>1019</v>
      </c>
      <c r="E374" s="385">
        <v>44411.0</v>
      </c>
      <c r="F374" s="386" t="s">
        <v>642</v>
      </c>
      <c r="G374" s="122" t="s">
        <v>21</v>
      </c>
      <c r="H374" s="122">
        <v>1.0</v>
      </c>
      <c r="J374" s="133">
        <v>0.0</v>
      </c>
      <c r="K374" s="366">
        <f>vlookup($D374,Python!$D$2:$F$1000,3,FALSE)</f>
        <v>88.7</v>
      </c>
      <c r="L374" s="133">
        <v>0.0</v>
      </c>
      <c r="N374" s="133" t="s">
        <v>585</v>
      </c>
      <c r="P374" s="122" t="s">
        <v>585</v>
      </c>
      <c r="R374" s="122" t="s">
        <v>585</v>
      </c>
      <c r="T374" s="122" t="s">
        <v>585</v>
      </c>
    </row>
    <row r="375">
      <c r="A375" s="167">
        <v>207.0</v>
      </c>
      <c r="B375" s="167" t="s">
        <v>1016</v>
      </c>
      <c r="C375" s="167" t="s">
        <v>422</v>
      </c>
      <c r="D375" s="311" t="s">
        <v>1020</v>
      </c>
      <c r="E375" s="385">
        <v>44412.0</v>
      </c>
      <c r="F375" s="386" t="s">
        <v>642</v>
      </c>
      <c r="G375" s="122" t="s">
        <v>21</v>
      </c>
      <c r="H375" s="122">
        <v>1.0</v>
      </c>
      <c r="J375" s="133">
        <v>0.0</v>
      </c>
      <c r="K375" s="366">
        <f>vlookup($D375,Python!$D$2:$F$1000,3,FALSE)</f>
        <v>164.6</v>
      </c>
      <c r="L375" s="133">
        <v>500000.0</v>
      </c>
      <c r="N375" s="133" t="s">
        <v>585</v>
      </c>
      <c r="P375" s="122" t="s">
        <v>585</v>
      </c>
      <c r="R375" s="122" t="s">
        <v>585</v>
      </c>
      <c r="T375" s="122" t="s">
        <v>585</v>
      </c>
    </row>
    <row r="376">
      <c r="A376" s="167">
        <v>208.0</v>
      </c>
      <c r="B376" s="167" t="s">
        <v>1016</v>
      </c>
      <c r="C376" s="167" t="s">
        <v>422</v>
      </c>
      <c r="D376" s="310" t="s">
        <v>1021</v>
      </c>
      <c r="E376" s="385">
        <v>44415.0</v>
      </c>
      <c r="F376" s="386" t="s">
        <v>642</v>
      </c>
      <c r="G376" s="122" t="s">
        <v>21</v>
      </c>
      <c r="H376" s="122">
        <v>1.0</v>
      </c>
      <c r="J376" s="133">
        <v>0.0</v>
      </c>
      <c r="K376" s="366">
        <f>vlookup($D376,Python!$D$2:$F$1000,3,FALSE)</f>
        <v>462.3</v>
      </c>
      <c r="L376" s="133">
        <v>2000000.0</v>
      </c>
      <c r="N376" s="133" t="s">
        <v>585</v>
      </c>
      <c r="P376" s="122" t="s">
        <v>585</v>
      </c>
      <c r="R376" s="122" t="s">
        <v>585</v>
      </c>
      <c r="T376" s="122" t="s">
        <v>585</v>
      </c>
    </row>
    <row r="377">
      <c r="A377" s="167">
        <v>209.0</v>
      </c>
      <c r="B377" s="167" t="s">
        <v>1016</v>
      </c>
      <c r="C377" s="167" t="s">
        <v>422</v>
      </c>
      <c r="D377" s="310" t="s">
        <v>1022</v>
      </c>
      <c r="E377" s="385">
        <v>44423.0</v>
      </c>
      <c r="F377" s="386" t="s">
        <v>642</v>
      </c>
      <c r="G377" s="122" t="s">
        <v>21</v>
      </c>
      <c r="H377" s="122">
        <v>1.0</v>
      </c>
      <c r="J377" s="133">
        <v>0.0</v>
      </c>
      <c r="K377" s="366">
        <f>vlookup($D377,Python!$D$2:$F$1000,3,FALSE)</f>
        <v>18.2</v>
      </c>
      <c r="L377" s="133">
        <v>0.0</v>
      </c>
      <c r="N377" s="133" t="s">
        <v>585</v>
      </c>
      <c r="P377" s="122" t="s">
        <v>585</v>
      </c>
      <c r="R377" s="122" t="s">
        <v>585</v>
      </c>
      <c r="T377" s="122" t="s">
        <v>585</v>
      </c>
    </row>
    <row r="378">
      <c r="A378" s="167">
        <v>210.0</v>
      </c>
      <c r="B378" s="167" t="s">
        <v>1016</v>
      </c>
      <c r="C378" s="167" t="s">
        <v>418</v>
      </c>
      <c r="D378" s="310" t="s">
        <v>1023</v>
      </c>
      <c r="E378" s="385">
        <v>44415.0</v>
      </c>
      <c r="F378" s="386" t="s">
        <v>642</v>
      </c>
      <c r="G378" s="122" t="s">
        <v>21</v>
      </c>
      <c r="H378" s="122">
        <v>1.0</v>
      </c>
      <c r="J378" s="133">
        <v>0.0</v>
      </c>
      <c r="K378" s="366">
        <f>vlookup($D378,Python!$D$2:$F$1000,3,FALSE)</f>
        <v>306</v>
      </c>
      <c r="L378" s="133">
        <v>6000000.0</v>
      </c>
      <c r="N378" s="133" t="s">
        <v>585</v>
      </c>
      <c r="P378" s="122" t="s">
        <v>585</v>
      </c>
      <c r="R378" s="122" t="s">
        <v>585</v>
      </c>
      <c r="T378" s="122" t="s">
        <v>585</v>
      </c>
    </row>
    <row r="379">
      <c r="A379" s="167">
        <v>211.0</v>
      </c>
      <c r="B379" s="167" t="s">
        <v>1016</v>
      </c>
      <c r="C379" s="167" t="s">
        <v>418</v>
      </c>
      <c r="D379" s="311" t="s">
        <v>1024</v>
      </c>
      <c r="E379" s="385">
        <v>44423.0</v>
      </c>
      <c r="F379" s="386" t="s">
        <v>642</v>
      </c>
      <c r="G379" s="122" t="s">
        <v>21</v>
      </c>
      <c r="H379" s="122">
        <v>1.0</v>
      </c>
      <c r="J379" s="133">
        <v>0.0</v>
      </c>
      <c r="K379" s="366">
        <f>vlookup($D379,Python!$D$2:$F$1000,3,FALSE)</f>
        <v>48</v>
      </c>
      <c r="L379" s="133">
        <v>0.0</v>
      </c>
      <c r="N379" s="133" t="s">
        <v>585</v>
      </c>
      <c r="P379" s="122" t="s">
        <v>585</v>
      </c>
      <c r="R379" s="122" t="s">
        <v>585</v>
      </c>
      <c r="T379" s="122" t="s">
        <v>585</v>
      </c>
    </row>
    <row r="380">
      <c r="A380" s="167">
        <v>212.0</v>
      </c>
      <c r="B380" s="167" t="s">
        <v>583</v>
      </c>
      <c r="C380" s="167" t="s">
        <v>422</v>
      </c>
      <c r="D380" s="311" t="s">
        <v>1025</v>
      </c>
      <c r="E380" s="385">
        <v>44407.0</v>
      </c>
      <c r="F380" s="386" t="s">
        <v>642</v>
      </c>
      <c r="G380" s="122" t="s">
        <v>21</v>
      </c>
      <c r="H380" s="122">
        <v>1.0</v>
      </c>
      <c r="J380" s="133">
        <v>0.0</v>
      </c>
      <c r="K380" s="366">
        <f>vlookup($D380,Python!$D$2:$F$1000,3,FALSE)</f>
        <v>318</v>
      </c>
      <c r="L380" s="133">
        <v>1500000.0</v>
      </c>
      <c r="N380" s="133" t="s">
        <v>585</v>
      </c>
      <c r="P380" s="122" t="s">
        <v>585</v>
      </c>
      <c r="R380" s="122" t="s">
        <v>585</v>
      </c>
      <c r="T380" s="122" t="s">
        <v>585</v>
      </c>
    </row>
    <row r="381">
      <c r="A381" s="167">
        <v>213.0</v>
      </c>
      <c r="B381" s="167" t="s">
        <v>583</v>
      </c>
      <c r="C381" s="167" t="s">
        <v>422</v>
      </c>
      <c r="D381" s="311" t="s">
        <v>1026</v>
      </c>
      <c r="E381" s="385">
        <v>44409.0</v>
      </c>
      <c r="F381" s="386" t="s">
        <v>642</v>
      </c>
      <c r="G381" s="122" t="s">
        <v>21</v>
      </c>
      <c r="H381" s="122">
        <v>1.0</v>
      </c>
      <c r="J381" s="133">
        <v>0.0</v>
      </c>
      <c r="K381" s="366">
        <f>vlookup($D381,Python!$D$2:$F$1000,3,FALSE)</f>
        <v>2100</v>
      </c>
      <c r="L381" s="133">
        <v>1.05E7</v>
      </c>
      <c r="N381" s="133" t="s">
        <v>585</v>
      </c>
      <c r="P381" s="122" t="s">
        <v>585</v>
      </c>
      <c r="R381" s="122" t="s">
        <v>585</v>
      </c>
      <c r="T381" s="122" t="s">
        <v>585</v>
      </c>
    </row>
    <row r="382">
      <c r="A382" s="167">
        <v>214.0</v>
      </c>
      <c r="B382" s="167" t="s">
        <v>583</v>
      </c>
      <c r="C382" s="167" t="s">
        <v>422</v>
      </c>
      <c r="D382" s="311" t="s">
        <v>1027</v>
      </c>
      <c r="E382" s="385">
        <v>44417.0</v>
      </c>
      <c r="F382" s="386" t="s">
        <v>642</v>
      </c>
      <c r="G382" s="122" t="s">
        <v>21</v>
      </c>
      <c r="H382" s="122">
        <v>1.0</v>
      </c>
      <c r="J382" s="133">
        <v>0.0</v>
      </c>
      <c r="K382" s="366">
        <f>vlookup($D382,Python!$D$2:$F$1000,3,FALSE)</f>
        <v>1000</v>
      </c>
      <c r="L382" s="133">
        <v>5000000.0</v>
      </c>
      <c r="N382" s="133" t="s">
        <v>585</v>
      </c>
      <c r="P382" s="122" t="s">
        <v>585</v>
      </c>
      <c r="R382" s="122" t="s">
        <v>585</v>
      </c>
      <c r="T382" s="122" t="s">
        <v>585</v>
      </c>
    </row>
    <row r="383">
      <c r="A383" s="167">
        <v>215.0</v>
      </c>
      <c r="B383" s="167" t="s">
        <v>583</v>
      </c>
      <c r="C383" s="167" t="s">
        <v>422</v>
      </c>
      <c r="D383" s="311" t="s">
        <v>1028</v>
      </c>
      <c r="E383" s="385">
        <v>44424.0</v>
      </c>
      <c r="F383" s="386" t="s">
        <v>642</v>
      </c>
      <c r="G383" s="122" t="s">
        <v>21</v>
      </c>
      <c r="H383" s="122">
        <v>1.0</v>
      </c>
      <c r="J383" s="133">
        <v>0.0</v>
      </c>
      <c r="K383" s="366">
        <f>vlookup($D383,Python!$D$2:$F$1000,3,FALSE)</f>
        <v>116.6</v>
      </c>
      <c r="L383" s="133">
        <v>500000.0</v>
      </c>
      <c r="N383" s="133" t="s">
        <v>585</v>
      </c>
      <c r="P383" s="122" t="s">
        <v>585</v>
      </c>
      <c r="R383" s="122" t="s">
        <v>585</v>
      </c>
      <c r="T383" s="122" t="s">
        <v>585</v>
      </c>
    </row>
    <row r="384">
      <c r="A384" s="167">
        <v>216.0</v>
      </c>
      <c r="B384" s="167" t="s">
        <v>579</v>
      </c>
      <c r="C384" s="167" t="s">
        <v>422</v>
      </c>
      <c r="D384" s="311" t="s">
        <v>1029</v>
      </c>
      <c r="E384" s="385">
        <v>44410.0</v>
      </c>
      <c r="F384" s="386" t="s">
        <v>642</v>
      </c>
      <c r="G384" s="122" t="s">
        <v>21</v>
      </c>
      <c r="H384" s="122">
        <v>1.0</v>
      </c>
      <c r="J384" s="133">
        <v>0.0</v>
      </c>
      <c r="K384" s="366">
        <f>vlookup($D384,Python!$D$2:$F$1000,3,FALSE)</f>
        <v>98.3</v>
      </c>
      <c r="L384" s="133">
        <v>0.0</v>
      </c>
      <c r="N384" s="133" t="s">
        <v>585</v>
      </c>
      <c r="P384" s="122" t="s">
        <v>585</v>
      </c>
      <c r="R384" s="122" t="s">
        <v>585</v>
      </c>
      <c r="T384" s="122" t="s">
        <v>585</v>
      </c>
    </row>
    <row r="385">
      <c r="A385" s="167">
        <v>217.0</v>
      </c>
      <c r="B385" s="277" t="s">
        <v>577</v>
      </c>
      <c r="C385" s="167" t="s">
        <v>422</v>
      </c>
      <c r="D385" s="311" t="s">
        <v>1030</v>
      </c>
      <c r="E385" s="385">
        <v>44406.0</v>
      </c>
      <c r="F385" s="386" t="s">
        <v>642</v>
      </c>
      <c r="G385" s="122" t="s">
        <v>21</v>
      </c>
      <c r="H385" s="122">
        <v>1.0</v>
      </c>
      <c r="J385" s="133">
        <v>0.0</v>
      </c>
      <c r="K385" s="366">
        <f>vlookup($D385,Python!$D$2:$F$1000,3,FALSE)</f>
        <v>168.3</v>
      </c>
      <c r="L385" s="133">
        <v>500000.0</v>
      </c>
      <c r="N385" s="133" t="s">
        <v>585</v>
      </c>
      <c r="P385" s="122" t="s">
        <v>585</v>
      </c>
      <c r="R385" s="122" t="s">
        <v>585</v>
      </c>
      <c r="T385" s="122" t="s">
        <v>585</v>
      </c>
    </row>
    <row r="386">
      <c r="A386" s="167">
        <v>218.0</v>
      </c>
      <c r="B386" s="277" t="s">
        <v>577</v>
      </c>
      <c r="C386" s="167" t="s">
        <v>422</v>
      </c>
      <c r="D386" s="311" t="s">
        <v>1031</v>
      </c>
      <c r="E386" s="385">
        <v>44411.0</v>
      </c>
      <c r="F386" s="386" t="s">
        <v>642</v>
      </c>
      <c r="G386" s="122" t="s">
        <v>21</v>
      </c>
      <c r="H386" s="122">
        <v>1.0</v>
      </c>
      <c r="J386" s="133">
        <v>0.0</v>
      </c>
      <c r="K386" s="366">
        <f>vlookup($D386,Python!$D$2:$F$1000,3,FALSE)</f>
        <v>326.1</v>
      </c>
      <c r="L386" s="133">
        <v>1500000.0</v>
      </c>
      <c r="N386" s="133" t="s">
        <v>585</v>
      </c>
      <c r="P386" s="122" t="s">
        <v>585</v>
      </c>
      <c r="R386" s="122" t="s">
        <v>585</v>
      </c>
      <c r="T386" s="122" t="s">
        <v>585</v>
      </c>
    </row>
    <row r="387">
      <c r="A387" s="167">
        <v>219.0</v>
      </c>
      <c r="B387" s="277" t="s">
        <v>577</v>
      </c>
      <c r="C387" s="167" t="s">
        <v>422</v>
      </c>
      <c r="D387" s="311" t="s">
        <v>1032</v>
      </c>
      <c r="E387" s="385">
        <v>44413.0</v>
      </c>
      <c r="F387" s="386" t="s">
        <v>642</v>
      </c>
      <c r="G387" s="122" t="s">
        <v>21</v>
      </c>
      <c r="H387" s="122">
        <v>1.0</v>
      </c>
      <c r="J387" s="133">
        <v>0.0</v>
      </c>
      <c r="K387" s="366">
        <f>vlookup($D387,Python!$D$2:$F$1000,3,FALSE)</f>
        <v>949.8</v>
      </c>
      <c r="L387" s="133">
        <v>4500000.0</v>
      </c>
      <c r="N387" s="133" t="s">
        <v>585</v>
      </c>
      <c r="P387" s="122" t="s">
        <v>585</v>
      </c>
      <c r="R387" s="122" t="s">
        <v>585</v>
      </c>
      <c r="T387" s="122" t="s">
        <v>585</v>
      </c>
    </row>
    <row r="388">
      <c r="A388" s="167">
        <v>220.0</v>
      </c>
      <c r="B388" s="277" t="s">
        <v>577</v>
      </c>
      <c r="C388" s="167" t="s">
        <v>422</v>
      </c>
      <c r="D388" s="311" t="s">
        <v>1033</v>
      </c>
      <c r="E388" s="385">
        <v>44415.0</v>
      </c>
      <c r="F388" s="386" t="s">
        <v>642</v>
      </c>
      <c r="G388" s="122" t="s">
        <v>21</v>
      </c>
      <c r="H388" s="122">
        <v>1.0</v>
      </c>
      <c r="J388" s="133">
        <v>0.0</v>
      </c>
      <c r="K388" s="366">
        <f>vlookup($D388,Python!$D$2:$F$1000,3,FALSE)</f>
        <v>321.9</v>
      </c>
      <c r="L388" s="133">
        <v>1500000.0</v>
      </c>
      <c r="N388" s="133" t="s">
        <v>585</v>
      </c>
      <c r="P388" s="122" t="s">
        <v>585</v>
      </c>
      <c r="R388" s="122" t="s">
        <v>585</v>
      </c>
      <c r="T388" s="122" t="s">
        <v>585</v>
      </c>
    </row>
    <row r="389">
      <c r="A389" s="167">
        <v>221.0</v>
      </c>
      <c r="B389" s="277" t="s">
        <v>577</v>
      </c>
      <c r="C389" s="167" t="s">
        <v>422</v>
      </c>
      <c r="D389" s="311" t="s">
        <v>1034</v>
      </c>
      <c r="E389" s="385">
        <v>44416.0</v>
      </c>
      <c r="F389" s="386" t="s">
        <v>647</v>
      </c>
      <c r="G389" s="122" t="s">
        <v>21</v>
      </c>
      <c r="H389" s="122">
        <v>1.0</v>
      </c>
      <c r="J389" s="133">
        <v>0.0</v>
      </c>
      <c r="K389" s="366">
        <f>vlookup($D389,Python!$D$2:$F$1000,3,FALSE)</f>
        <v>145.1</v>
      </c>
      <c r="L389" s="133">
        <v>500000.0</v>
      </c>
      <c r="N389" s="133" t="s">
        <v>585</v>
      </c>
      <c r="P389" s="122" t="s">
        <v>585</v>
      </c>
      <c r="R389" s="122" t="s">
        <v>585</v>
      </c>
      <c r="T389" s="122" t="s">
        <v>585</v>
      </c>
    </row>
    <row r="390">
      <c r="A390" s="167">
        <v>222.0</v>
      </c>
      <c r="B390" s="277" t="s">
        <v>577</v>
      </c>
      <c r="C390" s="167" t="s">
        <v>422</v>
      </c>
      <c r="D390" s="311" t="s">
        <v>1035</v>
      </c>
      <c r="E390" s="385">
        <v>44423.0</v>
      </c>
      <c r="F390" s="386" t="s">
        <v>647</v>
      </c>
      <c r="G390" s="122" t="s">
        <v>21</v>
      </c>
      <c r="H390" s="122">
        <v>1.0</v>
      </c>
      <c r="J390" s="133">
        <v>0.0</v>
      </c>
      <c r="K390" s="366">
        <f>vlookup($D390,Python!$D$2:$F$1000,3,FALSE)</f>
        <v>57.9</v>
      </c>
      <c r="L390" s="133">
        <v>0.0</v>
      </c>
      <c r="N390" s="133" t="s">
        <v>585</v>
      </c>
      <c r="P390" s="122" t="s">
        <v>585</v>
      </c>
      <c r="R390" s="122" t="s">
        <v>585</v>
      </c>
      <c r="T390" s="122" t="s">
        <v>585</v>
      </c>
    </row>
    <row r="391">
      <c r="A391" s="167">
        <v>223.0</v>
      </c>
      <c r="B391" s="167" t="s">
        <v>577</v>
      </c>
      <c r="C391" s="167" t="s">
        <v>418</v>
      </c>
      <c r="D391" s="310" t="s">
        <v>1036</v>
      </c>
      <c r="E391" s="385">
        <v>44416.0</v>
      </c>
      <c r="F391" s="386" t="s">
        <v>647</v>
      </c>
      <c r="G391" s="122" t="s">
        <v>21</v>
      </c>
      <c r="H391" s="122">
        <v>1.0</v>
      </c>
      <c r="J391" s="133">
        <v>0.0</v>
      </c>
      <c r="K391" s="366">
        <f>vlookup($D391,Python!$D$2:$F$1000,3,FALSE)</f>
        <v>2.3</v>
      </c>
      <c r="L391" s="133">
        <v>0.0</v>
      </c>
      <c r="N391" s="133" t="s">
        <v>585</v>
      </c>
      <c r="P391" s="122" t="s">
        <v>585</v>
      </c>
      <c r="R391" s="122" t="s">
        <v>585</v>
      </c>
      <c r="T391" s="122" t="s">
        <v>585</v>
      </c>
    </row>
    <row r="392">
      <c r="A392" s="167">
        <v>224.0</v>
      </c>
      <c r="B392" s="167" t="s">
        <v>577</v>
      </c>
      <c r="C392" s="167" t="s">
        <v>418</v>
      </c>
      <c r="D392" s="311" t="s">
        <v>1037</v>
      </c>
      <c r="E392" s="385">
        <v>44421.0</v>
      </c>
      <c r="F392" s="386" t="s">
        <v>642</v>
      </c>
      <c r="G392" s="122" t="s">
        <v>21</v>
      </c>
      <c r="H392" s="122">
        <v>1.0</v>
      </c>
      <c r="J392" s="133">
        <v>0.0</v>
      </c>
      <c r="K392" s="366">
        <f>vlookup($D392,Python!$D$2:$F$1000,3,FALSE)</f>
        <v>54</v>
      </c>
      <c r="L392" s="133">
        <v>1000000.0</v>
      </c>
      <c r="N392" s="133" t="s">
        <v>585</v>
      </c>
      <c r="P392" s="122" t="s">
        <v>585</v>
      </c>
      <c r="R392" s="122" t="s">
        <v>585</v>
      </c>
      <c r="T392" s="122" t="s">
        <v>585</v>
      </c>
    </row>
    <row r="393">
      <c r="A393" s="167">
        <v>225.0</v>
      </c>
      <c r="B393" s="277" t="s">
        <v>575</v>
      </c>
      <c r="C393" s="167" t="s">
        <v>422</v>
      </c>
      <c r="D393" s="311" t="s">
        <v>1038</v>
      </c>
      <c r="E393" s="385">
        <v>44409.0</v>
      </c>
      <c r="F393" s="386" t="s">
        <v>642</v>
      </c>
      <c r="G393" s="122" t="s">
        <v>21</v>
      </c>
      <c r="H393" s="122">
        <v>1.0</v>
      </c>
      <c r="J393" s="133">
        <v>0.0</v>
      </c>
      <c r="K393" s="366">
        <f>vlookup($D393,Python!$D$2:$F$1000,3,FALSE)</f>
        <v>125.6</v>
      </c>
      <c r="L393" s="133">
        <v>500000.0</v>
      </c>
      <c r="N393" s="133" t="s">
        <v>585</v>
      </c>
      <c r="P393" s="122" t="s">
        <v>585</v>
      </c>
      <c r="R393" s="122" t="s">
        <v>585</v>
      </c>
      <c r="T393" s="122" t="s">
        <v>585</v>
      </c>
    </row>
    <row r="394">
      <c r="A394" s="167">
        <v>226.0</v>
      </c>
      <c r="B394" s="277" t="s">
        <v>575</v>
      </c>
      <c r="C394" s="167" t="s">
        <v>422</v>
      </c>
      <c r="D394" s="311" t="s">
        <v>1039</v>
      </c>
      <c r="E394" s="385">
        <v>44413.0</v>
      </c>
      <c r="F394" s="386" t="s">
        <v>642</v>
      </c>
      <c r="G394" s="122" t="s">
        <v>21</v>
      </c>
      <c r="H394" s="122">
        <v>1.0</v>
      </c>
      <c r="J394" s="133">
        <v>0.0</v>
      </c>
      <c r="K394" s="366">
        <f>vlookup($D394,Python!$D$2:$F$1000,3,FALSE)</f>
        <v>54.9</v>
      </c>
      <c r="L394" s="133">
        <v>0.0</v>
      </c>
      <c r="N394" s="133" t="s">
        <v>585</v>
      </c>
      <c r="P394" s="122" t="s">
        <v>585</v>
      </c>
      <c r="R394" s="122" t="s">
        <v>585</v>
      </c>
      <c r="T394" s="122" t="s">
        <v>585</v>
      </c>
    </row>
    <row r="395">
      <c r="A395" s="167">
        <v>227.0</v>
      </c>
      <c r="B395" s="277" t="s">
        <v>575</v>
      </c>
      <c r="C395" s="167" t="s">
        <v>422</v>
      </c>
      <c r="D395" s="311" t="s">
        <v>1040</v>
      </c>
      <c r="E395" s="385">
        <v>44414.0</v>
      </c>
      <c r="F395" s="386" t="s">
        <v>647</v>
      </c>
      <c r="G395" s="122" t="s">
        <v>21</v>
      </c>
      <c r="H395" s="122">
        <v>1.0</v>
      </c>
      <c r="J395" s="133">
        <v>0.0</v>
      </c>
      <c r="K395" s="366">
        <f>vlookup($D395,Python!$D$2:$F$1000,3,FALSE)</f>
        <v>299.6</v>
      </c>
      <c r="L395" s="133">
        <v>1000000.0</v>
      </c>
      <c r="N395" s="133" t="s">
        <v>585</v>
      </c>
      <c r="P395" s="122" t="s">
        <v>585</v>
      </c>
      <c r="R395" s="122" t="s">
        <v>585</v>
      </c>
      <c r="T395" s="122" t="s">
        <v>585</v>
      </c>
    </row>
    <row r="396">
      <c r="A396" s="167">
        <v>228.0</v>
      </c>
      <c r="B396" s="277" t="s">
        <v>575</v>
      </c>
      <c r="C396" s="167" t="s">
        <v>422</v>
      </c>
      <c r="D396" s="311" t="s">
        <v>1041</v>
      </c>
      <c r="E396" s="385">
        <v>44415.0</v>
      </c>
      <c r="F396" s="386" t="s">
        <v>647</v>
      </c>
      <c r="G396" s="122" t="s">
        <v>21</v>
      </c>
      <c r="H396" s="122">
        <v>1.0</v>
      </c>
      <c r="J396" s="133">
        <v>0.0</v>
      </c>
      <c r="K396" s="366">
        <f>vlookup($D396,Python!$D$2:$F$1000,3,FALSE)</f>
        <v>26.1</v>
      </c>
      <c r="L396" s="133">
        <v>0.0</v>
      </c>
      <c r="N396" s="133" t="s">
        <v>585</v>
      </c>
      <c r="P396" s="122" t="s">
        <v>585</v>
      </c>
      <c r="R396" s="122" t="s">
        <v>585</v>
      </c>
      <c r="T396" s="122" t="s">
        <v>585</v>
      </c>
    </row>
    <row r="397">
      <c r="A397" s="167">
        <v>229.0</v>
      </c>
      <c r="B397" s="277" t="s">
        <v>575</v>
      </c>
      <c r="C397" s="167" t="s">
        <v>609</v>
      </c>
      <c r="D397" s="311" t="s">
        <v>1042</v>
      </c>
      <c r="E397" s="385">
        <v>44416.0</v>
      </c>
      <c r="F397" s="386" t="s">
        <v>647</v>
      </c>
      <c r="G397" s="122" t="s">
        <v>21</v>
      </c>
      <c r="H397" s="122">
        <v>1.0</v>
      </c>
      <c r="J397" s="133">
        <v>0.0</v>
      </c>
      <c r="K397" s="366" t="str">
        <f>vlookup($D397,Python!$D$2:$F$1000,3,FALSE)</f>
        <v/>
      </c>
      <c r="L397" s="133" t="s">
        <v>585</v>
      </c>
      <c r="N397" s="133" t="s">
        <v>585</v>
      </c>
      <c r="P397" s="122" t="s">
        <v>585</v>
      </c>
      <c r="R397" s="122" t="s">
        <v>585</v>
      </c>
      <c r="T397" s="122" t="s">
        <v>585</v>
      </c>
    </row>
    <row r="398">
      <c r="A398" s="167">
        <v>230.0</v>
      </c>
      <c r="B398" s="167" t="s">
        <v>1043</v>
      </c>
      <c r="C398" s="167" t="s">
        <v>422</v>
      </c>
      <c r="D398" s="311" t="s">
        <v>1044</v>
      </c>
      <c r="E398" s="385">
        <v>44420.0</v>
      </c>
      <c r="F398" s="386" t="s">
        <v>642</v>
      </c>
      <c r="G398" s="122" t="s">
        <v>21</v>
      </c>
      <c r="H398" s="122">
        <v>1.0</v>
      </c>
      <c r="J398" s="133">
        <v>0.0</v>
      </c>
      <c r="K398" s="366">
        <f>vlookup($D398,Python!$D$2:$F$1000,3,FALSE)</f>
        <v>1100</v>
      </c>
      <c r="L398" s="133">
        <v>5500000.0</v>
      </c>
      <c r="N398" s="133" t="s">
        <v>585</v>
      </c>
      <c r="P398" s="122" t="s">
        <v>585</v>
      </c>
      <c r="R398" s="122" t="s">
        <v>585</v>
      </c>
      <c r="T398" s="122" t="s">
        <v>585</v>
      </c>
    </row>
    <row r="399">
      <c r="A399" s="167">
        <v>231.0</v>
      </c>
      <c r="B399" s="167" t="s">
        <v>1045</v>
      </c>
      <c r="C399" s="167" t="s">
        <v>422</v>
      </c>
      <c r="D399" s="311" t="s">
        <v>1046</v>
      </c>
      <c r="E399" s="385">
        <v>44410.0</v>
      </c>
      <c r="F399" s="386" t="s">
        <v>642</v>
      </c>
      <c r="G399" s="122" t="s">
        <v>21</v>
      </c>
      <c r="H399" s="122">
        <v>1.0</v>
      </c>
      <c r="J399" s="133">
        <v>0.0</v>
      </c>
      <c r="K399" s="366">
        <f>vlookup($D399,Python!$D$2:$F$1000,3,FALSE)</f>
        <v>352.9</v>
      </c>
      <c r="L399" s="133">
        <v>1500000.0</v>
      </c>
      <c r="N399" s="133" t="s">
        <v>585</v>
      </c>
      <c r="P399" s="122" t="s">
        <v>585</v>
      </c>
      <c r="R399" s="122" t="s">
        <v>585</v>
      </c>
      <c r="T399" s="122" t="s">
        <v>585</v>
      </c>
    </row>
    <row r="400">
      <c r="A400" s="167">
        <v>232.0</v>
      </c>
      <c r="B400" s="167" t="s">
        <v>1045</v>
      </c>
      <c r="C400" s="167" t="s">
        <v>422</v>
      </c>
      <c r="D400" s="311" t="s">
        <v>1047</v>
      </c>
      <c r="E400" s="385">
        <v>44412.0</v>
      </c>
      <c r="F400" s="386" t="s">
        <v>642</v>
      </c>
      <c r="G400" s="122" t="s">
        <v>21</v>
      </c>
      <c r="H400" s="122">
        <v>1.0</v>
      </c>
      <c r="J400" s="133">
        <v>0.0</v>
      </c>
      <c r="K400" s="366">
        <f>vlookup($D400,Python!$D$2:$F$1000,3,FALSE)</f>
        <v>57.6</v>
      </c>
      <c r="L400" s="133">
        <v>0.0</v>
      </c>
      <c r="N400" s="133" t="s">
        <v>585</v>
      </c>
      <c r="P400" s="122" t="s">
        <v>585</v>
      </c>
      <c r="R400" s="122" t="s">
        <v>585</v>
      </c>
      <c r="T400" s="122" t="s">
        <v>585</v>
      </c>
    </row>
    <row r="401">
      <c r="A401" s="167">
        <v>233.0</v>
      </c>
      <c r="B401" s="277" t="s">
        <v>559</v>
      </c>
      <c r="C401" s="167" t="s">
        <v>422</v>
      </c>
      <c r="D401" s="311" t="s">
        <v>1048</v>
      </c>
      <c r="E401" s="385">
        <v>44425.0</v>
      </c>
      <c r="F401" s="386" t="s">
        <v>642</v>
      </c>
      <c r="G401" s="122" t="s">
        <v>21</v>
      </c>
      <c r="H401" s="122">
        <v>1.0</v>
      </c>
      <c r="J401" s="133">
        <v>0.0</v>
      </c>
      <c r="K401" s="366" t="str">
        <f>vlookup($D401,Python!$D$2:$F$1000,3,FALSE)</f>
        <v/>
      </c>
      <c r="L401" s="133" t="s">
        <v>585</v>
      </c>
      <c r="N401" s="133" t="s">
        <v>585</v>
      </c>
      <c r="P401" s="122" t="s">
        <v>585</v>
      </c>
      <c r="R401" s="122" t="s">
        <v>585</v>
      </c>
      <c r="T401" s="122" t="s">
        <v>585</v>
      </c>
    </row>
    <row r="402">
      <c r="A402" s="167">
        <v>234.0</v>
      </c>
      <c r="B402" s="371" t="s">
        <v>1049</v>
      </c>
      <c r="C402" s="167" t="s">
        <v>422</v>
      </c>
      <c r="D402" s="310" t="s">
        <v>1050</v>
      </c>
      <c r="E402" s="385">
        <v>44402.0</v>
      </c>
      <c r="F402" s="386" t="s">
        <v>642</v>
      </c>
      <c r="G402" s="122" t="s">
        <v>194</v>
      </c>
      <c r="H402" s="122">
        <v>1.0</v>
      </c>
      <c r="J402" s="133">
        <v>0.0</v>
      </c>
      <c r="K402" s="366">
        <f>vlookup($D402,Python!$D$2:$F$1000,3,FALSE)</f>
        <v>105.2</v>
      </c>
      <c r="L402" s="133">
        <v>500000.0</v>
      </c>
      <c r="N402" s="133" t="s">
        <v>585</v>
      </c>
      <c r="P402" s="122" t="s">
        <v>585</v>
      </c>
      <c r="R402" s="122" t="s">
        <v>585</v>
      </c>
      <c r="T402" s="122" t="s">
        <v>585</v>
      </c>
    </row>
    <row r="403">
      <c r="A403" s="167">
        <v>235.0</v>
      </c>
      <c r="B403" s="167" t="s">
        <v>1049</v>
      </c>
      <c r="C403" s="167" t="s">
        <v>422</v>
      </c>
      <c r="D403" s="310" t="s">
        <v>1051</v>
      </c>
      <c r="E403" s="385">
        <v>44410.0</v>
      </c>
      <c r="F403" s="386" t="s">
        <v>642</v>
      </c>
      <c r="G403" s="122" t="s">
        <v>194</v>
      </c>
      <c r="H403" s="122">
        <v>1.0</v>
      </c>
      <c r="J403" s="133">
        <v>0.0</v>
      </c>
      <c r="K403" s="366">
        <f>vlookup($D403,Python!$D$2:$F$1000,3,FALSE)</f>
        <v>215.2</v>
      </c>
      <c r="L403" s="133">
        <v>1000000.0</v>
      </c>
      <c r="N403" s="133" t="s">
        <v>585</v>
      </c>
      <c r="P403" s="122" t="s">
        <v>585</v>
      </c>
      <c r="R403" s="122" t="s">
        <v>585</v>
      </c>
      <c r="T403" s="122" t="s">
        <v>585</v>
      </c>
    </row>
    <row r="404">
      <c r="A404" s="167">
        <v>236.0</v>
      </c>
      <c r="B404" s="167" t="s">
        <v>509</v>
      </c>
      <c r="C404" s="167" t="s">
        <v>422</v>
      </c>
      <c r="D404" s="310" t="s">
        <v>1052</v>
      </c>
      <c r="E404" s="385">
        <v>44409.0</v>
      </c>
      <c r="F404" s="386" t="s">
        <v>642</v>
      </c>
      <c r="G404" s="122" t="s">
        <v>194</v>
      </c>
      <c r="H404" s="122">
        <v>1.0</v>
      </c>
      <c r="J404" s="133">
        <v>0.0</v>
      </c>
      <c r="K404" s="366">
        <f>vlookup($D404,Python!$D$2:$F$1000,3,FALSE)</f>
        <v>900.6</v>
      </c>
      <c r="L404" s="133">
        <v>4500000.0</v>
      </c>
      <c r="N404" s="133" t="s">
        <v>585</v>
      </c>
      <c r="P404" s="122" t="s">
        <v>585</v>
      </c>
      <c r="R404" s="122" t="s">
        <v>585</v>
      </c>
      <c r="T404" s="122" t="s">
        <v>585</v>
      </c>
    </row>
    <row r="405">
      <c r="A405" s="167">
        <v>237.0</v>
      </c>
      <c r="B405" s="167" t="s">
        <v>509</v>
      </c>
      <c r="C405" s="167" t="s">
        <v>422</v>
      </c>
      <c r="D405" s="310" t="s">
        <v>1053</v>
      </c>
      <c r="E405" s="385">
        <v>44410.0</v>
      </c>
      <c r="F405" s="386" t="s">
        <v>642</v>
      </c>
      <c r="G405" s="122" t="s">
        <v>194</v>
      </c>
      <c r="H405" s="122">
        <v>1.0</v>
      </c>
      <c r="J405" s="133">
        <v>0.0</v>
      </c>
      <c r="K405" s="366">
        <f>vlookup($D405,Python!$D$2:$F$1000,3,FALSE)</f>
        <v>1100</v>
      </c>
      <c r="L405" s="133">
        <v>5500000.0</v>
      </c>
      <c r="N405" s="133" t="s">
        <v>585</v>
      </c>
      <c r="P405" s="122" t="s">
        <v>585</v>
      </c>
      <c r="R405" s="122" t="s">
        <v>585</v>
      </c>
      <c r="T405" s="122" t="s">
        <v>585</v>
      </c>
    </row>
    <row r="406">
      <c r="A406" s="167">
        <v>238.0</v>
      </c>
      <c r="B406" s="167" t="s">
        <v>509</v>
      </c>
      <c r="C406" s="167" t="s">
        <v>422</v>
      </c>
      <c r="D406" s="310" t="s">
        <v>1054</v>
      </c>
      <c r="E406" s="385">
        <v>44410.0</v>
      </c>
      <c r="F406" s="386" t="s">
        <v>642</v>
      </c>
      <c r="G406" s="122" t="s">
        <v>194</v>
      </c>
      <c r="H406" s="122">
        <v>1.0</v>
      </c>
      <c r="J406" s="133">
        <v>0.0</v>
      </c>
      <c r="K406" s="366">
        <f>vlookup($D406,Python!$D$2:$F$1000,3,FALSE)</f>
        <v>328.9</v>
      </c>
      <c r="L406" s="133">
        <v>1500000.0</v>
      </c>
      <c r="N406" s="133" t="s">
        <v>585</v>
      </c>
      <c r="P406" s="122" t="s">
        <v>585</v>
      </c>
      <c r="R406" s="122" t="s">
        <v>585</v>
      </c>
      <c r="T406" s="122" t="s">
        <v>585</v>
      </c>
    </row>
    <row r="407">
      <c r="A407" s="167">
        <v>239.0</v>
      </c>
      <c r="B407" s="167" t="s">
        <v>509</v>
      </c>
      <c r="C407" s="167" t="s">
        <v>422</v>
      </c>
      <c r="D407" s="310" t="s">
        <v>1055</v>
      </c>
      <c r="E407" s="385">
        <v>44412.0</v>
      </c>
      <c r="F407" s="386" t="s">
        <v>642</v>
      </c>
      <c r="G407" s="122" t="s">
        <v>194</v>
      </c>
      <c r="H407" s="122">
        <v>1.0</v>
      </c>
      <c r="J407" s="133">
        <v>0.0</v>
      </c>
      <c r="K407" s="366">
        <f>vlookup($D407,Python!$D$2:$F$1000,3,FALSE)</f>
        <v>722.9</v>
      </c>
      <c r="L407" s="133">
        <v>3500000.0</v>
      </c>
      <c r="N407" s="133" t="s">
        <v>585</v>
      </c>
      <c r="P407" s="122" t="s">
        <v>585</v>
      </c>
      <c r="R407" s="122" t="s">
        <v>585</v>
      </c>
      <c r="T407" s="122" t="s">
        <v>585</v>
      </c>
    </row>
    <row r="408">
      <c r="A408" s="167">
        <v>240.0</v>
      </c>
      <c r="B408" s="167" t="s">
        <v>509</v>
      </c>
      <c r="C408" s="167" t="s">
        <v>422</v>
      </c>
      <c r="D408" s="310" t="s">
        <v>1056</v>
      </c>
      <c r="E408" s="385">
        <v>44414.0</v>
      </c>
      <c r="F408" s="386" t="s">
        <v>647</v>
      </c>
      <c r="G408" s="122" t="s">
        <v>194</v>
      </c>
      <c r="H408" s="122">
        <v>1.0</v>
      </c>
      <c r="J408" s="133">
        <v>0.0</v>
      </c>
      <c r="K408" s="366">
        <f>vlookup($D408,Python!$D$2:$F$1000,3,FALSE)</f>
        <v>1000</v>
      </c>
      <c r="L408" s="133">
        <v>5000000.0</v>
      </c>
      <c r="N408" s="133" t="s">
        <v>585</v>
      </c>
      <c r="P408" s="122" t="s">
        <v>585</v>
      </c>
      <c r="R408" s="122" t="s">
        <v>585</v>
      </c>
      <c r="T408" s="122" t="s">
        <v>585</v>
      </c>
    </row>
    <row r="409">
      <c r="A409" s="167">
        <v>241.0</v>
      </c>
      <c r="B409" s="167" t="s">
        <v>509</v>
      </c>
      <c r="C409" s="167" t="s">
        <v>422</v>
      </c>
      <c r="D409" s="310" t="s">
        <v>1057</v>
      </c>
      <c r="E409" s="385">
        <v>44418.0</v>
      </c>
      <c r="F409" s="386" t="s">
        <v>647</v>
      </c>
      <c r="G409" s="122" t="s">
        <v>194</v>
      </c>
      <c r="H409" s="122">
        <v>1.0</v>
      </c>
      <c r="J409" s="133">
        <v>0.0</v>
      </c>
      <c r="K409" s="366">
        <f>vlookup($D409,Python!$D$2:$F$1000,3,FALSE)</f>
        <v>292</v>
      </c>
      <c r="L409" s="133">
        <v>1000000.0</v>
      </c>
      <c r="N409" s="133" t="s">
        <v>585</v>
      </c>
      <c r="P409" s="122" t="s">
        <v>585</v>
      </c>
      <c r="R409" s="122" t="s">
        <v>585</v>
      </c>
      <c r="T409" s="122" t="s">
        <v>585</v>
      </c>
    </row>
    <row r="410">
      <c r="A410" s="167">
        <v>242.0</v>
      </c>
      <c r="B410" s="167" t="s">
        <v>509</v>
      </c>
      <c r="C410" s="167" t="s">
        <v>422</v>
      </c>
      <c r="D410" s="310" t="s">
        <v>1058</v>
      </c>
      <c r="E410" s="385">
        <v>44422.0</v>
      </c>
      <c r="F410" s="386" t="s">
        <v>642</v>
      </c>
      <c r="G410" s="122" t="s">
        <v>194</v>
      </c>
      <c r="H410" s="122">
        <v>1.0</v>
      </c>
      <c r="J410" s="133">
        <v>0.0</v>
      </c>
      <c r="K410" s="366">
        <f>vlookup($D410,Python!$D$2:$F$1000,3,FALSE)</f>
        <v>321.8</v>
      </c>
      <c r="L410" s="133">
        <v>1500000.0</v>
      </c>
      <c r="N410" s="133" t="s">
        <v>585</v>
      </c>
      <c r="P410" s="122" t="s">
        <v>585</v>
      </c>
      <c r="R410" s="122" t="s">
        <v>585</v>
      </c>
      <c r="T410" s="122" t="s">
        <v>585</v>
      </c>
    </row>
    <row r="411">
      <c r="A411" s="167">
        <v>243.0</v>
      </c>
      <c r="B411" s="167" t="s">
        <v>1059</v>
      </c>
      <c r="C411" s="167" t="s">
        <v>422</v>
      </c>
      <c r="D411" s="310" t="s">
        <v>1060</v>
      </c>
      <c r="E411" s="385">
        <v>44403.0</v>
      </c>
      <c r="F411" s="386" t="s">
        <v>641</v>
      </c>
      <c r="G411" s="122" t="s">
        <v>194</v>
      </c>
      <c r="H411" s="122">
        <v>1.0</v>
      </c>
      <c r="J411" s="133">
        <v>0.0</v>
      </c>
      <c r="K411" s="366">
        <f>vlookup($D411,Python!$D$2:$F$1000,3,FALSE)</f>
        <v>33.3</v>
      </c>
      <c r="L411" s="133">
        <v>0.0</v>
      </c>
      <c r="N411" s="133" t="s">
        <v>585</v>
      </c>
      <c r="P411" s="122" t="s">
        <v>585</v>
      </c>
      <c r="R411" s="122" t="s">
        <v>585</v>
      </c>
      <c r="T411" s="122" t="s">
        <v>585</v>
      </c>
    </row>
    <row r="412">
      <c r="A412" s="167">
        <v>244.0</v>
      </c>
      <c r="B412" s="167" t="s">
        <v>1059</v>
      </c>
      <c r="C412" s="167" t="s">
        <v>422</v>
      </c>
      <c r="D412" s="310" t="s">
        <v>1061</v>
      </c>
      <c r="E412" s="385">
        <v>44404.0</v>
      </c>
      <c r="F412" s="386" t="s">
        <v>642</v>
      </c>
      <c r="G412" s="122" t="s">
        <v>194</v>
      </c>
      <c r="H412" s="122">
        <v>1.0</v>
      </c>
      <c r="J412" s="133">
        <v>0.0</v>
      </c>
      <c r="K412" s="366">
        <f>vlookup($D412,Python!$D$2:$F$1000,3,FALSE)</f>
        <v>137</v>
      </c>
      <c r="L412" s="133">
        <v>500000.0</v>
      </c>
      <c r="N412" s="133" t="s">
        <v>585</v>
      </c>
      <c r="P412" s="122" t="s">
        <v>585</v>
      </c>
      <c r="R412" s="122" t="s">
        <v>585</v>
      </c>
      <c r="T412" s="122" t="s">
        <v>585</v>
      </c>
    </row>
    <row r="413">
      <c r="A413" s="167">
        <v>245.0</v>
      </c>
      <c r="B413" s="167" t="s">
        <v>1059</v>
      </c>
      <c r="C413" s="167" t="s">
        <v>422</v>
      </c>
      <c r="D413" s="310" t="s">
        <v>1062</v>
      </c>
      <c r="E413" s="385">
        <v>44406.0</v>
      </c>
      <c r="F413" s="386" t="s">
        <v>642</v>
      </c>
      <c r="G413" s="122" t="s">
        <v>194</v>
      </c>
      <c r="H413" s="122">
        <v>1.0</v>
      </c>
      <c r="J413" s="133">
        <v>0.0</v>
      </c>
      <c r="K413" s="366">
        <f>vlookup($D413,Python!$D$2:$F$1000,3,FALSE)</f>
        <v>21</v>
      </c>
      <c r="L413" s="133">
        <v>0.0</v>
      </c>
      <c r="N413" s="133" t="s">
        <v>585</v>
      </c>
      <c r="P413" s="122" t="s">
        <v>585</v>
      </c>
      <c r="R413" s="122" t="s">
        <v>585</v>
      </c>
      <c r="T413" s="122" t="s">
        <v>585</v>
      </c>
    </row>
    <row r="414">
      <c r="A414" s="167">
        <v>246.0</v>
      </c>
      <c r="B414" s="167" t="s">
        <v>508</v>
      </c>
      <c r="C414" s="167" t="s">
        <v>422</v>
      </c>
      <c r="D414" s="310" t="s">
        <v>1063</v>
      </c>
      <c r="E414" s="385">
        <v>44413.0</v>
      </c>
      <c r="F414" s="386" t="s">
        <v>647</v>
      </c>
      <c r="G414" s="122" t="s">
        <v>194</v>
      </c>
      <c r="H414" s="122">
        <v>1.0</v>
      </c>
      <c r="J414" s="133">
        <v>0.0</v>
      </c>
      <c r="K414" s="366">
        <f>vlookup($D414,Python!$D$2:$F$1000,3,FALSE)</f>
        <v>237.2</v>
      </c>
      <c r="L414" s="133">
        <v>1000000.0</v>
      </c>
      <c r="N414" s="133" t="s">
        <v>585</v>
      </c>
      <c r="P414" s="122" t="s">
        <v>585</v>
      </c>
      <c r="R414" s="122" t="s">
        <v>585</v>
      </c>
      <c r="T414" s="122" t="s">
        <v>585</v>
      </c>
    </row>
    <row r="415">
      <c r="A415" s="167">
        <v>247.0</v>
      </c>
      <c r="B415" s="167" t="s">
        <v>508</v>
      </c>
      <c r="C415" s="167" t="s">
        <v>422</v>
      </c>
      <c r="D415" s="310" t="s">
        <v>1064</v>
      </c>
      <c r="E415" s="385">
        <v>44413.0</v>
      </c>
      <c r="F415" s="386" t="s">
        <v>647</v>
      </c>
      <c r="G415" s="122" t="s">
        <v>194</v>
      </c>
      <c r="H415" s="122">
        <v>1.0</v>
      </c>
      <c r="J415" s="133">
        <v>0.0</v>
      </c>
      <c r="K415" s="366">
        <f>vlookup($D415,Python!$D$2:$F$1000,3,FALSE)</f>
        <v>341.4</v>
      </c>
      <c r="L415" s="133">
        <v>1500000.0</v>
      </c>
      <c r="N415" s="133" t="s">
        <v>585</v>
      </c>
      <c r="P415" s="122" t="s">
        <v>585</v>
      </c>
      <c r="R415" s="122" t="s">
        <v>585</v>
      </c>
      <c r="T415" s="122" t="s">
        <v>585</v>
      </c>
    </row>
    <row r="416">
      <c r="A416" s="167">
        <v>248.0</v>
      </c>
      <c r="B416" s="167" t="s">
        <v>511</v>
      </c>
      <c r="C416" s="167" t="s">
        <v>422</v>
      </c>
      <c r="D416" s="310" t="s">
        <v>1065</v>
      </c>
      <c r="E416" s="385">
        <v>44403.0</v>
      </c>
      <c r="F416" s="386" t="s">
        <v>642</v>
      </c>
      <c r="G416" s="122" t="s">
        <v>194</v>
      </c>
      <c r="H416" s="122">
        <v>1.0</v>
      </c>
      <c r="J416" s="133">
        <v>0.0</v>
      </c>
      <c r="K416" s="366">
        <f>vlookup($D416,Python!$D$2:$F$1000,3,FALSE)</f>
        <v>15.8</v>
      </c>
      <c r="L416" s="133">
        <v>0.0</v>
      </c>
      <c r="N416" s="133" t="s">
        <v>585</v>
      </c>
      <c r="P416" s="122" t="s">
        <v>585</v>
      </c>
      <c r="R416" s="122" t="s">
        <v>585</v>
      </c>
      <c r="T416" s="122" t="s">
        <v>585</v>
      </c>
    </row>
    <row r="417">
      <c r="A417" s="167">
        <v>249.0</v>
      </c>
      <c r="B417" s="167" t="s">
        <v>511</v>
      </c>
      <c r="C417" s="167" t="s">
        <v>422</v>
      </c>
      <c r="D417" s="310" t="s">
        <v>1066</v>
      </c>
      <c r="E417" s="385">
        <v>44403.0</v>
      </c>
      <c r="F417" s="386" t="s">
        <v>647</v>
      </c>
      <c r="G417" s="122" t="s">
        <v>194</v>
      </c>
      <c r="H417" s="122">
        <v>1.0</v>
      </c>
      <c r="J417" s="133">
        <v>0.0</v>
      </c>
      <c r="K417" s="366">
        <f>vlookup($D417,Python!$D$2:$F$1000,3,FALSE)</f>
        <v>15.1</v>
      </c>
      <c r="L417" s="133">
        <v>0.0</v>
      </c>
      <c r="N417" s="133" t="s">
        <v>585</v>
      </c>
      <c r="P417" s="122" t="s">
        <v>585</v>
      </c>
      <c r="R417" s="122" t="s">
        <v>585</v>
      </c>
      <c r="T417" s="122" t="s">
        <v>585</v>
      </c>
    </row>
    <row r="418">
      <c r="A418" s="167">
        <v>250.0</v>
      </c>
      <c r="B418" s="167" t="s">
        <v>511</v>
      </c>
      <c r="C418" s="167" t="s">
        <v>422</v>
      </c>
      <c r="D418" s="310" t="s">
        <v>1067</v>
      </c>
      <c r="E418" s="385">
        <v>44403.0</v>
      </c>
      <c r="F418" s="386" t="s">
        <v>642</v>
      </c>
      <c r="G418" s="122" t="s">
        <v>194</v>
      </c>
      <c r="H418" s="122">
        <v>1.0</v>
      </c>
      <c r="J418" s="133">
        <v>0.0</v>
      </c>
      <c r="K418" s="366">
        <f>vlookup($D418,Python!$D$2:$F$1000,3,FALSE)</f>
        <v>18.2</v>
      </c>
      <c r="L418" s="133">
        <v>0.0</v>
      </c>
      <c r="N418" s="133" t="s">
        <v>585</v>
      </c>
      <c r="P418" s="122" t="s">
        <v>585</v>
      </c>
      <c r="R418" s="122" t="s">
        <v>585</v>
      </c>
      <c r="T418" s="122" t="s">
        <v>585</v>
      </c>
    </row>
    <row r="419">
      <c r="A419" s="167">
        <v>251.0</v>
      </c>
      <c r="B419" s="167" t="s">
        <v>511</v>
      </c>
      <c r="C419" s="167" t="s">
        <v>422</v>
      </c>
      <c r="D419" s="310" t="s">
        <v>1068</v>
      </c>
      <c r="E419" s="385">
        <v>44404.0</v>
      </c>
      <c r="F419" s="386" t="s">
        <v>642</v>
      </c>
      <c r="G419" s="122" t="s">
        <v>194</v>
      </c>
      <c r="H419" s="122">
        <v>1.0</v>
      </c>
      <c r="J419" s="133">
        <v>0.0</v>
      </c>
      <c r="K419" s="366">
        <f>vlookup($D419,Python!$D$2:$F$1000,3,FALSE)</f>
        <v>39.5</v>
      </c>
      <c r="L419" s="133">
        <v>0.0</v>
      </c>
      <c r="N419" s="133" t="s">
        <v>585</v>
      </c>
      <c r="P419" s="122" t="s">
        <v>585</v>
      </c>
      <c r="R419" s="122" t="s">
        <v>585</v>
      </c>
      <c r="T419" s="122" t="s">
        <v>585</v>
      </c>
    </row>
    <row r="420">
      <c r="A420" s="167">
        <v>252.0</v>
      </c>
      <c r="B420" s="167" t="s">
        <v>513</v>
      </c>
      <c r="C420" s="167" t="s">
        <v>422</v>
      </c>
      <c r="D420" s="310" t="s">
        <v>1069</v>
      </c>
      <c r="E420" s="385">
        <v>44402.0</v>
      </c>
      <c r="F420" s="386" t="s">
        <v>642</v>
      </c>
      <c r="G420" s="122" t="s">
        <v>194</v>
      </c>
      <c r="H420" s="122">
        <v>1.0</v>
      </c>
      <c r="J420" s="133">
        <v>0.0</v>
      </c>
      <c r="K420" s="366">
        <f>vlookup($D420,Python!$D$2:$F$1000,3,FALSE)</f>
        <v>73.4</v>
      </c>
      <c r="L420" s="133">
        <v>0.0</v>
      </c>
      <c r="N420" s="133" t="s">
        <v>585</v>
      </c>
      <c r="P420" s="122" t="s">
        <v>585</v>
      </c>
      <c r="R420" s="122" t="s">
        <v>585</v>
      </c>
      <c r="T420" s="122" t="s">
        <v>585</v>
      </c>
    </row>
    <row r="421">
      <c r="A421" s="167">
        <v>253.0</v>
      </c>
      <c r="B421" s="167" t="s">
        <v>513</v>
      </c>
      <c r="C421" s="167" t="s">
        <v>422</v>
      </c>
      <c r="D421" s="310" t="s">
        <v>1070</v>
      </c>
      <c r="E421" s="385">
        <v>44404.0</v>
      </c>
      <c r="F421" s="386" t="s">
        <v>642</v>
      </c>
      <c r="G421" s="122" t="s">
        <v>194</v>
      </c>
      <c r="H421" s="122">
        <v>1.0</v>
      </c>
      <c r="J421" s="133">
        <v>0.0</v>
      </c>
      <c r="K421" s="366">
        <f>vlookup($D421,Python!$D$2:$F$1000,3,FALSE)</f>
        <v>71.2</v>
      </c>
      <c r="L421" s="133">
        <v>0.0</v>
      </c>
      <c r="N421" s="133" t="s">
        <v>585</v>
      </c>
      <c r="P421" s="122" t="s">
        <v>585</v>
      </c>
      <c r="R421" s="122" t="s">
        <v>585</v>
      </c>
      <c r="T421" s="122" t="s">
        <v>585</v>
      </c>
    </row>
    <row r="422">
      <c r="A422" s="167">
        <v>254.0</v>
      </c>
      <c r="B422" s="167" t="s">
        <v>513</v>
      </c>
      <c r="C422" s="167" t="s">
        <v>422</v>
      </c>
      <c r="D422" s="310" t="s">
        <v>1071</v>
      </c>
      <c r="E422" s="385">
        <v>44406.0</v>
      </c>
      <c r="F422" s="386" t="s">
        <v>642</v>
      </c>
      <c r="G422" s="122" t="s">
        <v>194</v>
      </c>
      <c r="H422" s="122">
        <v>1.0</v>
      </c>
      <c r="J422" s="133">
        <v>0.0</v>
      </c>
      <c r="K422" s="366">
        <f>vlookup($D422,Python!$D$2:$F$1000,3,FALSE)</f>
        <v>40.7</v>
      </c>
      <c r="L422" s="133">
        <v>0.0</v>
      </c>
      <c r="N422" s="133" t="s">
        <v>585</v>
      </c>
      <c r="P422" s="122" t="s">
        <v>585</v>
      </c>
      <c r="R422" s="122" t="s">
        <v>585</v>
      </c>
      <c r="T422" s="122" t="s">
        <v>585</v>
      </c>
    </row>
    <row r="423">
      <c r="A423" s="167">
        <v>255.0</v>
      </c>
      <c r="B423" s="167" t="s">
        <v>513</v>
      </c>
      <c r="C423" s="167" t="s">
        <v>422</v>
      </c>
      <c r="D423" s="310" t="s">
        <v>1072</v>
      </c>
      <c r="E423" s="385">
        <v>44388.0</v>
      </c>
      <c r="F423" s="386" t="s">
        <v>642</v>
      </c>
      <c r="G423" s="122" t="s">
        <v>194</v>
      </c>
      <c r="H423" s="122">
        <v>1.0</v>
      </c>
      <c r="J423" s="133">
        <v>0.0</v>
      </c>
      <c r="K423" s="366">
        <f>vlookup($D423,Python!$D$2:$F$1000,3,FALSE)</f>
        <v>209.7</v>
      </c>
      <c r="L423" s="133">
        <v>1000000.0</v>
      </c>
      <c r="N423" s="133" t="s">
        <v>585</v>
      </c>
      <c r="P423" s="122" t="s">
        <v>585</v>
      </c>
      <c r="R423" s="122" t="s">
        <v>585</v>
      </c>
      <c r="T423" s="122" t="s">
        <v>585</v>
      </c>
    </row>
    <row r="424">
      <c r="A424" s="167">
        <v>256.0</v>
      </c>
      <c r="B424" s="167" t="s">
        <v>514</v>
      </c>
      <c r="C424" s="167" t="s">
        <v>422</v>
      </c>
      <c r="D424" s="310" t="s">
        <v>1073</v>
      </c>
      <c r="E424" s="385">
        <v>44403.0</v>
      </c>
      <c r="F424" s="386" t="s">
        <v>642</v>
      </c>
      <c r="G424" s="122" t="s">
        <v>194</v>
      </c>
      <c r="H424" s="122">
        <v>1.0</v>
      </c>
      <c r="J424" s="133">
        <v>0.0</v>
      </c>
      <c r="K424" s="366">
        <f>vlookup($D424,Python!$D$2:$F$1000,3,FALSE)</f>
        <v>2000</v>
      </c>
      <c r="L424" s="133">
        <v>1.0E7</v>
      </c>
      <c r="N424" s="133" t="s">
        <v>585</v>
      </c>
      <c r="P424" s="122" t="s">
        <v>585</v>
      </c>
      <c r="R424" s="122" t="s">
        <v>585</v>
      </c>
      <c r="T424" s="122" t="s">
        <v>585</v>
      </c>
    </row>
    <row r="425">
      <c r="A425" s="167">
        <v>257.0</v>
      </c>
      <c r="B425" s="167" t="s">
        <v>514</v>
      </c>
      <c r="C425" s="167" t="s">
        <v>422</v>
      </c>
      <c r="D425" s="310" t="s">
        <v>1074</v>
      </c>
      <c r="E425" s="385">
        <v>44408.0</v>
      </c>
      <c r="F425" s="386" t="s">
        <v>642</v>
      </c>
      <c r="G425" s="122" t="s">
        <v>194</v>
      </c>
      <c r="H425" s="122">
        <v>1.0</v>
      </c>
      <c r="J425" s="133">
        <v>0.0</v>
      </c>
      <c r="K425" s="366">
        <f>vlookup($D425,Python!$D$2:$F$1000,3,FALSE)</f>
        <v>681.3</v>
      </c>
      <c r="L425" s="133">
        <v>3000000.0</v>
      </c>
      <c r="N425" s="133" t="s">
        <v>585</v>
      </c>
      <c r="P425" s="122" t="s">
        <v>585</v>
      </c>
      <c r="R425" s="122" t="s">
        <v>585</v>
      </c>
      <c r="T425" s="122" t="s">
        <v>585</v>
      </c>
    </row>
    <row r="426">
      <c r="A426" s="167">
        <v>258.0</v>
      </c>
      <c r="B426" s="167" t="s">
        <v>514</v>
      </c>
      <c r="C426" s="167" t="s">
        <v>422</v>
      </c>
      <c r="D426" s="310" t="s">
        <v>1075</v>
      </c>
      <c r="E426" s="385">
        <v>44413.0</v>
      </c>
      <c r="F426" s="386" t="s">
        <v>647</v>
      </c>
      <c r="G426" s="122" t="s">
        <v>194</v>
      </c>
      <c r="H426" s="122">
        <v>1.0</v>
      </c>
      <c r="J426" s="133">
        <v>0.0</v>
      </c>
      <c r="K426" s="366">
        <f>vlookup($D426,Python!$D$2:$F$1000,3,FALSE)</f>
        <v>170.4</v>
      </c>
      <c r="L426" s="133">
        <v>500000.0</v>
      </c>
      <c r="N426" s="133" t="s">
        <v>585</v>
      </c>
      <c r="P426" s="122" t="s">
        <v>585</v>
      </c>
      <c r="R426" s="122" t="s">
        <v>585</v>
      </c>
      <c r="T426" s="122" t="s">
        <v>585</v>
      </c>
    </row>
    <row r="427">
      <c r="A427" s="167">
        <v>259.0</v>
      </c>
      <c r="B427" s="167" t="s">
        <v>514</v>
      </c>
      <c r="C427" s="167" t="s">
        <v>422</v>
      </c>
      <c r="D427" s="310" t="s">
        <v>1076</v>
      </c>
      <c r="E427" s="385">
        <v>44415.0</v>
      </c>
      <c r="F427" s="386" t="s">
        <v>641</v>
      </c>
      <c r="G427" s="122" t="s">
        <v>194</v>
      </c>
      <c r="H427" s="122">
        <v>1.0</v>
      </c>
      <c r="J427" s="133">
        <v>0.0</v>
      </c>
      <c r="K427" s="366">
        <f>vlookup($D427,Python!$D$2:$F$1000,3,FALSE)</f>
        <v>398.1</v>
      </c>
      <c r="L427" s="133">
        <v>1500000.0</v>
      </c>
      <c r="N427" s="133" t="s">
        <v>585</v>
      </c>
      <c r="P427" s="122" t="s">
        <v>585</v>
      </c>
      <c r="R427" s="122" t="s">
        <v>585</v>
      </c>
      <c r="T427" s="122" t="s">
        <v>585</v>
      </c>
    </row>
    <row r="428">
      <c r="A428" s="167">
        <v>260.0</v>
      </c>
      <c r="B428" s="167" t="s">
        <v>514</v>
      </c>
      <c r="C428" s="167" t="s">
        <v>422</v>
      </c>
      <c r="D428" s="310" t="s">
        <v>1077</v>
      </c>
      <c r="E428" s="385">
        <v>44420.0</v>
      </c>
      <c r="F428" s="386" t="s">
        <v>647</v>
      </c>
      <c r="G428" s="122" t="s">
        <v>194</v>
      </c>
      <c r="H428" s="122">
        <v>1.0</v>
      </c>
      <c r="J428" s="133">
        <v>0.0</v>
      </c>
      <c r="K428" s="366">
        <f>vlookup($D428,Python!$D$2:$F$1000,3,FALSE)</f>
        <v>3700</v>
      </c>
      <c r="L428" s="133">
        <v>1.85E7</v>
      </c>
      <c r="N428" s="133" t="s">
        <v>585</v>
      </c>
      <c r="P428" s="122" t="s">
        <v>585</v>
      </c>
      <c r="R428" s="122" t="s">
        <v>585</v>
      </c>
      <c r="T428" s="122" t="s">
        <v>585</v>
      </c>
    </row>
    <row r="429">
      <c r="A429" s="167">
        <v>261.0</v>
      </c>
      <c r="B429" s="167" t="s">
        <v>515</v>
      </c>
      <c r="C429" s="167" t="s">
        <v>422</v>
      </c>
      <c r="D429" s="310" t="s">
        <v>1078</v>
      </c>
      <c r="E429" s="385">
        <v>44403.0</v>
      </c>
      <c r="F429" s="386" t="s">
        <v>642</v>
      </c>
      <c r="G429" s="122" t="s">
        <v>194</v>
      </c>
      <c r="H429" s="122">
        <v>1.0</v>
      </c>
      <c r="J429" s="133">
        <v>0.0</v>
      </c>
      <c r="K429" s="417"/>
      <c r="L429" s="133" t="s">
        <v>585</v>
      </c>
      <c r="N429" s="133" t="s">
        <v>585</v>
      </c>
      <c r="P429" s="122" t="s">
        <v>585</v>
      </c>
      <c r="R429" s="122" t="s">
        <v>585</v>
      </c>
      <c r="T429" s="122" t="s">
        <v>585</v>
      </c>
    </row>
    <row r="430">
      <c r="A430" s="167">
        <v>262.0</v>
      </c>
      <c r="B430" s="167" t="s">
        <v>517</v>
      </c>
      <c r="C430" s="167" t="s">
        <v>422</v>
      </c>
      <c r="D430" s="310" t="s">
        <v>1079</v>
      </c>
      <c r="E430" s="385">
        <v>44409.0</v>
      </c>
      <c r="F430" s="386" t="s">
        <v>642</v>
      </c>
      <c r="G430" s="122" t="s">
        <v>194</v>
      </c>
      <c r="H430" s="122">
        <v>1.0</v>
      </c>
      <c r="J430" s="133">
        <v>0.0</v>
      </c>
      <c r="K430" s="366">
        <f>vlookup($D430,Python!$D$2:$F$1000,3,FALSE)</f>
        <v>371.6</v>
      </c>
      <c r="L430" s="133">
        <v>1500000.0</v>
      </c>
      <c r="N430" s="133" t="s">
        <v>585</v>
      </c>
      <c r="P430" s="122" t="s">
        <v>585</v>
      </c>
      <c r="R430" s="122" t="s">
        <v>585</v>
      </c>
      <c r="T430" s="122" t="s">
        <v>585</v>
      </c>
    </row>
    <row r="431">
      <c r="A431" s="167">
        <v>263.0</v>
      </c>
      <c r="B431" s="167" t="s">
        <v>517</v>
      </c>
      <c r="C431" s="167" t="s">
        <v>422</v>
      </c>
      <c r="D431" s="310" t="s">
        <v>1080</v>
      </c>
      <c r="E431" s="385">
        <v>44411.0</v>
      </c>
      <c r="F431" s="386" t="s">
        <v>642</v>
      </c>
      <c r="G431" s="122" t="s">
        <v>194</v>
      </c>
      <c r="H431" s="122">
        <v>1.0</v>
      </c>
      <c r="J431" s="133">
        <v>0.0</v>
      </c>
      <c r="K431" s="366">
        <f>vlookup($D431,Python!$D$2:$F$1000,3,FALSE)</f>
        <v>1200</v>
      </c>
      <c r="L431" s="133">
        <v>6000000.0</v>
      </c>
      <c r="N431" s="133" t="s">
        <v>585</v>
      </c>
      <c r="P431" s="122" t="s">
        <v>585</v>
      </c>
      <c r="R431" s="122" t="s">
        <v>585</v>
      </c>
      <c r="T431" s="122" t="s">
        <v>585</v>
      </c>
    </row>
    <row r="432">
      <c r="A432" s="167">
        <v>264.0</v>
      </c>
      <c r="B432" s="167" t="s">
        <v>517</v>
      </c>
      <c r="C432" s="167" t="s">
        <v>422</v>
      </c>
      <c r="D432" s="310" t="s">
        <v>1081</v>
      </c>
      <c r="E432" s="385">
        <v>44414.0</v>
      </c>
      <c r="F432" s="386" t="s">
        <v>642</v>
      </c>
      <c r="G432" s="122" t="s">
        <v>194</v>
      </c>
      <c r="H432" s="122">
        <v>1.0</v>
      </c>
      <c r="J432" s="133">
        <v>0.0</v>
      </c>
      <c r="K432" s="366">
        <f>vlookup($D432,Python!$D$2:$F$1000,3,FALSE)</f>
        <v>967.1</v>
      </c>
      <c r="L432" s="133">
        <v>4500000.0</v>
      </c>
      <c r="N432" s="133" t="s">
        <v>585</v>
      </c>
      <c r="P432" s="122" t="s">
        <v>585</v>
      </c>
      <c r="R432" s="122" t="s">
        <v>585</v>
      </c>
      <c r="T432" s="122" t="s">
        <v>585</v>
      </c>
    </row>
    <row r="433">
      <c r="A433" s="167">
        <v>265.0</v>
      </c>
      <c r="B433" s="167" t="s">
        <v>517</v>
      </c>
      <c r="C433" s="167" t="s">
        <v>422</v>
      </c>
      <c r="D433" s="310" t="s">
        <v>1082</v>
      </c>
      <c r="E433" s="385">
        <v>44425.0</v>
      </c>
      <c r="F433" s="386" t="s">
        <v>642</v>
      </c>
      <c r="G433" s="122" t="s">
        <v>194</v>
      </c>
      <c r="H433" s="122">
        <v>1.0</v>
      </c>
      <c r="J433" s="133">
        <v>0.0</v>
      </c>
      <c r="K433" s="366">
        <f>vlookup($D433,Python!$D$2:$F$1000,3,FALSE)</f>
        <v>15.7</v>
      </c>
      <c r="L433" s="133">
        <v>0.0</v>
      </c>
      <c r="N433" s="133" t="s">
        <v>585</v>
      </c>
      <c r="P433" s="122" t="s">
        <v>585</v>
      </c>
      <c r="R433" s="122" t="s">
        <v>585</v>
      </c>
      <c r="T433" s="122" t="s">
        <v>585</v>
      </c>
    </row>
    <row r="434">
      <c r="A434" s="167">
        <v>266.0</v>
      </c>
      <c r="B434" s="167" t="s">
        <v>518</v>
      </c>
      <c r="C434" s="167" t="s">
        <v>422</v>
      </c>
      <c r="D434" s="310" t="s">
        <v>1083</v>
      </c>
      <c r="E434" s="385">
        <v>44402.0</v>
      </c>
      <c r="F434" s="386" t="s">
        <v>647</v>
      </c>
      <c r="G434" s="122" t="s">
        <v>194</v>
      </c>
      <c r="H434" s="122">
        <v>1.0</v>
      </c>
      <c r="J434" s="133">
        <v>0.0</v>
      </c>
      <c r="K434" s="366">
        <f>vlookup($D434,Python!$D$2:$F$1000,3,FALSE)</f>
        <v>38.2</v>
      </c>
      <c r="L434" s="133">
        <v>0.0</v>
      </c>
      <c r="N434" s="133" t="s">
        <v>585</v>
      </c>
      <c r="P434" s="122" t="s">
        <v>585</v>
      </c>
      <c r="R434" s="122" t="s">
        <v>585</v>
      </c>
      <c r="T434" s="122" t="s">
        <v>585</v>
      </c>
    </row>
    <row r="435">
      <c r="A435" s="167">
        <v>267.0</v>
      </c>
      <c r="B435" s="167" t="s">
        <v>518</v>
      </c>
      <c r="C435" s="167" t="s">
        <v>422</v>
      </c>
      <c r="D435" s="310" t="s">
        <v>1084</v>
      </c>
      <c r="E435" s="385">
        <v>44402.0</v>
      </c>
      <c r="F435" s="386" t="s">
        <v>641</v>
      </c>
      <c r="G435" s="122" t="s">
        <v>194</v>
      </c>
      <c r="H435" s="122">
        <v>1.0</v>
      </c>
      <c r="J435" s="133">
        <v>0.0</v>
      </c>
      <c r="K435" s="366">
        <f>vlookup($D435,Python!$D$2:$F$1000,3,FALSE)</f>
        <v>41.4</v>
      </c>
      <c r="L435" s="133">
        <v>0.0</v>
      </c>
      <c r="N435" s="133" t="s">
        <v>585</v>
      </c>
      <c r="P435" s="122" t="s">
        <v>585</v>
      </c>
      <c r="R435" s="122" t="s">
        <v>585</v>
      </c>
      <c r="T435" s="122" t="s">
        <v>585</v>
      </c>
    </row>
    <row r="436">
      <c r="A436" s="167">
        <v>268.0</v>
      </c>
      <c r="B436" s="167" t="s">
        <v>518</v>
      </c>
      <c r="C436" s="167" t="s">
        <v>422</v>
      </c>
      <c r="D436" s="310" t="s">
        <v>1085</v>
      </c>
      <c r="E436" s="385">
        <v>44418.0</v>
      </c>
      <c r="F436" s="386" t="s">
        <v>647</v>
      </c>
      <c r="G436" s="122" t="s">
        <v>194</v>
      </c>
      <c r="H436" s="122">
        <v>1.0</v>
      </c>
      <c r="J436" s="133">
        <v>0.0</v>
      </c>
      <c r="K436" s="366">
        <f>vlookup($D436,Python!$D$2:$F$1000,3,FALSE)</f>
        <v>61.1</v>
      </c>
      <c r="L436" s="133">
        <v>0.0</v>
      </c>
      <c r="N436" s="133" t="s">
        <v>585</v>
      </c>
      <c r="P436" s="122" t="s">
        <v>585</v>
      </c>
      <c r="R436" s="122" t="s">
        <v>585</v>
      </c>
      <c r="T436" s="122" t="s">
        <v>585</v>
      </c>
    </row>
    <row r="437">
      <c r="A437" s="167">
        <v>269.0</v>
      </c>
      <c r="B437" s="167" t="s">
        <v>520</v>
      </c>
      <c r="C437" s="167" t="s">
        <v>422</v>
      </c>
      <c r="D437" s="310" t="s">
        <v>1086</v>
      </c>
      <c r="E437" s="385">
        <v>44437.0</v>
      </c>
      <c r="F437" s="386" t="s">
        <v>642</v>
      </c>
      <c r="G437" s="122" t="s">
        <v>194</v>
      </c>
      <c r="H437" s="122">
        <v>1.0</v>
      </c>
      <c r="J437" s="133">
        <v>0.0</v>
      </c>
      <c r="K437" s="366">
        <f>vlookup($D437,Python!$D$2:$F$1000,3,FALSE)</f>
        <v>211.6</v>
      </c>
      <c r="L437" s="133">
        <v>1000000.0</v>
      </c>
      <c r="N437" s="133" t="s">
        <v>585</v>
      </c>
      <c r="P437" s="122" t="s">
        <v>585</v>
      </c>
      <c r="R437" s="122" t="s">
        <v>585</v>
      </c>
      <c r="T437" s="122" t="s">
        <v>585</v>
      </c>
    </row>
    <row r="438">
      <c r="A438" s="167">
        <v>270.0</v>
      </c>
      <c r="B438" s="167" t="s">
        <v>520</v>
      </c>
      <c r="C438" s="167" t="s">
        <v>422</v>
      </c>
      <c r="D438" s="310" t="s">
        <v>1087</v>
      </c>
      <c r="E438" s="385">
        <v>44437.0</v>
      </c>
      <c r="F438" s="386" t="s">
        <v>642</v>
      </c>
      <c r="G438" s="122" t="s">
        <v>194</v>
      </c>
      <c r="H438" s="122">
        <v>1.0</v>
      </c>
      <c r="J438" s="133">
        <v>0.0</v>
      </c>
      <c r="K438" s="366">
        <f>vlookup($D438,Python!$D$2:$F$1000,3,FALSE)</f>
        <v>187.5</v>
      </c>
      <c r="L438" s="133">
        <v>500000.0</v>
      </c>
      <c r="N438" s="133" t="s">
        <v>585</v>
      </c>
      <c r="P438" s="122" t="s">
        <v>585</v>
      </c>
      <c r="R438" s="122" t="s">
        <v>585</v>
      </c>
      <c r="T438" s="122" t="s">
        <v>585</v>
      </c>
    </row>
    <row r="439">
      <c r="A439" s="167">
        <v>271.0</v>
      </c>
      <c r="B439" s="167" t="s">
        <v>520</v>
      </c>
      <c r="C439" s="167" t="s">
        <v>422</v>
      </c>
      <c r="D439" s="310" t="s">
        <v>1088</v>
      </c>
      <c r="E439" s="385">
        <v>44418.0</v>
      </c>
      <c r="F439" s="386" t="s">
        <v>641</v>
      </c>
      <c r="G439" s="122" t="s">
        <v>194</v>
      </c>
      <c r="H439" s="122">
        <v>1.0</v>
      </c>
      <c r="J439" s="133">
        <v>0.0</v>
      </c>
      <c r="K439" s="366">
        <f>vlookup($D439,Python!$D$2:$F$1000,3,FALSE)</f>
        <v>88.2</v>
      </c>
      <c r="L439" s="133">
        <v>0.0</v>
      </c>
      <c r="N439" s="133" t="s">
        <v>585</v>
      </c>
      <c r="P439" s="122" t="s">
        <v>585</v>
      </c>
      <c r="R439" s="122" t="s">
        <v>585</v>
      </c>
      <c r="T439" s="122" t="s">
        <v>585</v>
      </c>
    </row>
    <row r="440">
      <c r="A440" s="167">
        <v>272.0</v>
      </c>
      <c r="B440" s="167" t="s">
        <v>1089</v>
      </c>
      <c r="C440" s="167" t="s">
        <v>422</v>
      </c>
      <c r="D440" s="310" t="s">
        <v>1090</v>
      </c>
      <c r="E440" s="385">
        <v>44405.0</v>
      </c>
      <c r="F440" s="386" t="s">
        <v>647</v>
      </c>
      <c r="G440" s="122" t="s">
        <v>194</v>
      </c>
      <c r="H440" s="122">
        <v>1.0</v>
      </c>
      <c r="J440" s="133">
        <v>0.0</v>
      </c>
      <c r="K440" s="366">
        <f>vlookup($D440,Python!$D$2:$F$1000,3,FALSE)</f>
        <v>62.4</v>
      </c>
      <c r="L440" s="133">
        <v>0.0</v>
      </c>
      <c r="N440" s="133" t="s">
        <v>585</v>
      </c>
      <c r="P440" s="122" t="s">
        <v>585</v>
      </c>
      <c r="R440" s="122" t="s">
        <v>585</v>
      </c>
      <c r="T440" s="122" t="s">
        <v>585</v>
      </c>
    </row>
    <row r="441">
      <c r="A441" s="167">
        <v>273.0</v>
      </c>
      <c r="B441" s="167" t="s">
        <v>1091</v>
      </c>
      <c r="C441" s="167" t="s">
        <v>422</v>
      </c>
      <c r="D441" s="310" t="s">
        <v>1092</v>
      </c>
      <c r="E441" s="385">
        <v>44418.0</v>
      </c>
      <c r="F441" s="386" t="s">
        <v>641</v>
      </c>
      <c r="G441" s="122" t="s">
        <v>194</v>
      </c>
      <c r="H441" s="122">
        <v>1.0</v>
      </c>
      <c r="J441" s="133">
        <v>0.0</v>
      </c>
      <c r="K441" s="366">
        <f>vlookup($D441,Python!$D$2:$F$1000,3,FALSE)</f>
        <v>11.6</v>
      </c>
      <c r="L441" s="133">
        <v>0.0</v>
      </c>
      <c r="N441" s="133" t="s">
        <v>585</v>
      </c>
      <c r="P441" s="122" t="s">
        <v>585</v>
      </c>
      <c r="R441" s="122" t="s">
        <v>585</v>
      </c>
      <c r="T441" s="122" t="s">
        <v>585</v>
      </c>
    </row>
    <row r="442">
      <c r="A442" s="167">
        <v>274.0</v>
      </c>
      <c r="B442" s="167" t="s">
        <v>522</v>
      </c>
      <c r="C442" s="167" t="s">
        <v>422</v>
      </c>
      <c r="D442" s="310" t="s">
        <v>1093</v>
      </c>
      <c r="E442" s="385">
        <v>44410.0</v>
      </c>
      <c r="F442" s="386" t="s">
        <v>642</v>
      </c>
      <c r="G442" s="122" t="s">
        <v>194</v>
      </c>
      <c r="H442" s="122">
        <v>1.0</v>
      </c>
      <c r="J442" s="133">
        <v>0.0</v>
      </c>
      <c r="K442" s="366">
        <f>vlookup($D442,Python!$D$2:$F$1000,3,FALSE)</f>
        <v>3700</v>
      </c>
      <c r="L442" s="133">
        <v>1.85E7</v>
      </c>
      <c r="N442" s="133" t="s">
        <v>585</v>
      </c>
      <c r="P442" s="122" t="s">
        <v>585</v>
      </c>
      <c r="R442" s="122" t="s">
        <v>585</v>
      </c>
      <c r="T442" s="122" t="s">
        <v>585</v>
      </c>
    </row>
    <row r="443">
      <c r="A443" s="167">
        <v>275.0</v>
      </c>
      <c r="B443" s="167" t="s">
        <v>522</v>
      </c>
      <c r="C443" s="167" t="s">
        <v>422</v>
      </c>
      <c r="D443" s="310" t="s">
        <v>1094</v>
      </c>
      <c r="E443" s="385">
        <v>44411.0</v>
      </c>
      <c r="F443" s="386" t="s">
        <v>642</v>
      </c>
      <c r="G443" s="122" t="s">
        <v>194</v>
      </c>
      <c r="H443" s="122">
        <v>1.0</v>
      </c>
      <c r="J443" s="133">
        <v>0.0</v>
      </c>
      <c r="K443" s="366">
        <f>vlookup($D443,Python!$D$2:$F$1000,3,FALSE)</f>
        <v>7200</v>
      </c>
      <c r="L443" s="133">
        <v>3.6E7</v>
      </c>
      <c r="N443" s="133" t="s">
        <v>585</v>
      </c>
      <c r="P443" s="122" t="s">
        <v>585</v>
      </c>
      <c r="R443" s="122" t="s">
        <v>585</v>
      </c>
      <c r="T443" s="122" t="s">
        <v>585</v>
      </c>
    </row>
    <row r="444">
      <c r="A444" s="167">
        <v>276.0</v>
      </c>
      <c r="B444" s="167" t="s">
        <v>522</v>
      </c>
      <c r="C444" s="167" t="s">
        <v>422</v>
      </c>
      <c r="D444" s="310" t="s">
        <v>1095</v>
      </c>
      <c r="E444" s="385">
        <v>44413.0</v>
      </c>
      <c r="F444" s="386" t="s">
        <v>642</v>
      </c>
      <c r="G444" s="122" t="s">
        <v>194</v>
      </c>
      <c r="H444" s="122">
        <v>1.0</v>
      </c>
      <c r="J444" s="133">
        <v>0.0</v>
      </c>
      <c r="K444" s="366">
        <f>vlookup($D444,Python!$D$2:$F$1000,3,FALSE)</f>
        <v>3100</v>
      </c>
      <c r="L444" s="133">
        <v>1.55E7</v>
      </c>
      <c r="N444" s="133" t="s">
        <v>585</v>
      </c>
      <c r="P444" s="122" t="s">
        <v>585</v>
      </c>
      <c r="R444" s="122" t="s">
        <v>585</v>
      </c>
      <c r="T444" s="122" t="s">
        <v>585</v>
      </c>
    </row>
    <row r="445">
      <c r="A445" s="167">
        <v>277.0</v>
      </c>
      <c r="B445" s="167" t="s">
        <v>522</v>
      </c>
      <c r="C445" s="167" t="s">
        <v>422</v>
      </c>
      <c r="D445" s="310" t="s">
        <v>1096</v>
      </c>
      <c r="E445" s="385">
        <v>44415.0</v>
      </c>
      <c r="F445" s="386" t="s">
        <v>641</v>
      </c>
      <c r="G445" s="122" t="s">
        <v>194</v>
      </c>
      <c r="H445" s="122">
        <v>1.0</v>
      </c>
      <c r="J445" s="133">
        <v>0.0</v>
      </c>
      <c r="K445" s="366">
        <f>vlookup($D445,Python!$D$2:$F$1000,3,FALSE)</f>
        <v>718.6</v>
      </c>
      <c r="L445" s="133">
        <v>3500000.0</v>
      </c>
      <c r="N445" s="133" t="s">
        <v>585</v>
      </c>
      <c r="P445" s="122" t="s">
        <v>585</v>
      </c>
      <c r="R445" s="122" t="s">
        <v>585</v>
      </c>
      <c r="T445" s="122" t="s">
        <v>585</v>
      </c>
    </row>
    <row r="446">
      <c r="A446" s="167">
        <v>278.0</v>
      </c>
      <c r="B446" s="167" t="s">
        <v>522</v>
      </c>
      <c r="C446" s="167" t="s">
        <v>422</v>
      </c>
      <c r="D446" s="310" t="s">
        <v>1097</v>
      </c>
      <c r="E446" s="385">
        <v>44417.0</v>
      </c>
      <c r="F446" s="386" t="s">
        <v>647</v>
      </c>
      <c r="G446" s="122" t="s">
        <v>194</v>
      </c>
      <c r="H446" s="122">
        <v>1.0</v>
      </c>
      <c r="J446" s="133">
        <v>0.0</v>
      </c>
      <c r="K446" s="366">
        <f>vlookup($D446,Python!$D$2:$F$1000,3,FALSE)</f>
        <v>570.3</v>
      </c>
      <c r="L446" s="133">
        <v>2500000.0</v>
      </c>
      <c r="N446" s="133" t="s">
        <v>585</v>
      </c>
      <c r="P446" s="122" t="s">
        <v>585</v>
      </c>
      <c r="R446" s="122" t="s">
        <v>585</v>
      </c>
      <c r="T446" s="122" t="s">
        <v>585</v>
      </c>
    </row>
    <row r="447">
      <c r="A447" s="167">
        <v>279.0</v>
      </c>
      <c r="B447" s="167" t="s">
        <v>522</v>
      </c>
      <c r="C447" s="167" t="s">
        <v>422</v>
      </c>
      <c r="D447" s="310" t="s">
        <v>1098</v>
      </c>
      <c r="E447" s="385">
        <v>44422.0</v>
      </c>
      <c r="F447" s="386" t="s">
        <v>642</v>
      </c>
      <c r="G447" s="122" t="s">
        <v>194</v>
      </c>
      <c r="H447" s="122">
        <v>1.0</v>
      </c>
      <c r="J447" s="133">
        <v>0.0</v>
      </c>
      <c r="K447" s="366">
        <f>vlookup($D447,Python!$D$2:$F$1000,3,FALSE)</f>
        <v>2800</v>
      </c>
      <c r="L447" s="133">
        <v>1.4E7</v>
      </c>
      <c r="N447" s="133" t="s">
        <v>585</v>
      </c>
      <c r="P447" s="122" t="s">
        <v>585</v>
      </c>
      <c r="R447" s="122" t="s">
        <v>585</v>
      </c>
      <c r="T447" s="122" t="s">
        <v>585</v>
      </c>
    </row>
    <row r="448">
      <c r="A448" s="167">
        <v>280.0</v>
      </c>
      <c r="B448" s="167" t="s">
        <v>1099</v>
      </c>
      <c r="C448" s="167" t="s">
        <v>422</v>
      </c>
      <c r="D448" s="310" t="s">
        <v>1100</v>
      </c>
      <c r="E448" s="385">
        <v>44420.0</v>
      </c>
      <c r="F448" s="386" t="s">
        <v>647</v>
      </c>
      <c r="G448" s="122" t="s">
        <v>194</v>
      </c>
      <c r="H448" s="122">
        <v>1.0</v>
      </c>
      <c r="J448" s="133">
        <v>0.0</v>
      </c>
      <c r="K448" s="366">
        <f>vlookup($D448,Python!$D$2:$F$1000,3,FALSE)</f>
        <v>245</v>
      </c>
      <c r="L448" s="133">
        <v>1000000.0</v>
      </c>
      <c r="N448" s="133" t="s">
        <v>585</v>
      </c>
      <c r="P448" s="122" t="s">
        <v>585</v>
      </c>
      <c r="R448" s="122" t="s">
        <v>585</v>
      </c>
      <c r="T448" s="122" t="s">
        <v>585</v>
      </c>
    </row>
    <row r="449">
      <c r="A449" s="167">
        <v>281.0</v>
      </c>
      <c r="B449" s="167" t="s">
        <v>1101</v>
      </c>
      <c r="C449" s="167" t="s">
        <v>422</v>
      </c>
      <c r="D449" s="310" t="s">
        <v>1102</v>
      </c>
      <c r="E449" s="385">
        <v>44415.0</v>
      </c>
      <c r="F449" s="386" t="s">
        <v>647</v>
      </c>
      <c r="G449" s="122" t="s">
        <v>194</v>
      </c>
      <c r="H449" s="122">
        <v>1.0</v>
      </c>
      <c r="J449" s="133">
        <v>0.0</v>
      </c>
      <c r="K449" s="366">
        <f>vlookup($D449,Python!$D$2:$F$1000,3,FALSE)</f>
        <v>237.3</v>
      </c>
      <c r="L449" s="133">
        <v>1000000.0</v>
      </c>
      <c r="N449" s="133" t="s">
        <v>585</v>
      </c>
      <c r="P449" s="122" t="s">
        <v>585</v>
      </c>
      <c r="R449" s="122" t="s">
        <v>585</v>
      </c>
      <c r="T449" s="122" t="s">
        <v>585</v>
      </c>
    </row>
    <row r="450">
      <c r="A450" s="167">
        <v>282.0</v>
      </c>
      <c r="B450" s="167" t="s">
        <v>1101</v>
      </c>
      <c r="C450" s="167" t="s">
        <v>422</v>
      </c>
      <c r="D450" s="310" t="s">
        <v>1103</v>
      </c>
      <c r="E450" s="385">
        <v>44415.0</v>
      </c>
      <c r="F450" s="386" t="s">
        <v>647</v>
      </c>
      <c r="G450" s="122" t="s">
        <v>194</v>
      </c>
      <c r="H450" s="122">
        <v>1.0</v>
      </c>
      <c r="J450" s="133">
        <v>0.0</v>
      </c>
      <c r="K450" s="366">
        <f>vlookup($D450,Python!$D$2:$F$1000,3,FALSE)</f>
        <v>257.8</v>
      </c>
      <c r="L450" s="133">
        <v>1000000.0</v>
      </c>
      <c r="N450" s="133" t="s">
        <v>585</v>
      </c>
      <c r="P450" s="122" t="s">
        <v>585</v>
      </c>
      <c r="R450" s="122" t="s">
        <v>585</v>
      </c>
      <c r="T450" s="122" t="s">
        <v>585</v>
      </c>
    </row>
    <row r="451">
      <c r="A451" s="167">
        <v>283.0</v>
      </c>
      <c r="B451" s="167" t="s">
        <v>1101</v>
      </c>
      <c r="C451" s="167" t="s">
        <v>418</v>
      </c>
      <c r="D451" s="310" t="s">
        <v>1104</v>
      </c>
      <c r="E451" s="385">
        <v>44415.0</v>
      </c>
      <c r="F451" s="386" t="s">
        <v>647</v>
      </c>
      <c r="G451" s="122" t="s">
        <v>194</v>
      </c>
      <c r="H451" s="122">
        <v>1.0</v>
      </c>
      <c r="J451" s="133">
        <v>0.0</v>
      </c>
      <c r="K451" s="366">
        <f>vlookup($D451,Python!$D$2:$F$1000,3,FALSE)</f>
        <v>347</v>
      </c>
      <c r="L451" s="133">
        <v>6000000.0</v>
      </c>
      <c r="N451" s="133" t="s">
        <v>585</v>
      </c>
      <c r="P451" s="122" t="s">
        <v>585</v>
      </c>
      <c r="R451" s="122" t="s">
        <v>585</v>
      </c>
      <c r="T451" s="122" t="s">
        <v>585</v>
      </c>
    </row>
    <row r="452">
      <c r="A452" s="167">
        <v>284.0</v>
      </c>
      <c r="B452" s="167" t="s">
        <v>1101</v>
      </c>
      <c r="C452" s="167" t="s">
        <v>609</v>
      </c>
      <c r="D452" s="310" t="s">
        <v>1105</v>
      </c>
      <c r="E452" s="385">
        <v>44415.0</v>
      </c>
      <c r="F452" s="386" t="s">
        <v>647</v>
      </c>
      <c r="G452" s="122" t="s">
        <v>194</v>
      </c>
      <c r="H452" s="122">
        <v>1.0</v>
      </c>
      <c r="J452" s="133">
        <v>0.0</v>
      </c>
      <c r="K452" s="418" t="str">
        <f>vlookup($D452,Python!$D$2:$F$1000,3,FALSE)</f>
        <v/>
      </c>
      <c r="L452" s="133" t="s">
        <v>585</v>
      </c>
      <c r="N452" s="133" t="s">
        <v>585</v>
      </c>
      <c r="P452" s="122" t="s">
        <v>585</v>
      </c>
      <c r="R452" s="122" t="s">
        <v>585</v>
      </c>
      <c r="T452" s="122" t="s">
        <v>585</v>
      </c>
    </row>
    <row r="453">
      <c r="A453" s="167">
        <v>285.0</v>
      </c>
      <c r="B453" s="167" t="s">
        <v>1106</v>
      </c>
      <c r="C453" s="167" t="s">
        <v>418</v>
      </c>
      <c r="D453" s="310" t="s">
        <v>1107</v>
      </c>
      <c r="E453" s="385">
        <v>44413.0</v>
      </c>
      <c r="F453" s="386" t="s">
        <v>641</v>
      </c>
      <c r="G453" s="122" t="s">
        <v>194</v>
      </c>
      <c r="H453" s="122">
        <v>1.0</v>
      </c>
      <c r="J453" s="133">
        <v>0.0</v>
      </c>
      <c r="K453" s="366">
        <f>vlookup($D453,Python!$D$2:$F$1000,3,FALSE)</f>
        <v>50</v>
      </c>
      <c r="L453" s="133">
        <v>1000000.0</v>
      </c>
      <c r="N453" s="133" t="s">
        <v>585</v>
      </c>
      <c r="P453" s="122" t="s">
        <v>585</v>
      </c>
      <c r="R453" s="122" t="s">
        <v>585</v>
      </c>
      <c r="T453" s="122" t="s">
        <v>585</v>
      </c>
    </row>
    <row r="454">
      <c r="A454" s="167">
        <v>286.0</v>
      </c>
      <c r="B454" s="167" t="s">
        <v>1106</v>
      </c>
      <c r="C454" s="167" t="s">
        <v>510</v>
      </c>
      <c r="D454" s="310" t="s">
        <v>1108</v>
      </c>
      <c r="E454" s="385">
        <v>44413.0</v>
      </c>
      <c r="F454" s="386" t="s">
        <v>641</v>
      </c>
      <c r="G454" s="122" t="s">
        <v>194</v>
      </c>
      <c r="H454" s="122">
        <v>1.0</v>
      </c>
      <c r="J454" s="133">
        <v>0.0</v>
      </c>
      <c r="K454" s="366">
        <f>vlookup($D454,Python!$D$2:$F$1000,3,FALSE)</f>
        <v>5.307</v>
      </c>
      <c r="L454" s="133">
        <v>0.0</v>
      </c>
      <c r="N454" s="133" t="s">
        <v>585</v>
      </c>
      <c r="P454" s="122" t="s">
        <v>585</v>
      </c>
      <c r="R454" s="122" t="s">
        <v>585</v>
      </c>
      <c r="T454" s="122" t="s">
        <v>585</v>
      </c>
    </row>
    <row r="455">
      <c r="A455" s="167">
        <v>287.0</v>
      </c>
      <c r="B455" s="167" t="s">
        <v>1109</v>
      </c>
      <c r="C455" s="167" t="s">
        <v>418</v>
      </c>
      <c r="D455" s="310" t="s">
        <v>1110</v>
      </c>
      <c r="E455" s="385">
        <v>44403.0</v>
      </c>
      <c r="F455" s="386" t="s">
        <v>642</v>
      </c>
      <c r="G455" s="122" t="s">
        <v>194</v>
      </c>
      <c r="H455" s="122">
        <v>1.0</v>
      </c>
      <c r="J455" s="133">
        <v>0.0</v>
      </c>
      <c r="K455" s="366">
        <f>vlookup($D455,Python!$D$2:$F$1000,3,FALSE)</f>
        <v>52</v>
      </c>
      <c r="L455" s="133">
        <v>1000000.0</v>
      </c>
      <c r="N455" s="133" t="s">
        <v>585</v>
      </c>
      <c r="P455" s="122" t="s">
        <v>585</v>
      </c>
      <c r="R455" s="122" t="s">
        <v>585</v>
      </c>
      <c r="T455" s="122" t="s">
        <v>585</v>
      </c>
    </row>
    <row r="456">
      <c r="A456" s="167">
        <v>288.0</v>
      </c>
      <c r="B456" s="167" t="s">
        <v>1109</v>
      </c>
      <c r="C456" s="167" t="s">
        <v>422</v>
      </c>
      <c r="D456" s="310" t="s">
        <v>1111</v>
      </c>
      <c r="E456" s="385">
        <v>44405.0</v>
      </c>
      <c r="F456" s="386" t="s">
        <v>642</v>
      </c>
      <c r="G456" s="122" t="s">
        <v>194</v>
      </c>
      <c r="H456" s="122">
        <v>1.0</v>
      </c>
      <c r="J456" s="133">
        <v>0.0</v>
      </c>
      <c r="K456" s="366">
        <f>vlookup($D456,Python!$D$2:$F$1000,3,FALSE)</f>
        <v>103.8</v>
      </c>
      <c r="L456" s="133">
        <v>500000.0</v>
      </c>
      <c r="N456" s="133" t="s">
        <v>585</v>
      </c>
      <c r="P456" s="122" t="s">
        <v>585</v>
      </c>
      <c r="R456" s="122" t="s">
        <v>585</v>
      </c>
      <c r="T456" s="122" t="s">
        <v>585</v>
      </c>
    </row>
    <row r="457">
      <c r="A457" s="167">
        <v>289.0</v>
      </c>
      <c r="B457" s="167" t="s">
        <v>1109</v>
      </c>
      <c r="C457" s="167" t="s">
        <v>422</v>
      </c>
      <c r="D457" s="310" t="s">
        <v>1112</v>
      </c>
      <c r="E457" s="385">
        <v>44410.0</v>
      </c>
      <c r="F457" s="386" t="s">
        <v>647</v>
      </c>
      <c r="G457" s="122" t="s">
        <v>194</v>
      </c>
      <c r="H457" s="122">
        <v>1.0</v>
      </c>
      <c r="J457" s="133">
        <v>0.0</v>
      </c>
      <c r="K457" s="366">
        <f>vlookup($D457,Python!$D$2:$F$1000,3,FALSE)</f>
        <v>100.7</v>
      </c>
      <c r="L457" s="133">
        <v>500000.0</v>
      </c>
      <c r="N457" s="133" t="s">
        <v>585</v>
      </c>
      <c r="P457" s="122" t="s">
        <v>585</v>
      </c>
      <c r="R457" s="122" t="s">
        <v>585</v>
      </c>
      <c r="T457" s="122" t="s">
        <v>585</v>
      </c>
    </row>
    <row r="458">
      <c r="A458" s="167">
        <v>290.0</v>
      </c>
      <c r="B458" s="167" t="s">
        <v>1109</v>
      </c>
      <c r="C458" s="167" t="s">
        <v>422</v>
      </c>
      <c r="D458" s="310" t="s">
        <v>1113</v>
      </c>
      <c r="E458" s="385">
        <v>44415.0</v>
      </c>
      <c r="F458" s="386" t="s">
        <v>642</v>
      </c>
      <c r="G458" s="122" t="s">
        <v>194</v>
      </c>
      <c r="H458" s="122">
        <v>1.0</v>
      </c>
      <c r="J458" s="133">
        <v>0.0</v>
      </c>
      <c r="K458" s="366">
        <f>vlookup($D458,Python!$D$2:$F$1000,3,FALSE)</f>
        <v>102.6</v>
      </c>
      <c r="L458" s="133">
        <v>500000.0</v>
      </c>
      <c r="N458" s="133" t="s">
        <v>585</v>
      </c>
      <c r="P458" s="122" t="s">
        <v>585</v>
      </c>
      <c r="R458" s="122" t="s">
        <v>585</v>
      </c>
      <c r="T458" s="122" t="s">
        <v>585</v>
      </c>
    </row>
    <row r="459">
      <c r="A459" s="167">
        <v>291.0</v>
      </c>
      <c r="B459" s="167" t="s">
        <v>1114</v>
      </c>
      <c r="C459" s="167" t="s">
        <v>418</v>
      </c>
      <c r="D459" s="310" t="s">
        <v>1115</v>
      </c>
      <c r="E459" s="385">
        <v>44416.0</v>
      </c>
      <c r="F459" s="386" t="s">
        <v>641</v>
      </c>
      <c r="G459" s="122" t="s">
        <v>194</v>
      </c>
      <c r="H459" s="122">
        <v>1.0</v>
      </c>
      <c r="J459" s="133">
        <v>0.0</v>
      </c>
      <c r="K459" s="366">
        <f>vlookup($D459,Python!$D$2:$F$1000,3,FALSE)</f>
        <v>11</v>
      </c>
      <c r="L459" s="133">
        <v>0.0</v>
      </c>
      <c r="N459" s="133" t="s">
        <v>585</v>
      </c>
      <c r="P459" s="122" t="s">
        <v>585</v>
      </c>
      <c r="R459" s="122" t="s">
        <v>585</v>
      </c>
      <c r="T459" s="122" t="s">
        <v>585</v>
      </c>
    </row>
    <row r="460">
      <c r="A460" s="167">
        <v>292.0</v>
      </c>
      <c r="B460" s="167" t="s">
        <v>1116</v>
      </c>
      <c r="C460" s="167" t="s">
        <v>418</v>
      </c>
      <c r="D460" s="310" t="s">
        <v>1117</v>
      </c>
      <c r="E460" s="385">
        <v>44413.0</v>
      </c>
      <c r="F460" s="386" t="s">
        <v>642</v>
      </c>
      <c r="G460" s="122" t="s">
        <v>194</v>
      </c>
      <c r="H460" s="122">
        <v>1.0</v>
      </c>
      <c r="J460" s="133">
        <v>0.0</v>
      </c>
      <c r="K460" s="366">
        <f>vlookup($D460,Python!$D$2:$F$1000,3,FALSE)</f>
        <v>2.9</v>
      </c>
      <c r="L460" s="133">
        <v>0.0</v>
      </c>
      <c r="N460" s="133" t="s">
        <v>585</v>
      </c>
      <c r="P460" s="122" t="s">
        <v>585</v>
      </c>
      <c r="R460" s="122" t="s">
        <v>585</v>
      </c>
      <c r="T460" s="122" t="s">
        <v>585</v>
      </c>
    </row>
    <row r="461">
      <c r="A461" s="167">
        <v>293.0</v>
      </c>
      <c r="B461" s="167" t="s">
        <v>1118</v>
      </c>
      <c r="C461" s="167" t="s">
        <v>422</v>
      </c>
      <c r="D461" s="310" t="s">
        <v>1119</v>
      </c>
      <c r="E461" s="385">
        <v>44418.0</v>
      </c>
      <c r="F461" s="386" t="s">
        <v>647</v>
      </c>
      <c r="G461" s="122" t="s">
        <v>194</v>
      </c>
      <c r="H461" s="122">
        <v>1.0</v>
      </c>
      <c r="J461" s="133">
        <v>0.0</v>
      </c>
      <c r="K461" s="366">
        <f>vlookup($D461,Python!$D$2:$F$1000,3,FALSE)</f>
        <v>109.9</v>
      </c>
      <c r="L461" s="133">
        <v>500000.0</v>
      </c>
      <c r="N461" s="133" t="s">
        <v>585</v>
      </c>
      <c r="P461" s="122" t="s">
        <v>585</v>
      </c>
      <c r="R461" s="122" t="s">
        <v>585</v>
      </c>
      <c r="T461" s="122" t="s">
        <v>585</v>
      </c>
    </row>
    <row r="462">
      <c r="A462" s="167">
        <v>294.0</v>
      </c>
      <c r="B462" s="167" t="s">
        <v>1120</v>
      </c>
      <c r="C462" s="167" t="s">
        <v>418</v>
      </c>
      <c r="D462" s="310" t="s">
        <v>1121</v>
      </c>
      <c r="E462" s="385">
        <v>44411.0</v>
      </c>
      <c r="F462" s="386" t="s">
        <v>641</v>
      </c>
      <c r="G462" s="122" t="s">
        <v>194</v>
      </c>
      <c r="H462" s="122">
        <v>1.0</v>
      </c>
      <c r="J462" s="133">
        <v>0.0</v>
      </c>
      <c r="K462" s="366">
        <f>vlookup($D462,Python!$D$2:$F$1000,3,FALSE)</f>
        <v>60</v>
      </c>
      <c r="L462" s="133">
        <v>1000000.0</v>
      </c>
      <c r="N462" s="133" t="s">
        <v>585</v>
      </c>
      <c r="P462" s="122" t="s">
        <v>585</v>
      </c>
      <c r="R462" s="122" t="s">
        <v>585</v>
      </c>
      <c r="T462" s="122" t="s">
        <v>585</v>
      </c>
    </row>
    <row r="463">
      <c r="A463" s="167">
        <v>295.0</v>
      </c>
      <c r="B463" s="167" t="s">
        <v>1120</v>
      </c>
      <c r="C463" s="167" t="s">
        <v>422</v>
      </c>
      <c r="D463" s="310" t="s">
        <v>1122</v>
      </c>
      <c r="E463" s="385">
        <v>44422.0</v>
      </c>
      <c r="F463" s="386" t="s">
        <v>641</v>
      </c>
      <c r="G463" s="122" t="s">
        <v>194</v>
      </c>
      <c r="H463" s="122">
        <v>1.0</v>
      </c>
      <c r="J463" s="133">
        <v>0.0</v>
      </c>
      <c r="K463" s="366">
        <f>vlookup($D463,Python!$D$2:$F$1000,3,FALSE)</f>
        <v>903.5</v>
      </c>
      <c r="L463" s="133">
        <v>4500000.0</v>
      </c>
      <c r="N463" s="133" t="s">
        <v>585</v>
      </c>
      <c r="P463" s="122" t="s">
        <v>585</v>
      </c>
      <c r="R463" s="122" t="s">
        <v>585</v>
      </c>
      <c r="T463" s="122" t="s">
        <v>585</v>
      </c>
    </row>
    <row r="464">
      <c r="A464" s="167">
        <v>296.0</v>
      </c>
      <c r="B464" s="167" t="s">
        <v>1120</v>
      </c>
      <c r="C464" s="167" t="s">
        <v>422</v>
      </c>
      <c r="D464" s="310" t="s">
        <v>1123</v>
      </c>
      <c r="E464" s="385">
        <v>44424.0</v>
      </c>
      <c r="F464" s="386" t="s">
        <v>641</v>
      </c>
      <c r="G464" s="122" t="s">
        <v>194</v>
      </c>
      <c r="H464" s="122">
        <v>1.0</v>
      </c>
      <c r="J464" s="133">
        <v>0.0</v>
      </c>
      <c r="K464" s="366">
        <f>vlookup($D464,Python!$D$2:$F$1000,3,FALSE)</f>
        <v>551.3</v>
      </c>
      <c r="L464" s="133">
        <v>2500000.0</v>
      </c>
      <c r="N464" s="133" t="s">
        <v>585</v>
      </c>
      <c r="P464" s="122" t="s">
        <v>585</v>
      </c>
      <c r="R464" s="122" t="s">
        <v>585</v>
      </c>
      <c r="T464" s="122" t="s">
        <v>585</v>
      </c>
    </row>
    <row r="465">
      <c r="A465" s="167">
        <v>297.0</v>
      </c>
      <c r="B465" s="167" t="s">
        <v>499</v>
      </c>
      <c r="C465" s="167" t="s">
        <v>422</v>
      </c>
      <c r="D465" s="310" t="s">
        <v>1124</v>
      </c>
      <c r="E465" s="385">
        <v>44407.0</v>
      </c>
      <c r="F465" s="386" t="s">
        <v>641</v>
      </c>
      <c r="G465" s="122" t="s">
        <v>194</v>
      </c>
      <c r="H465" s="122">
        <v>1.0</v>
      </c>
      <c r="J465" s="133">
        <v>0.0</v>
      </c>
      <c r="K465" s="366">
        <f>vlookup($D465,Python!$D$2:$F$1000,3,FALSE)</f>
        <v>501.7</v>
      </c>
      <c r="L465" s="133">
        <v>2500000.0</v>
      </c>
      <c r="N465" s="133" t="s">
        <v>585</v>
      </c>
      <c r="P465" s="122" t="s">
        <v>585</v>
      </c>
      <c r="R465" s="122" t="s">
        <v>585</v>
      </c>
      <c r="T465" s="122" t="s">
        <v>585</v>
      </c>
    </row>
    <row r="466">
      <c r="A466" s="167">
        <v>298.0</v>
      </c>
      <c r="B466" s="167" t="s">
        <v>499</v>
      </c>
      <c r="C466" s="167" t="s">
        <v>422</v>
      </c>
      <c r="D466" s="310" t="s">
        <v>1125</v>
      </c>
      <c r="E466" s="385">
        <v>44414.0</v>
      </c>
      <c r="F466" s="386" t="s">
        <v>641</v>
      </c>
      <c r="G466" s="122" t="s">
        <v>194</v>
      </c>
      <c r="H466" s="122">
        <v>1.0</v>
      </c>
      <c r="J466" s="133">
        <v>0.0</v>
      </c>
      <c r="K466" s="366">
        <f>vlookup($D466,Python!$D$2:$F$1000,3,FALSE)</f>
        <v>803.3</v>
      </c>
      <c r="L466" s="133">
        <v>4000000.0</v>
      </c>
      <c r="N466" s="133" t="s">
        <v>585</v>
      </c>
      <c r="P466" s="122" t="s">
        <v>585</v>
      </c>
      <c r="R466" s="122" t="s">
        <v>585</v>
      </c>
      <c r="T466" s="122" t="s">
        <v>585</v>
      </c>
    </row>
    <row r="467">
      <c r="A467" s="167">
        <v>299.0</v>
      </c>
      <c r="B467" s="167" t="s">
        <v>500</v>
      </c>
      <c r="C467" s="167" t="s">
        <v>422</v>
      </c>
      <c r="D467" s="310" t="s">
        <v>1126</v>
      </c>
      <c r="E467" s="385">
        <v>44403.0</v>
      </c>
      <c r="F467" s="386" t="s">
        <v>647</v>
      </c>
      <c r="G467" s="122" t="s">
        <v>194</v>
      </c>
      <c r="H467" s="122">
        <v>1.0</v>
      </c>
      <c r="J467" s="133">
        <v>0.0</v>
      </c>
      <c r="K467" s="366">
        <f>vlookup($D467,Python!$D$2:$F$1000,3,FALSE)</f>
        <v>9.188</v>
      </c>
      <c r="L467" s="133">
        <v>0.0</v>
      </c>
      <c r="N467" s="133" t="s">
        <v>585</v>
      </c>
      <c r="P467" s="122" t="s">
        <v>585</v>
      </c>
      <c r="R467" s="122" t="s">
        <v>585</v>
      </c>
      <c r="T467" s="122" t="s">
        <v>585</v>
      </c>
    </row>
    <row r="468">
      <c r="A468" s="167">
        <v>300.0</v>
      </c>
      <c r="B468" s="167" t="s">
        <v>500</v>
      </c>
      <c r="C468" s="167" t="s">
        <v>422</v>
      </c>
      <c r="D468" s="310" t="s">
        <v>1127</v>
      </c>
      <c r="E468" s="385">
        <v>44424.0</v>
      </c>
      <c r="F468" s="386" t="s">
        <v>641</v>
      </c>
      <c r="G468" s="122" t="s">
        <v>194</v>
      </c>
      <c r="H468" s="122">
        <v>1.0</v>
      </c>
      <c r="J468" s="133">
        <v>0.0</v>
      </c>
      <c r="K468" s="366">
        <f>vlookup($D468,Python!$D$2:$F$1000,3,FALSE)</f>
        <v>75.2</v>
      </c>
      <c r="L468" s="133">
        <v>0.0</v>
      </c>
      <c r="N468" s="133" t="s">
        <v>585</v>
      </c>
      <c r="P468" s="122" t="s">
        <v>585</v>
      </c>
      <c r="R468" s="122" t="s">
        <v>585</v>
      </c>
      <c r="T468" s="122" t="s">
        <v>585</v>
      </c>
    </row>
    <row r="469">
      <c r="A469" s="167">
        <v>301.0</v>
      </c>
      <c r="B469" s="167" t="s">
        <v>1128</v>
      </c>
      <c r="C469" s="167" t="s">
        <v>422</v>
      </c>
      <c r="D469" s="310" t="s">
        <v>1129</v>
      </c>
      <c r="E469" s="385">
        <v>44405.0</v>
      </c>
      <c r="F469" s="386" t="s">
        <v>647</v>
      </c>
      <c r="G469" s="122" t="s">
        <v>194</v>
      </c>
      <c r="H469" s="122">
        <v>1.0</v>
      </c>
      <c r="J469" s="133">
        <v>0.0</v>
      </c>
      <c r="K469" s="366">
        <f>vlookup($D469,Python!$D$2:$F$1000,3,FALSE)</f>
        <v>893</v>
      </c>
      <c r="L469" s="133">
        <v>4000000.0</v>
      </c>
      <c r="N469" s="133" t="s">
        <v>585</v>
      </c>
      <c r="P469" s="122" t="s">
        <v>585</v>
      </c>
      <c r="R469" s="122" t="s">
        <v>585</v>
      </c>
      <c r="T469" s="122" t="s">
        <v>585</v>
      </c>
    </row>
    <row r="470">
      <c r="A470" s="167">
        <v>302.0</v>
      </c>
      <c r="B470" s="167" t="s">
        <v>1128</v>
      </c>
      <c r="C470" s="167" t="s">
        <v>422</v>
      </c>
      <c r="D470" s="310" t="s">
        <v>1130</v>
      </c>
      <c r="E470" s="385">
        <v>44406.0</v>
      </c>
      <c r="F470" s="386" t="s">
        <v>647</v>
      </c>
      <c r="G470" s="122" t="s">
        <v>194</v>
      </c>
      <c r="H470" s="122">
        <v>1.0</v>
      </c>
      <c r="J470" s="133">
        <v>0.0</v>
      </c>
      <c r="K470" s="366">
        <f>vlookup($D470,Python!$D$2:$F$1000,3,FALSE)</f>
        <v>161.8</v>
      </c>
      <c r="L470" s="133">
        <v>500000.0</v>
      </c>
      <c r="N470" s="133" t="s">
        <v>585</v>
      </c>
      <c r="P470" s="122" t="s">
        <v>585</v>
      </c>
      <c r="R470" s="122" t="s">
        <v>585</v>
      </c>
      <c r="T470" s="122" t="s">
        <v>585</v>
      </c>
    </row>
    <row r="471">
      <c r="A471" s="167">
        <v>303.0</v>
      </c>
      <c r="B471" s="167" t="s">
        <v>1128</v>
      </c>
      <c r="C471" s="167" t="s">
        <v>422</v>
      </c>
      <c r="D471" s="310" t="s">
        <v>1131</v>
      </c>
      <c r="E471" s="385">
        <v>44410.0</v>
      </c>
      <c r="F471" s="386" t="s">
        <v>647</v>
      </c>
      <c r="G471" s="122" t="s">
        <v>194</v>
      </c>
      <c r="H471" s="122">
        <v>1.0</v>
      </c>
      <c r="J471" s="133">
        <v>0.0</v>
      </c>
      <c r="K471" s="366">
        <f>vlookup($D471,Python!$D$2:$F$1000,3,FALSE)</f>
        <v>203.2</v>
      </c>
      <c r="L471" s="133">
        <v>1000000.0</v>
      </c>
      <c r="N471" s="133" t="s">
        <v>585</v>
      </c>
      <c r="P471" s="122" t="s">
        <v>585</v>
      </c>
      <c r="R471" s="122" t="s">
        <v>585</v>
      </c>
      <c r="T471" s="122" t="s">
        <v>585</v>
      </c>
    </row>
    <row r="472">
      <c r="A472" s="167">
        <v>304.0</v>
      </c>
      <c r="B472" s="167" t="s">
        <v>1128</v>
      </c>
      <c r="C472" s="167" t="s">
        <v>422</v>
      </c>
      <c r="D472" s="310" t="s">
        <v>1132</v>
      </c>
      <c r="E472" s="385">
        <v>44411.0</v>
      </c>
      <c r="F472" s="386" t="s">
        <v>642</v>
      </c>
      <c r="G472" s="122" t="s">
        <v>194</v>
      </c>
      <c r="H472" s="122">
        <v>1.0</v>
      </c>
      <c r="J472" s="133">
        <v>0.0</v>
      </c>
      <c r="K472" s="366">
        <f>vlookup($D472,Python!$D$2:$F$1000,3,FALSE)</f>
        <v>164.1</v>
      </c>
      <c r="L472" s="133">
        <v>500000.0</v>
      </c>
      <c r="N472" s="133" t="s">
        <v>585</v>
      </c>
      <c r="P472" s="122" t="s">
        <v>585</v>
      </c>
      <c r="R472" s="122" t="s">
        <v>585</v>
      </c>
      <c r="T472" s="122" t="s">
        <v>585</v>
      </c>
    </row>
    <row r="473">
      <c r="A473" s="167">
        <v>305.0</v>
      </c>
      <c r="B473" s="167" t="s">
        <v>1128</v>
      </c>
      <c r="C473" s="167" t="s">
        <v>422</v>
      </c>
      <c r="D473" s="310" t="s">
        <v>1133</v>
      </c>
      <c r="E473" s="385">
        <v>44414.0</v>
      </c>
      <c r="F473" s="386" t="s">
        <v>642</v>
      </c>
      <c r="G473" s="122" t="s">
        <v>194</v>
      </c>
      <c r="H473" s="122">
        <v>1.0</v>
      </c>
      <c r="J473" s="133">
        <v>0.0</v>
      </c>
      <c r="K473" s="366">
        <f>vlookup($D473,Python!$D$2:$F$1000,3,FALSE)</f>
        <v>45</v>
      </c>
      <c r="L473" s="133">
        <v>0.0</v>
      </c>
      <c r="N473" s="133" t="s">
        <v>585</v>
      </c>
      <c r="P473" s="122" t="s">
        <v>585</v>
      </c>
      <c r="R473" s="122" t="s">
        <v>585</v>
      </c>
      <c r="T473" s="122" t="s">
        <v>585</v>
      </c>
    </row>
    <row r="474">
      <c r="A474" s="167">
        <v>306.0</v>
      </c>
      <c r="B474" s="167" t="s">
        <v>1128</v>
      </c>
      <c r="C474" s="167" t="s">
        <v>422</v>
      </c>
      <c r="D474" s="310" t="s">
        <v>1134</v>
      </c>
      <c r="E474" s="385">
        <v>44424.0</v>
      </c>
      <c r="F474" s="386" t="s">
        <v>642</v>
      </c>
      <c r="G474" s="122" t="s">
        <v>194</v>
      </c>
      <c r="H474" s="122">
        <v>1.0</v>
      </c>
      <c r="J474" s="133">
        <v>0.0</v>
      </c>
      <c r="K474" s="366">
        <f>vlookup($D474,Python!$D$2:$F$1000,3,FALSE)</f>
        <v>22</v>
      </c>
      <c r="L474" s="133">
        <v>0.0</v>
      </c>
      <c r="N474" s="133" t="s">
        <v>585</v>
      </c>
      <c r="P474" s="122" t="s">
        <v>585</v>
      </c>
      <c r="R474" s="122" t="s">
        <v>585</v>
      </c>
      <c r="T474" s="122" t="s">
        <v>585</v>
      </c>
    </row>
    <row r="475">
      <c r="A475" s="167">
        <v>307.0</v>
      </c>
      <c r="B475" s="167" t="s">
        <v>521</v>
      </c>
      <c r="C475" s="167" t="s">
        <v>422</v>
      </c>
      <c r="D475" s="310" t="s">
        <v>1135</v>
      </c>
      <c r="E475" s="385">
        <v>44412.0</v>
      </c>
      <c r="F475" s="386" t="s">
        <v>641</v>
      </c>
      <c r="G475" s="122" t="s">
        <v>489</v>
      </c>
      <c r="H475" s="122">
        <v>1.0</v>
      </c>
      <c r="J475" s="133">
        <v>0.0</v>
      </c>
      <c r="K475" s="366">
        <f>vlookup($D475,Python!$D$2:$F$1000,3,FALSE)</f>
        <v>73.6</v>
      </c>
      <c r="L475" s="133">
        <v>0.0</v>
      </c>
      <c r="N475" s="133" t="s">
        <v>585</v>
      </c>
      <c r="P475" s="122" t="s">
        <v>585</v>
      </c>
      <c r="R475" s="122" t="s">
        <v>585</v>
      </c>
      <c r="T475" s="122" t="s">
        <v>585</v>
      </c>
    </row>
    <row r="476">
      <c r="A476" s="167">
        <v>308.0</v>
      </c>
      <c r="B476" s="167" t="s">
        <v>1136</v>
      </c>
      <c r="C476" s="167" t="s">
        <v>418</v>
      </c>
      <c r="D476" s="310" t="s">
        <v>1137</v>
      </c>
      <c r="E476" s="385">
        <v>44409.0</v>
      </c>
      <c r="F476" s="386" t="s">
        <v>641</v>
      </c>
      <c r="G476" s="122" t="s">
        <v>194</v>
      </c>
      <c r="H476" s="122">
        <v>1.0</v>
      </c>
      <c r="J476" s="133">
        <v>0.0</v>
      </c>
      <c r="K476" s="366">
        <f>vlookup($D476,Python!$D$2:$F$1000,3,FALSE)</f>
        <v>102</v>
      </c>
      <c r="L476" s="133">
        <v>2000000.0</v>
      </c>
      <c r="N476" s="133" t="s">
        <v>585</v>
      </c>
      <c r="P476" s="122" t="s">
        <v>585</v>
      </c>
      <c r="R476" s="122" t="s">
        <v>585</v>
      </c>
      <c r="T476" s="122" t="s">
        <v>585</v>
      </c>
    </row>
    <row r="477">
      <c r="A477" s="167">
        <v>309.0</v>
      </c>
      <c r="B477" s="167" t="s">
        <v>1138</v>
      </c>
      <c r="C477" s="167" t="s">
        <v>422</v>
      </c>
      <c r="D477" s="310" t="s">
        <v>1139</v>
      </c>
      <c r="E477" s="385">
        <v>44434.0</v>
      </c>
      <c r="F477" s="386" t="s">
        <v>647</v>
      </c>
      <c r="G477" s="122" t="s">
        <v>194</v>
      </c>
      <c r="H477" s="122">
        <v>1.0</v>
      </c>
      <c r="J477" s="133">
        <v>0.0</v>
      </c>
      <c r="K477" s="366">
        <f>vlookup($D477,Python!$D$2:$F$1000,3,FALSE)</f>
        <v>156.6</v>
      </c>
      <c r="L477" s="133">
        <v>500000.0</v>
      </c>
      <c r="N477" s="133" t="s">
        <v>585</v>
      </c>
      <c r="P477" s="122" t="s">
        <v>585</v>
      </c>
      <c r="R477" s="122" t="s">
        <v>585</v>
      </c>
      <c r="T477" s="122" t="s">
        <v>585</v>
      </c>
    </row>
    <row r="478">
      <c r="A478" s="167">
        <v>310.0</v>
      </c>
      <c r="B478" s="167" t="s">
        <v>1138</v>
      </c>
      <c r="C478" s="167" t="s">
        <v>422</v>
      </c>
      <c r="D478" s="310" t="s">
        <v>1140</v>
      </c>
      <c r="E478" s="385">
        <v>44404.0</v>
      </c>
      <c r="F478" s="386" t="s">
        <v>642</v>
      </c>
      <c r="G478" s="122" t="s">
        <v>194</v>
      </c>
      <c r="H478" s="122">
        <v>1.0</v>
      </c>
      <c r="J478" s="133">
        <v>0.0</v>
      </c>
      <c r="K478" s="366">
        <f>vlookup($D478,Python!$D$2:$F$1000,3,FALSE)</f>
        <v>466.1</v>
      </c>
      <c r="L478" s="133">
        <v>2000000.0</v>
      </c>
      <c r="N478" s="133" t="s">
        <v>585</v>
      </c>
      <c r="P478" s="122" t="s">
        <v>585</v>
      </c>
      <c r="R478" s="122" t="s">
        <v>585</v>
      </c>
      <c r="T478" s="122" t="s">
        <v>585</v>
      </c>
    </row>
    <row r="479">
      <c r="A479" s="167">
        <v>311.0</v>
      </c>
      <c r="B479" s="167" t="s">
        <v>1138</v>
      </c>
      <c r="C479" s="167" t="s">
        <v>422</v>
      </c>
      <c r="D479" s="310" t="s">
        <v>1141</v>
      </c>
      <c r="E479" s="385">
        <v>44406.0</v>
      </c>
      <c r="F479" s="386" t="s">
        <v>642</v>
      </c>
      <c r="G479" s="122" t="s">
        <v>194</v>
      </c>
      <c r="H479" s="122">
        <v>1.0</v>
      </c>
      <c r="J479" s="133">
        <v>0.0</v>
      </c>
      <c r="K479" s="366">
        <f>vlookup($D479,Python!$D$2:$F$1000,3,FALSE)</f>
        <v>1200</v>
      </c>
      <c r="L479" s="133">
        <v>6000000.0</v>
      </c>
      <c r="N479" s="133" t="s">
        <v>585</v>
      </c>
      <c r="P479" s="122" t="s">
        <v>585</v>
      </c>
      <c r="R479" s="122" t="s">
        <v>585</v>
      </c>
      <c r="T479" s="122" t="s">
        <v>585</v>
      </c>
    </row>
    <row r="480">
      <c r="A480" s="167">
        <v>312.0</v>
      </c>
      <c r="B480" s="167" t="s">
        <v>1138</v>
      </c>
      <c r="C480" s="167" t="s">
        <v>422</v>
      </c>
      <c r="D480" s="310" t="s">
        <v>1142</v>
      </c>
      <c r="E480" s="385">
        <v>44408.0</v>
      </c>
      <c r="F480" s="386" t="s">
        <v>647</v>
      </c>
      <c r="G480" s="122" t="s">
        <v>194</v>
      </c>
      <c r="H480" s="122">
        <v>1.0</v>
      </c>
      <c r="J480" s="133">
        <v>0.0</v>
      </c>
      <c r="K480" s="366">
        <f>vlookup($D480,Python!$D$2:$F$1000,3,FALSE)</f>
        <v>2200</v>
      </c>
      <c r="L480" s="133">
        <v>1.1E7</v>
      </c>
      <c r="N480" s="133" t="s">
        <v>585</v>
      </c>
      <c r="P480" s="122" t="s">
        <v>585</v>
      </c>
      <c r="R480" s="122" t="s">
        <v>585</v>
      </c>
      <c r="T480" s="122" t="s">
        <v>585</v>
      </c>
    </row>
    <row r="481">
      <c r="A481" s="167">
        <v>313.0</v>
      </c>
      <c r="B481" s="167" t="s">
        <v>1138</v>
      </c>
      <c r="C481" s="167" t="s">
        <v>422</v>
      </c>
      <c r="D481" s="310" t="s">
        <v>1143</v>
      </c>
      <c r="E481" s="385">
        <v>44412.0</v>
      </c>
      <c r="F481" s="386" t="s">
        <v>647</v>
      </c>
      <c r="G481" s="122" t="s">
        <v>194</v>
      </c>
      <c r="H481" s="122">
        <v>1.0</v>
      </c>
      <c r="J481" s="133">
        <v>0.0</v>
      </c>
      <c r="K481" s="366">
        <f>vlookup($D481,Python!$D$2:$F$1000,3,FALSE)</f>
        <v>135.3</v>
      </c>
      <c r="L481" s="133">
        <v>500000.0</v>
      </c>
      <c r="N481" s="133" t="s">
        <v>585</v>
      </c>
      <c r="P481" s="122" t="s">
        <v>585</v>
      </c>
      <c r="R481" s="122" t="s">
        <v>585</v>
      </c>
      <c r="T481" s="122" t="s">
        <v>585</v>
      </c>
    </row>
    <row r="482">
      <c r="A482" s="167">
        <v>314.0</v>
      </c>
      <c r="B482" s="167" t="s">
        <v>1138</v>
      </c>
      <c r="C482" s="167" t="s">
        <v>422</v>
      </c>
      <c r="D482" s="310" t="s">
        <v>1144</v>
      </c>
      <c r="E482" s="385">
        <v>44417.0</v>
      </c>
      <c r="F482" s="386" t="s">
        <v>642</v>
      </c>
      <c r="G482" s="122" t="s">
        <v>194</v>
      </c>
      <c r="H482" s="122">
        <v>1.0</v>
      </c>
      <c r="J482" s="133">
        <v>0.0</v>
      </c>
      <c r="K482" s="366">
        <f>vlookup($D482,Python!$D$2:$F$1000,3,FALSE)</f>
        <v>136</v>
      </c>
      <c r="L482" s="133">
        <v>500000.0</v>
      </c>
      <c r="N482" s="133" t="s">
        <v>585</v>
      </c>
      <c r="P482" s="122" t="s">
        <v>585</v>
      </c>
      <c r="R482" s="122" t="s">
        <v>585</v>
      </c>
      <c r="T482" s="122" t="s">
        <v>585</v>
      </c>
    </row>
    <row r="483">
      <c r="A483" s="167">
        <v>315.0</v>
      </c>
      <c r="B483" s="167" t="s">
        <v>1138</v>
      </c>
      <c r="C483" s="167" t="s">
        <v>422</v>
      </c>
      <c r="D483" s="310" t="s">
        <v>1145</v>
      </c>
      <c r="E483" s="385">
        <v>44421.0</v>
      </c>
      <c r="F483" s="386" t="s">
        <v>647</v>
      </c>
      <c r="G483" s="122" t="s">
        <v>194</v>
      </c>
      <c r="H483" s="122">
        <v>1.0</v>
      </c>
      <c r="J483" s="133">
        <v>0.0</v>
      </c>
      <c r="K483" s="366">
        <f>vlookup($D483,Python!$D$2:$F$1000,3,FALSE)</f>
        <v>126.1</v>
      </c>
      <c r="L483" s="133">
        <v>500000.0</v>
      </c>
      <c r="N483" s="133" t="s">
        <v>585</v>
      </c>
      <c r="P483" s="122" t="s">
        <v>585</v>
      </c>
      <c r="R483" s="122" t="s">
        <v>585</v>
      </c>
      <c r="T483" s="122" t="s">
        <v>585</v>
      </c>
    </row>
    <row r="484">
      <c r="A484" s="167">
        <v>316.0</v>
      </c>
      <c r="B484" s="167" t="s">
        <v>1146</v>
      </c>
      <c r="C484" s="167" t="s">
        <v>418</v>
      </c>
      <c r="D484" s="310" t="s">
        <v>1147</v>
      </c>
      <c r="E484" s="385">
        <v>44419.0</v>
      </c>
      <c r="F484" s="386" t="s">
        <v>641</v>
      </c>
      <c r="G484" s="122" t="s">
        <v>194</v>
      </c>
      <c r="H484" s="122">
        <v>1.0</v>
      </c>
      <c r="J484" s="133">
        <v>0.0</v>
      </c>
      <c r="K484" s="366">
        <f>vlookup($D484,Python!$D$2:$F$1000,3,FALSE)</f>
        <v>50</v>
      </c>
      <c r="L484" s="133">
        <v>1000000.0</v>
      </c>
      <c r="N484" s="133" t="s">
        <v>585</v>
      </c>
      <c r="P484" s="122" t="s">
        <v>585</v>
      </c>
      <c r="R484" s="122" t="s">
        <v>585</v>
      </c>
      <c r="T484" s="122" t="s">
        <v>585</v>
      </c>
    </row>
    <row r="485">
      <c r="A485" s="167">
        <v>317.0</v>
      </c>
      <c r="B485" s="167" t="s">
        <v>1148</v>
      </c>
      <c r="C485" s="167" t="s">
        <v>418</v>
      </c>
      <c r="D485" s="310" t="s">
        <v>1149</v>
      </c>
      <c r="E485" s="385">
        <v>44417.0</v>
      </c>
      <c r="F485" s="386" t="s">
        <v>641</v>
      </c>
      <c r="G485" s="122" t="s">
        <v>194</v>
      </c>
      <c r="H485" s="122">
        <v>1.0</v>
      </c>
      <c r="J485" s="133">
        <v>0.0</v>
      </c>
      <c r="K485" s="366">
        <f>vlookup($D485,Python!$D$2:$F$1000,3,FALSE)</f>
        <v>100</v>
      </c>
      <c r="L485" s="133">
        <v>2000000.0</v>
      </c>
      <c r="N485" s="133" t="s">
        <v>585</v>
      </c>
      <c r="P485" s="122" t="s">
        <v>585</v>
      </c>
      <c r="R485" s="122" t="s">
        <v>585</v>
      </c>
      <c r="T485" s="122" t="s">
        <v>585</v>
      </c>
    </row>
    <row r="486">
      <c r="A486" s="167">
        <v>318.0</v>
      </c>
      <c r="B486" s="167" t="s">
        <v>1150</v>
      </c>
      <c r="C486" s="167" t="s">
        <v>422</v>
      </c>
      <c r="D486" s="310" t="s">
        <v>1151</v>
      </c>
      <c r="E486" s="385">
        <v>44407.0</v>
      </c>
      <c r="F486" s="386" t="s">
        <v>641</v>
      </c>
      <c r="G486" s="122" t="s">
        <v>194</v>
      </c>
      <c r="H486" s="122">
        <v>1.0</v>
      </c>
      <c r="J486" s="133">
        <v>0.0</v>
      </c>
      <c r="K486" s="366">
        <f>vlookup($D486,Python!$D$2:$F$1000,3,FALSE)</f>
        <v>105.9</v>
      </c>
      <c r="L486" s="133">
        <v>500000.0</v>
      </c>
      <c r="N486" s="133" t="s">
        <v>585</v>
      </c>
      <c r="P486" s="122" t="s">
        <v>585</v>
      </c>
      <c r="R486" s="122" t="s">
        <v>585</v>
      </c>
      <c r="T486" s="122" t="s">
        <v>585</v>
      </c>
    </row>
    <row r="487">
      <c r="A487" s="167">
        <v>319.0</v>
      </c>
      <c r="B487" s="167" t="s">
        <v>1152</v>
      </c>
      <c r="C487" s="167" t="s">
        <v>418</v>
      </c>
      <c r="D487" s="310" t="s">
        <v>1153</v>
      </c>
      <c r="E487" s="385">
        <v>44415.0</v>
      </c>
      <c r="F487" s="386" t="s">
        <v>641</v>
      </c>
      <c r="G487" s="122" t="s">
        <v>194</v>
      </c>
      <c r="H487" s="122">
        <v>1.0</v>
      </c>
      <c r="J487" s="133">
        <v>0.0</v>
      </c>
      <c r="K487" s="366">
        <f>vlookup($D487,Python!$D$2:$F$1000,3,FALSE)</f>
        <v>53</v>
      </c>
      <c r="L487" s="133">
        <v>1000000.0</v>
      </c>
      <c r="N487" s="133" t="s">
        <v>585</v>
      </c>
      <c r="P487" s="122" t="s">
        <v>585</v>
      </c>
      <c r="R487" s="122" t="s">
        <v>585</v>
      </c>
      <c r="T487" s="122" t="s">
        <v>585</v>
      </c>
    </row>
    <row r="488">
      <c r="A488" s="167">
        <v>320.0</v>
      </c>
      <c r="B488" s="167" t="s">
        <v>1154</v>
      </c>
      <c r="C488" s="167" t="s">
        <v>422</v>
      </c>
      <c r="D488" s="310" t="s">
        <v>1155</v>
      </c>
      <c r="E488" s="385">
        <v>44421.0</v>
      </c>
      <c r="F488" s="386" t="s">
        <v>642</v>
      </c>
      <c r="G488" s="122" t="s">
        <v>194</v>
      </c>
      <c r="H488" s="122">
        <v>1.0</v>
      </c>
      <c r="J488" s="133">
        <v>0.0</v>
      </c>
      <c r="K488" s="366">
        <f>vlookup($D488,Python!$D$2:$F$1000,3,FALSE)</f>
        <v>51.5</v>
      </c>
      <c r="L488" s="133">
        <v>0.0</v>
      </c>
      <c r="N488" s="133" t="s">
        <v>585</v>
      </c>
      <c r="P488" s="122" t="s">
        <v>585</v>
      </c>
      <c r="R488" s="122" t="s">
        <v>585</v>
      </c>
      <c r="T488" s="122" t="s">
        <v>585</v>
      </c>
    </row>
    <row r="489">
      <c r="A489" s="167">
        <v>321.0</v>
      </c>
      <c r="B489" s="167" t="s">
        <v>1156</v>
      </c>
      <c r="C489" s="167" t="s">
        <v>418</v>
      </c>
      <c r="D489" s="310" t="s">
        <v>1157</v>
      </c>
      <c r="E489" s="385">
        <v>44404.0</v>
      </c>
      <c r="F489" s="386" t="s">
        <v>647</v>
      </c>
      <c r="G489" s="122" t="s">
        <v>194</v>
      </c>
      <c r="H489" s="122">
        <v>1.0</v>
      </c>
      <c r="J489" s="133">
        <v>0.0</v>
      </c>
      <c r="K489" s="366">
        <f>vlookup($D489,Python!$D$2:$F$1000,3,FALSE)</f>
        <v>2.8</v>
      </c>
      <c r="L489" s="133">
        <v>0.0</v>
      </c>
      <c r="N489" s="133" t="s">
        <v>585</v>
      </c>
      <c r="P489" s="122" t="s">
        <v>585</v>
      </c>
      <c r="R489" s="122" t="s">
        <v>585</v>
      </c>
      <c r="T489" s="122" t="s">
        <v>585</v>
      </c>
    </row>
    <row r="490">
      <c r="A490" s="167">
        <v>322.0</v>
      </c>
      <c r="B490" s="167" t="s">
        <v>1158</v>
      </c>
      <c r="C490" s="167" t="s">
        <v>418</v>
      </c>
      <c r="D490" s="310" t="s">
        <v>1159</v>
      </c>
      <c r="E490" s="385">
        <v>44388.0</v>
      </c>
      <c r="F490" s="386" t="s">
        <v>647</v>
      </c>
      <c r="G490" s="122" t="s">
        <v>194</v>
      </c>
      <c r="H490" s="122">
        <v>1.0</v>
      </c>
      <c r="J490" s="133">
        <v>0.0</v>
      </c>
      <c r="K490" s="366">
        <f>vlookup($D490,Python!$D$2:$F$1000,3,FALSE)</f>
        <v>51</v>
      </c>
      <c r="L490" s="133">
        <v>1000000.0</v>
      </c>
      <c r="N490" s="133" t="s">
        <v>585</v>
      </c>
      <c r="P490" s="122" t="s">
        <v>585</v>
      </c>
      <c r="R490" s="122" t="s">
        <v>585</v>
      </c>
      <c r="T490" s="122" t="s">
        <v>585</v>
      </c>
    </row>
    <row r="491">
      <c r="A491" s="167">
        <v>323.0</v>
      </c>
      <c r="B491" s="167" t="s">
        <v>1160</v>
      </c>
      <c r="C491" s="167" t="s">
        <v>422</v>
      </c>
      <c r="D491" s="310" t="s">
        <v>1161</v>
      </c>
      <c r="E491" s="385">
        <v>44388.0</v>
      </c>
      <c r="F491" s="386" t="s">
        <v>642</v>
      </c>
      <c r="G491" s="122" t="s">
        <v>194</v>
      </c>
      <c r="H491" s="122">
        <v>1.0</v>
      </c>
      <c r="J491" s="133">
        <v>0.0</v>
      </c>
      <c r="K491" s="366">
        <f>vlookup($D491,Python!$D$2:$F$1000,3,FALSE)</f>
        <v>1000</v>
      </c>
      <c r="L491" s="133">
        <v>5000000.0</v>
      </c>
      <c r="N491" s="133" t="s">
        <v>585</v>
      </c>
      <c r="P491" s="122" t="s">
        <v>585</v>
      </c>
      <c r="R491" s="122" t="s">
        <v>585</v>
      </c>
      <c r="T491" s="122" t="s">
        <v>585</v>
      </c>
    </row>
    <row r="492">
      <c r="A492" s="167">
        <v>324.0</v>
      </c>
      <c r="B492" s="167" t="s">
        <v>1162</v>
      </c>
      <c r="C492" s="167" t="s">
        <v>422</v>
      </c>
      <c r="D492" s="310" t="s">
        <v>1163</v>
      </c>
      <c r="E492" s="385">
        <v>44390.0</v>
      </c>
      <c r="F492" s="386" t="s">
        <v>647</v>
      </c>
      <c r="G492" s="122" t="s">
        <v>194</v>
      </c>
      <c r="H492" s="122">
        <v>1.0</v>
      </c>
      <c r="J492" s="133">
        <v>0.0</v>
      </c>
      <c r="K492" s="366">
        <f>vlookup($D492,Python!$D$2:$F$1000,3,FALSE)</f>
        <v>188.8</v>
      </c>
      <c r="L492" s="133">
        <v>500000.0</v>
      </c>
      <c r="N492" s="133" t="s">
        <v>585</v>
      </c>
      <c r="P492" s="122" t="s">
        <v>585</v>
      </c>
      <c r="R492" s="122" t="s">
        <v>585</v>
      </c>
      <c r="T492" s="122" t="s">
        <v>585</v>
      </c>
    </row>
    <row r="493">
      <c r="A493" s="167">
        <v>325.0</v>
      </c>
      <c r="B493" s="167" t="s">
        <v>1162</v>
      </c>
      <c r="C493" s="167" t="s">
        <v>422</v>
      </c>
      <c r="D493" s="310" t="s">
        <v>1164</v>
      </c>
      <c r="E493" s="385">
        <v>44394.0</v>
      </c>
      <c r="F493" s="386" t="s">
        <v>642</v>
      </c>
      <c r="G493" s="122" t="s">
        <v>194</v>
      </c>
      <c r="H493" s="122">
        <v>1.0</v>
      </c>
      <c r="J493" s="133">
        <v>0.0</v>
      </c>
      <c r="K493" s="366">
        <f>vlookup($D493,Python!$D$2:$F$1000,3,FALSE)</f>
        <v>2100</v>
      </c>
      <c r="L493" s="133">
        <v>1.05E7</v>
      </c>
      <c r="N493" s="133" t="s">
        <v>585</v>
      </c>
      <c r="P493" s="122" t="s">
        <v>585</v>
      </c>
      <c r="R493" s="122" t="s">
        <v>585</v>
      </c>
      <c r="T493" s="122" t="s">
        <v>585</v>
      </c>
    </row>
    <row r="494">
      <c r="A494" s="167">
        <v>326.0</v>
      </c>
      <c r="B494" s="167" t="s">
        <v>1165</v>
      </c>
      <c r="C494" s="167" t="s">
        <v>418</v>
      </c>
      <c r="D494" s="310" t="s">
        <v>1166</v>
      </c>
      <c r="E494" s="385">
        <v>44390.0</v>
      </c>
      <c r="F494" s="386" t="s">
        <v>641</v>
      </c>
      <c r="G494" s="122" t="s">
        <v>194</v>
      </c>
      <c r="H494" s="122">
        <v>1.0</v>
      </c>
      <c r="J494" s="133">
        <v>0.0</v>
      </c>
      <c r="K494" s="366">
        <f>vlookup($D494,Python!$D$2:$F$1000,3,FALSE)</f>
        <v>11</v>
      </c>
      <c r="L494" s="133">
        <v>0.0</v>
      </c>
      <c r="N494" s="133" t="s">
        <v>585</v>
      </c>
      <c r="P494" s="122" t="s">
        <v>585</v>
      </c>
      <c r="R494" s="122" t="s">
        <v>585</v>
      </c>
      <c r="T494" s="122" t="s">
        <v>585</v>
      </c>
    </row>
    <row r="495">
      <c r="A495" s="167">
        <v>327.0</v>
      </c>
      <c r="B495" s="167" t="s">
        <v>1167</v>
      </c>
      <c r="C495" s="167" t="s">
        <v>422</v>
      </c>
      <c r="D495" s="310" t="s">
        <v>1168</v>
      </c>
      <c r="E495" s="385">
        <v>44394.0</v>
      </c>
      <c r="F495" s="386" t="s">
        <v>647</v>
      </c>
      <c r="G495" s="122" t="s">
        <v>194</v>
      </c>
      <c r="H495" s="122">
        <v>1.0</v>
      </c>
      <c r="J495" s="133">
        <v>0.0</v>
      </c>
      <c r="K495" s="366" t="str">
        <f>vlookup($D495,Python!$D$2:$F$1000,3,FALSE)</f>
        <v/>
      </c>
      <c r="L495" s="133" t="s">
        <v>585</v>
      </c>
      <c r="N495" s="133" t="s">
        <v>585</v>
      </c>
      <c r="P495" s="122" t="s">
        <v>585</v>
      </c>
      <c r="R495" s="122" t="s">
        <v>585</v>
      </c>
      <c r="T495" s="122" t="s">
        <v>585</v>
      </c>
    </row>
    <row r="496">
      <c r="A496" s="167">
        <v>328.0</v>
      </c>
      <c r="B496" s="167" t="s">
        <v>1169</v>
      </c>
      <c r="C496" s="167" t="s">
        <v>418</v>
      </c>
      <c r="D496" s="310" t="s">
        <v>1170</v>
      </c>
      <c r="E496" s="385">
        <v>44411.0</v>
      </c>
      <c r="F496" s="386" t="s">
        <v>641</v>
      </c>
      <c r="G496" s="122" t="s">
        <v>194</v>
      </c>
      <c r="H496" s="122">
        <v>1.0</v>
      </c>
      <c r="J496" s="133">
        <v>0.0</v>
      </c>
      <c r="K496" s="366">
        <f>vlookup($D496,Python!$D$2:$F$1000,3,FALSE)</f>
        <v>5.8</v>
      </c>
      <c r="L496" s="133">
        <v>0.0</v>
      </c>
      <c r="N496" s="133" t="s">
        <v>585</v>
      </c>
      <c r="P496" s="122" t="s">
        <v>585</v>
      </c>
      <c r="R496" s="122" t="s">
        <v>585</v>
      </c>
      <c r="T496" s="122" t="s">
        <v>585</v>
      </c>
    </row>
    <row r="497">
      <c r="A497" s="167">
        <v>329.0</v>
      </c>
      <c r="B497" s="167" t="s">
        <v>1171</v>
      </c>
      <c r="C497" s="167" t="s">
        <v>418</v>
      </c>
      <c r="D497" s="310" t="s">
        <v>1172</v>
      </c>
      <c r="E497" s="385">
        <v>44419.0</v>
      </c>
      <c r="F497" s="386" t="s">
        <v>641</v>
      </c>
      <c r="G497" s="122" t="s">
        <v>194</v>
      </c>
      <c r="H497" s="122">
        <v>1.0</v>
      </c>
      <c r="J497" s="133">
        <v>0.0</v>
      </c>
      <c r="K497" s="366">
        <f>vlookup($D497,Python!$D$2:$F$1000,3,FALSE)</f>
        <v>4.1</v>
      </c>
      <c r="L497" s="133">
        <v>0.0</v>
      </c>
      <c r="N497" s="133" t="s">
        <v>585</v>
      </c>
      <c r="P497" s="122" t="s">
        <v>585</v>
      </c>
      <c r="R497" s="122" t="s">
        <v>585</v>
      </c>
      <c r="T497" s="122" t="s">
        <v>585</v>
      </c>
    </row>
    <row r="498">
      <c r="A498" s="167">
        <v>330.0</v>
      </c>
      <c r="B498" s="167" t="s">
        <v>1173</v>
      </c>
      <c r="C498" s="167" t="s">
        <v>422</v>
      </c>
      <c r="D498" s="310" t="s">
        <v>1174</v>
      </c>
      <c r="E498" s="385">
        <v>44424.0</v>
      </c>
      <c r="F498" s="386" t="s">
        <v>647</v>
      </c>
      <c r="G498" s="122" t="s">
        <v>194</v>
      </c>
      <c r="H498" s="122">
        <v>1.0</v>
      </c>
      <c r="J498" s="133">
        <v>0.0</v>
      </c>
      <c r="K498" s="366">
        <f>vlookup($D498,Python!$D$2:$F$1000,3,FALSE)</f>
        <v>26.1</v>
      </c>
      <c r="L498" s="133">
        <v>0.0</v>
      </c>
      <c r="N498" s="133" t="s">
        <v>585</v>
      </c>
      <c r="P498" s="122" t="s">
        <v>585</v>
      </c>
      <c r="R498" s="122" t="s">
        <v>585</v>
      </c>
      <c r="T498" s="122" t="s">
        <v>585</v>
      </c>
    </row>
    <row r="499">
      <c r="A499" s="167">
        <v>331.0</v>
      </c>
      <c r="B499" s="167" t="s">
        <v>1175</v>
      </c>
      <c r="C499" s="167" t="s">
        <v>418</v>
      </c>
      <c r="D499" s="310" t="s">
        <v>1176</v>
      </c>
      <c r="E499" s="385">
        <v>44424.0</v>
      </c>
      <c r="F499" s="386" t="s">
        <v>647</v>
      </c>
      <c r="G499" s="122" t="s">
        <v>194</v>
      </c>
      <c r="H499" s="122">
        <v>1.0</v>
      </c>
      <c r="J499" s="133">
        <v>0.0</v>
      </c>
      <c r="K499" s="366">
        <f>vlookup($D499,Python!$D$2:$F$1000,3,FALSE)</f>
        <v>102</v>
      </c>
      <c r="L499" s="133">
        <v>2000000.0</v>
      </c>
      <c r="N499" s="133" t="s">
        <v>585</v>
      </c>
      <c r="P499" s="122" t="s">
        <v>585</v>
      </c>
      <c r="R499" s="122" t="s">
        <v>585</v>
      </c>
      <c r="T499" s="122" t="s">
        <v>585</v>
      </c>
    </row>
    <row r="500">
      <c r="A500" s="167">
        <v>332.0</v>
      </c>
      <c r="B500" s="167" t="s">
        <v>1177</v>
      </c>
      <c r="C500" s="167" t="s">
        <v>422</v>
      </c>
      <c r="D500" s="310" t="s">
        <v>1178</v>
      </c>
      <c r="E500" s="385">
        <v>44424.0</v>
      </c>
      <c r="F500" s="386" t="s">
        <v>647</v>
      </c>
      <c r="G500" s="122" t="s">
        <v>194</v>
      </c>
      <c r="H500" s="122">
        <v>1.0</v>
      </c>
      <c r="J500" s="133">
        <v>0.0</v>
      </c>
      <c r="K500" s="366">
        <f>vlookup($D500,Python!$D$2:$F$1000,3,FALSE)</f>
        <v>200</v>
      </c>
      <c r="L500" s="133">
        <v>1000000.0</v>
      </c>
      <c r="N500" s="133" t="s">
        <v>585</v>
      </c>
      <c r="P500" s="122" t="s">
        <v>585</v>
      </c>
      <c r="R500" s="122" t="s">
        <v>585</v>
      </c>
      <c r="T500" s="122" t="s">
        <v>585</v>
      </c>
    </row>
    <row r="501">
      <c r="A501" s="167">
        <v>333.0</v>
      </c>
      <c r="B501" s="167" t="s">
        <v>1179</v>
      </c>
      <c r="C501" s="167" t="s">
        <v>422</v>
      </c>
      <c r="D501" s="310" t="s">
        <v>1180</v>
      </c>
      <c r="E501" s="385">
        <v>44414.0</v>
      </c>
      <c r="F501" s="386" t="s">
        <v>647</v>
      </c>
      <c r="G501" s="122" t="s">
        <v>194</v>
      </c>
      <c r="H501" s="122">
        <v>1.0</v>
      </c>
      <c r="J501" s="133">
        <v>0.0</v>
      </c>
      <c r="K501" s="419"/>
      <c r="L501" s="122" t="s">
        <v>585</v>
      </c>
      <c r="N501" s="133" t="s">
        <v>585</v>
      </c>
      <c r="P501" s="122" t="s">
        <v>585</v>
      </c>
      <c r="R501" s="122" t="s">
        <v>585</v>
      </c>
      <c r="T501" s="122" t="s">
        <v>585</v>
      </c>
    </row>
    <row r="502">
      <c r="A502" s="167">
        <v>334.0</v>
      </c>
      <c r="B502" s="167" t="s">
        <v>1179</v>
      </c>
      <c r="C502" s="167" t="s">
        <v>422</v>
      </c>
      <c r="D502" s="310" t="s">
        <v>1181</v>
      </c>
      <c r="E502" s="385">
        <v>44424.0</v>
      </c>
      <c r="F502" s="386" t="s">
        <v>647</v>
      </c>
      <c r="G502" s="122" t="s">
        <v>194</v>
      </c>
      <c r="H502" s="122">
        <v>1.0</v>
      </c>
      <c r="J502" s="133">
        <v>0.0</v>
      </c>
      <c r="K502" s="419"/>
      <c r="L502" s="122" t="s">
        <v>585</v>
      </c>
      <c r="N502" s="133" t="s">
        <v>585</v>
      </c>
      <c r="P502" s="122" t="s">
        <v>585</v>
      </c>
      <c r="R502" s="122" t="s">
        <v>585</v>
      </c>
      <c r="T502" s="122" t="s">
        <v>585</v>
      </c>
    </row>
    <row r="503">
      <c r="A503" s="167">
        <v>335.0</v>
      </c>
      <c r="B503" s="167" t="s">
        <v>1179</v>
      </c>
      <c r="C503" s="167" t="s">
        <v>422</v>
      </c>
      <c r="D503" s="310" t="s">
        <v>1182</v>
      </c>
      <c r="E503" s="385">
        <v>44425.0</v>
      </c>
      <c r="F503" s="386" t="s">
        <v>647</v>
      </c>
      <c r="G503" s="122" t="s">
        <v>194</v>
      </c>
      <c r="H503" s="122">
        <v>1.0</v>
      </c>
      <c r="J503" s="133">
        <v>0.0</v>
      </c>
      <c r="K503" s="419"/>
      <c r="L503" s="122" t="s">
        <v>585</v>
      </c>
      <c r="N503" s="133" t="s">
        <v>585</v>
      </c>
      <c r="P503" s="122" t="s">
        <v>585</v>
      </c>
      <c r="R503" s="122" t="s">
        <v>585</v>
      </c>
      <c r="T503" s="122" t="s">
        <v>585</v>
      </c>
    </row>
    <row r="504">
      <c r="A504" s="167">
        <v>336.0</v>
      </c>
      <c r="B504" s="167" t="s">
        <v>428</v>
      </c>
      <c r="C504" s="167" t="s">
        <v>422</v>
      </c>
      <c r="D504" s="311" t="s">
        <v>1183</v>
      </c>
      <c r="E504" s="385">
        <v>44425.0</v>
      </c>
      <c r="F504" s="386" t="s">
        <v>641</v>
      </c>
      <c r="G504" s="122" t="s">
        <v>92</v>
      </c>
      <c r="H504" s="122">
        <v>1.0</v>
      </c>
      <c r="J504" s="133">
        <v>0.0</v>
      </c>
      <c r="K504" s="419"/>
      <c r="L504" s="122" t="s">
        <v>585</v>
      </c>
      <c r="N504" s="133" t="s">
        <v>585</v>
      </c>
      <c r="P504" s="122" t="s">
        <v>585</v>
      </c>
      <c r="R504" s="122" t="s">
        <v>585</v>
      </c>
      <c r="T504" s="122" t="s">
        <v>585</v>
      </c>
    </row>
    <row r="505">
      <c r="A505" s="167">
        <v>337.0</v>
      </c>
      <c r="B505" s="167" t="s">
        <v>1184</v>
      </c>
      <c r="C505" s="167" t="s">
        <v>418</v>
      </c>
      <c r="D505" s="311" t="s">
        <v>1185</v>
      </c>
      <c r="E505" s="385">
        <v>44425.0</v>
      </c>
      <c r="F505" s="386" t="s">
        <v>647</v>
      </c>
      <c r="G505" s="122" t="s">
        <v>92</v>
      </c>
      <c r="H505" s="122">
        <v>1.0</v>
      </c>
      <c r="J505" s="133">
        <v>0.0</v>
      </c>
      <c r="K505" s="419"/>
      <c r="L505" s="122" t="s">
        <v>585</v>
      </c>
      <c r="N505" s="133" t="s">
        <v>585</v>
      </c>
      <c r="P505" s="122" t="s">
        <v>585</v>
      </c>
      <c r="R505" s="122" t="s">
        <v>585</v>
      </c>
      <c r="T505" s="122" t="s">
        <v>585</v>
      </c>
    </row>
    <row r="506">
      <c r="B506" s="122"/>
      <c r="C506" s="122"/>
      <c r="D506" s="345"/>
      <c r="E506" s="346"/>
      <c r="F506" s="346"/>
      <c r="G506" s="122" t="s">
        <v>585</v>
      </c>
      <c r="H506" s="122">
        <v>0.0</v>
      </c>
      <c r="J506" s="133">
        <v>0.0</v>
      </c>
      <c r="K506" s="419"/>
      <c r="L506" s="122" t="s">
        <v>585</v>
      </c>
      <c r="N506" s="133" t="s">
        <v>585</v>
      </c>
      <c r="P506" s="122" t="s">
        <v>585</v>
      </c>
      <c r="R506" s="122" t="s">
        <v>585</v>
      </c>
      <c r="T506" s="122" t="s">
        <v>585</v>
      </c>
    </row>
    <row r="507">
      <c r="B507" s="122"/>
      <c r="C507" s="122"/>
      <c r="D507" s="345"/>
      <c r="E507" s="346"/>
      <c r="F507" s="346"/>
      <c r="G507" s="122" t="s">
        <v>585</v>
      </c>
      <c r="H507" s="122">
        <v>0.0</v>
      </c>
      <c r="J507" s="133">
        <v>0.0</v>
      </c>
      <c r="K507" s="419"/>
      <c r="L507" s="122" t="s">
        <v>585</v>
      </c>
      <c r="N507" s="133" t="s">
        <v>585</v>
      </c>
      <c r="P507" s="122" t="s">
        <v>585</v>
      </c>
      <c r="R507" s="122" t="s">
        <v>585</v>
      </c>
      <c r="T507" s="122" t="s">
        <v>585</v>
      </c>
    </row>
    <row r="508">
      <c r="B508" s="122"/>
      <c r="C508" s="122"/>
      <c r="D508" s="345"/>
      <c r="E508" s="346"/>
      <c r="F508" s="346"/>
      <c r="G508" s="122" t="s">
        <v>585</v>
      </c>
      <c r="H508" s="122">
        <v>0.0</v>
      </c>
      <c r="J508" s="133">
        <v>0.0</v>
      </c>
      <c r="K508" s="419"/>
      <c r="L508" s="122" t="s">
        <v>585</v>
      </c>
      <c r="N508" s="133" t="s">
        <v>585</v>
      </c>
      <c r="P508" s="122" t="s">
        <v>585</v>
      </c>
      <c r="R508" s="122" t="s">
        <v>585</v>
      </c>
      <c r="T508" s="122" t="s">
        <v>585</v>
      </c>
    </row>
    <row r="509">
      <c r="B509" s="122"/>
      <c r="C509" s="122"/>
      <c r="D509" s="345"/>
      <c r="E509" s="346"/>
      <c r="F509" s="346"/>
      <c r="G509" s="122" t="s">
        <v>585</v>
      </c>
      <c r="H509" s="122">
        <v>0.0</v>
      </c>
      <c r="J509" s="133">
        <v>0.0</v>
      </c>
      <c r="K509" s="419"/>
      <c r="L509" s="122" t="s">
        <v>585</v>
      </c>
      <c r="N509" s="133" t="s">
        <v>585</v>
      </c>
      <c r="P509" s="122" t="s">
        <v>585</v>
      </c>
      <c r="R509" s="122" t="s">
        <v>585</v>
      </c>
      <c r="T509" s="122" t="s">
        <v>585</v>
      </c>
    </row>
    <row r="510">
      <c r="B510" s="122"/>
      <c r="C510" s="122"/>
      <c r="D510" s="345"/>
      <c r="E510" s="346"/>
      <c r="F510" s="346"/>
      <c r="G510" s="122" t="s">
        <v>585</v>
      </c>
      <c r="H510" s="122">
        <v>0.0</v>
      </c>
      <c r="J510" s="133">
        <v>0.0</v>
      </c>
      <c r="K510" s="419"/>
      <c r="L510" s="122" t="s">
        <v>585</v>
      </c>
      <c r="N510" s="133" t="s">
        <v>585</v>
      </c>
      <c r="P510" s="122" t="s">
        <v>585</v>
      </c>
      <c r="R510" s="122" t="s">
        <v>585</v>
      </c>
      <c r="T510" s="122" t="s">
        <v>585</v>
      </c>
    </row>
    <row r="511">
      <c r="B511" s="122"/>
      <c r="C511" s="122"/>
      <c r="D511" s="345"/>
      <c r="E511" s="346"/>
      <c r="F511" s="346"/>
      <c r="G511" s="122" t="s">
        <v>585</v>
      </c>
      <c r="H511" s="122">
        <v>0.0</v>
      </c>
      <c r="J511" s="133">
        <v>0.0</v>
      </c>
      <c r="K511" s="419"/>
      <c r="L511" s="122" t="s">
        <v>585</v>
      </c>
      <c r="N511" s="133" t="s">
        <v>585</v>
      </c>
      <c r="P511" s="122" t="s">
        <v>585</v>
      </c>
      <c r="R511" s="122" t="s">
        <v>585</v>
      </c>
      <c r="T511" s="122" t="s">
        <v>585</v>
      </c>
    </row>
    <row r="512">
      <c r="B512" s="122"/>
      <c r="C512" s="122"/>
      <c r="D512" s="345"/>
      <c r="E512" s="346"/>
      <c r="F512" s="346"/>
      <c r="G512" s="122" t="s">
        <v>585</v>
      </c>
      <c r="H512" s="122">
        <v>0.0</v>
      </c>
      <c r="J512" s="133">
        <v>0.0</v>
      </c>
      <c r="K512" s="419"/>
      <c r="L512" s="122" t="s">
        <v>585</v>
      </c>
      <c r="N512" s="133" t="s">
        <v>585</v>
      </c>
      <c r="P512" s="122" t="s">
        <v>585</v>
      </c>
      <c r="R512" s="122" t="s">
        <v>585</v>
      </c>
      <c r="T512" s="122" t="s">
        <v>585</v>
      </c>
    </row>
    <row r="513">
      <c r="B513" s="122"/>
      <c r="C513" s="122"/>
      <c r="D513" s="345"/>
      <c r="E513" s="346"/>
      <c r="F513" s="346"/>
      <c r="G513" s="122" t="s">
        <v>585</v>
      </c>
      <c r="H513" s="122">
        <v>0.0</v>
      </c>
      <c r="J513" s="133">
        <v>0.0</v>
      </c>
      <c r="K513" s="419"/>
      <c r="L513" s="122" t="s">
        <v>585</v>
      </c>
      <c r="N513" s="133" t="s">
        <v>585</v>
      </c>
      <c r="P513" s="122" t="s">
        <v>585</v>
      </c>
      <c r="R513" s="122" t="s">
        <v>585</v>
      </c>
      <c r="T513" s="122" t="s">
        <v>585</v>
      </c>
    </row>
    <row r="514">
      <c r="B514" s="122"/>
      <c r="C514" s="122"/>
      <c r="D514" s="345"/>
      <c r="E514" s="346"/>
      <c r="F514" s="346"/>
      <c r="G514" s="122" t="s">
        <v>585</v>
      </c>
      <c r="H514" s="122">
        <v>0.0</v>
      </c>
      <c r="J514" s="133">
        <v>0.0</v>
      </c>
      <c r="K514" s="419"/>
      <c r="L514" s="122" t="s">
        <v>585</v>
      </c>
      <c r="N514" s="133" t="s">
        <v>585</v>
      </c>
      <c r="P514" s="122" t="s">
        <v>585</v>
      </c>
      <c r="R514" s="122" t="s">
        <v>585</v>
      </c>
      <c r="T514" s="122" t="s">
        <v>585</v>
      </c>
    </row>
    <row r="515">
      <c r="B515" s="122"/>
      <c r="C515" s="122"/>
      <c r="D515" s="345"/>
      <c r="E515" s="346"/>
      <c r="F515" s="346"/>
      <c r="G515" s="122" t="s">
        <v>585</v>
      </c>
      <c r="H515" s="122">
        <v>0.0</v>
      </c>
      <c r="J515" s="133">
        <v>0.0</v>
      </c>
      <c r="K515" s="419"/>
      <c r="L515" s="122" t="s">
        <v>585</v>
      </c>
      <c r="N515" s="133" t="s">
        <v>585</v>
      </c>
      <c r="P515" s="122" t="s">
        <v>585</v>
      </c>
      <c r="R515" s="122" t="s">
        <v>585</v>
      </c>
      <c r="T515" s="122" t="s">
        <v>585</v>
      </c>
    </row>
    <row r="516">
      <c r="B516" s="122"/>
      <c r="C516" s="122"/>
      <c r="D516" s="345"/>
      <c r="E516" s="346"/>
      <c r="F516" s="346"/>
      <c r="G516" s="122" t="s">
        <v>585</v>
      </c>
      <c r="H516" s="122">
        <v>0.0</v>
      </c>
      <c r="J516" s="133">
        <v>0.0</v>
      </c>
      <c r="K516" s="419"/>
      <c r="L516" s="122" t="s">
        <v>585</v>
      </c>
      <c r="N516" s="133" t="s">
        <v>585</v>
      </c>
      <c r="P516" s="122" t="s">
        <v>585</v>
      </c>
      <c r="R516" s="122" t="s">
        <v>585</v>
      </c>
      <c r="T516" s="122" t="s">
        <v>585</v>
      </c>
    </row>
    <row r="517">
      <c r="B517" s="122"/>
      <c r="C517" s="122"/>
      <c r="D517" s="345"/>
      <c r="E517" s="346"/>
      <c r="F517" s="346"/>
      <c r="G517" s="122" t="s">
        <v>585</v>
      </c>
      <c r="H517" s="122">
        <v>0.0</v>
      </c>
      <c r="J517" s="133">
        <v>0.0</v>
      </c>
      <c r="K517" s="419"/>
      <c r="L517" s="122" t="s">
        <v>585</v>
      </c>
      <c r="N517" s="133" t="s">
        <v>585</v>
      </c>
      <c r="P517" s="122" t="s">
        <v>585</v>
      </c>
      <c r="R517" s="122" t="s">
        <v>585</v>
      </c>
      <c r="T517" s="122" t="s">
        <v>585</v>
      </c>
    </row>
    <row r="518">
      <c r="B518" s="122"/>
      <c r="C518" s="122"/>
      <c r="D518" s="345"/>
      <c r="E518" s="346"/>
      <c r="F518" s="346"/>
      <c r="G518" s="122" t="s">
        <v>585</v>
      </c>
      <c r="H518" s="122">
        <v>0.0</v>
      </c>
      <c r="J518" s="133">
        <v>0.0</v>
      </c>
      <c r="K518" s="419"/>
      <c r="L518" s="122" t="s">
        <v>585</v>
      </c>
      <c r="N518" s="133" t="s">
        <v>585</v>
      </c>
      <c r="P518" s="122" t="s">
        <v>585</v>
      </c>
      <c r="R518" s="122" t="s">
        <v>585</v>
      </c>
      <c r="T518" s="122" t="s">
        <v>585</v>
      </c>
    </row>
    <row r="519">
      <c r="B519" s="122"/>
      <c r="C519" s="122"/>
      <c r="D519" s="345"/>
      <c r="E519" s="346"/>
      <c r="F519" s="346"/>
      <c r="G519" s="122" t="s">
        <v>585</v>
      </c>
      <c r="H519" s="122">
        <v>0.0</v>
      </c>
      <c r="J519" s="133">
        <v>0.0</v>
      </c>
      <c r="K519" s="419"/>
      <c r="L519" s="122" t="s">
        <v>585</v>
      </c>
      <c r="N519" s="133" t="s">
        <v>585</v>
      </c>
      <c r="P519" s="122" t="s">
        <v>585</v>
      </c>
      <c r="R519" s="122" t="s">
        <v>585</v>
      </c>
      <c r="T519" s="122" t="s">
        <v>585</v>
      </c>
    </row>
    <row r="520">
      <c r="B520" s="122"/>
      <c r="C520" s="122"/>
      <c r="D520" s="345"/>
      <c r="E520" s="346"/>
      <c r="F520" s="346"/>
      <c r="G520" s="122" t="s">
        <v>585</v>
      </c>
      <c r="H520" s="122">
        <v>0.0</v>
      </c>
      <c r="J520" s="133">
        <v>0.0</v>
      </c>
      <c r="K520" s="419"/>
      <c r="L520" s="122" t="s">
        <v>585</v>
      </c>
      <c r="N520" s="133" t="s">
        <v>585</v>
      </c>
      <c r="P520" s="122" t="s">
        <v>585</v>
      </c>
      <c r="R520" s="122" t="s">
        <v>585</v>
      </c>
      <c r="T520" s="122" t="s">
        <v>585</v>
      </c>
    </row>
    <row r="521">
      <c r="B521" s="122"/>
      <c r="C521" s="122"/>
      <c r="D521" s="345"/>
      <c r="E521" s="346"/>
      <c r="F521" s="346"/>
      <c r="G521" s="122" t="s">
        <v>585</v>
      </c>
      <c r="H521" s="122">
        <v>0.0</v>
      </c>
      <c r="J521" s="133">
        <v>0.0</v>
      </c>
      <c r="K521" s="419"/>
      <c r="L521" s="122" t="s">
        <v>585</v>
      </c>
      <c r="N521" s="133" t="s">
        <v>585</v>
      </c>
      <c r="P521" s="122" t="s">
        <v>585</v>
      </c>
      <c r="R521" s="122" t="s">
        <v>585</v>
      </c>
      <c r="T521" s="122" t="s">
        <v>585</v>
      </c>
    </row>
    <row r="522">
      <c r="B522" s="122"/>
      <c r="C522" s="122"/>
      <c r="D522" s="345"/>
      <c r="E522" s="346"/>
      <c r="F522" s="346"/>
      <c r="G522" s="122" t="s">
        <v>585</v>
      </c>
      <c r="H522" s="122">
        <v>0.0</v>
      </c>
      <c r="J522" s="133">
        <v>0.0</v>
      </c>
      <c r="K522" s="419"/>
      <c r="L522" s="122" t="s">
        <v>585</v>
      </c>
      <c r="N522" s="133" t="s">
        <v>585</v>
      </c>
      <c r="P522" s="122" t="s">
        <v>585</v>
      </c>
      <c r="R522" s="122" t="s">
        <v>585</v>
      </c>
      <c r="T522" s="122" t="s">
        <v>585</v>
      </c>
    </row>
    <row r="523">
      <c r="B523" s="122"/>
      <c r="C523" s="122"/>
      <c r="D523" s="345"/>
      <c r="E523" s="346"/>
      <c r="F523" s="346"/>
      <c r="G523" s="122" t="s">
        <v>585</v>
      </c>
      <c r="H523" s="122">
        <v>0.0</v>
      </c>
      <c r="J523" s="133">
        <v>0.0</v>
      </c>
      <c r="K523" s="419"/>
      <c r="L523" s="122" t="s">
        <v>585</v>
      </c>
      <c r="N523" s="133" t="s">
        <v>585</v>
      </c>
      <c r="P523" s="122" t="s">
        <v>585</v>
      </c>
      <c r="R523" s="122" t="s">
        <v>585</v>
      </c>
      <c r="T523" s="122" t="s">
        <v>585</v>
      </c>
    </row>
    <row r="524">
      <c r="B524" s="122"/>
      <c r="C524" s="122"/>
      <c r="D524" s="345"/>
      <c r="E524" s="346"/>
      <c r="F524" s="346"/>
      <c r="G524" s="122" t="s">
        <v>585</v>
      </c>
      <c r="H524" s="122">
        <v>0.0</v>
      </c>
      <c r="J524" s="133">
        <v>0.0</v>
      </c>
      <c r="K524" s="419"/>
      <c r="L524" s="122" t="s">
        <v>585</v>
      </c>
      <c r="N524" s="133" t="s">
        <v>585</v>
      </c>
      <c r="P524" s="122" t="s">
        <v>585</v>
      </c>
      <c r="R524" s="122" t="s">
        <v>585</v>
      </c>
      <c r="T524" s="122" t="s">
        <v>585</v>
      </c>
    </row>
    <row r="525">
      <c r="B525" s="122"/>
      <c r="C525" s="122"/>
      <c r="D525" s="345"/>
      <c r="E525" s="346"/>
      <c r="F525" s="346"/>
      <c r="G525" s="122" t="s">
        <v>585</v>
      </c>
      <c r="H525" s="122">
        <v>0.0</v>
      </c>
      <c r="J525" s="133">
        <v>0.0</v>
      </c>
      <c r="K525" s="419"/>
      <c r="L525" s="122" t="s">
        <v>585</v>
      </c>
      <c r="N525" s="133" t="s">
        <v>585</v>
      </c>
      <c r="P525" s="122" t="s">
        <v>585</v>
      </c>
      <c r="R525" s="122" t="s">
        <v>585</v>
      </c>
      <c r="T525" s="122" t="s">
        <v>585</v>
      </c>
    </row>
    <row r="526">
      <c r="B526" s="122"/>
      <c r="C526" s="122"/>
      <c r="D526" s="345"/>
      <c r="E526" s="346"/>
      <c r="F526" s="346"/>
      <c r="G526" s="122" t="s">
        <v>585</v>
      </c>
      <c r="H526" s="122">
        <v>0.0</v>
      </c>
      <c r="J526" s="133">
        <v>0.0</v>
      </c>
      <c r="K526" s="419"/>
      <c r="L526" s="122" t="s">
        <v>585</v>
      </c>
      <c r="N526" s="133" t="s">
        <v>585</v>
      </c>
      <c r="P526" s="122" t="s">
        <v>585</v>
      </c>
      <c r="R526" s="122" t="s">
        <v>585</v>
      </c>
      <c r="T526" s="122" t="s">
        <v>585</v>
      </c>
    </row>
    <row r="527">
      <c r="B527" s="122"/>
      <c r="C527" s="122"/>
      <c r="D527" s="345"/>
      <c r="E527" s="346"/>
      <c r="F527" s="346"/>
      <c r="G527" s="122" t="s">
        <v>585</v>
      </c>
      <c r="H527" s="122">
        <v>0.0</v>
      </c>
      <c r="J527" s="133">
        <v>0.0</v>
      </c>
      <c r="K527" s="419"/>
      <c r="L527" s="122" t="s">
        <v>585</v>
      </c>
      <c r="N527" s="133" t="s">
        <v>585</v>
      </c>
      <c r="P527" s="122" t="s">
        <v>585</v>
      </c>
      <c r="R527" s="122" t="s">
        <v>585</v>
      </c>
      <c r="T527" s="122" t="s">
        <v>585</v>
      </c>
    </row>
    <row r="528">
      <c r="B528" s="122"/>
      <c r="C528" s="122"/>
      <c r="D528" s="345"/>
      <c r="E528" s="346"/>
      <c r="F528" s="346"/>
      <c r="G528" s="122" t="s">
        <v>585</v>
      </c>
      <c r="H528" s="122">
        <v>0.0</v>
      </c>
      <c r="J528" s="133">
        <v>0.0</v>
      </c>
      <c r="K528" s="419"/>
      <c r="L528" s="122" t="s">
        <v>585</v>
      </c>
      <c r="N528" s="133" t="s">
        <v>585</v>
      </c>
      <c r="P528" s="122" t="s">
        <v>585</v>
      </c>
      <c r="R528" s="122" t="s">
        <v>585</v>
      </c>
      <c r="T528" s="122" t="s">
        <v>585</v>
      </c>
    </row>
    <row r="529">
      <c r="B529" s="122"/>
      <c r="C529" s="122"/>
      <c r="D529" s="345"/>
      <c r="E529" s="346"/>
      <c r="F529" s="346"/>
      <c r="G529" s="122" t="s">
        <v>585</v>
      </c>
      <c r="H529" s="122">
        <v>0.0</v>
      </c>
      <c r="J529" s="133">
        <v>0.0</v>
      </c>
      <c r="K529" s="419"/>
      <c r="L529" s="122" t="s">
        <v>585</v>
      </c>
      <c r="N529" s="133" t="s">
        <v>585</v>
      </c>
      <c r="P529" s="122" t="s">
        <v>585</v>
      </c>
      <c r="R529" s="122" t="s">
        <v>585</v>
      </c>
      <c r="T529" s="122" t="s">
        <v>585</v>
      </c>
    </row>
    <row r="530">
      <c r="B530" s="122"/>
      <c r="C530" s="122"/>
      <c r="D530" s="345"/>
      <c r="E530" s="346"/>
      <c r="F530" s="346"/>
      <c r="G530" s="122" t="s">
        <v>585</v>
      </c>
      <c r="H530" s="122">
        <v>0.0</v>
      </c>
      <c r="J530" s="133">
        <v>0.0</v>
      </c>
      <c r="K530" s="419"/>
      <c r="L530" s="122" t="s">
        <v>585</v>
      </c>
      <c r="N530" s="133" t="s">
        <v>585</v>
      </c>
      <c r="P530" s="122" t="s">
        <v>585</v>
      </c>
      <c r="R530" s="122" t="s">
        <v>585</v>
      </c>
      <c r="T530" s="122" t="s">
        <v>585</v>
      </c>
    </row>
    <row r="531">
      <c r="B531" s="122"/>
      <c r="C531" s="122"/>
      <c r="D531" s="345"/>
      <c r="E531" s="346"/>
      <c r="F531" s="346"/>
      <c r="G531" s="122" t="s">
        <v>585</v>
      </c>
      <c r="H531" s="122">
        <v>0.0</v>
      </c>
      <c r="J531" s="133">
        <v>0.0</v>
      </c>
      <c r="K531" s="419"/>
      <c r="L531" s="122" t="s">
        <v>585</v>
      </c>
      <c r="N531" s="133" t="s">
        <v>585</v>
      </c>
      <c r="P531" s="122" t="s">
        <v>585</v>
      </c>
      <c r="R531" s="122" t="s">
        <v>585</v>
      </c>
      <c r="T531" s="122" t="s">
        <v>585</v>
      </c>
    </row>
    <row r="532">
      <c r="B532" s="122"/>
      <c r="C532" s="122"/>
      <c r="D532" s="345"/>
      <c r="E532" s="346"/>
      <c r="F532" s="346"/>
      <c r="G532" s="122" t="s">
        <v>585</v>
      </c>
      <c r="H532" s="122">
        <v>0.0</v>
      </c>
      <c r="J532" s="133">
        <v>0.0</v>
      </c>
      <c r="K532" s="419"/>
      <c r="L532" s="122" t="s">
        <v>585</v>
      </c>
      <c r="N532" s="133" t="s">
        <v>585</v>
      </c>
      <c r="P532" s="122" t="s">
        <v>585</v>
      </c>
      <c r="R532" s="122" t="s">
        <v>585</v>
      </c>
      <c r="T532" s="122" t="s">
        <v>585</v>
      </c>
    </row>
    <row r="533">
      <c r="B533" s="122"/>
      <c r="C533" s="122"/>
      <c r="D533" s="345"/>
      <c r="E533" s="346"/>
      <c r="F533" s="346"/>
      <c r="G533" s="122" t="s">
        <v>585</v>
      </c>
      <c r="H533" s="122">
        <v>0.0</v>
      </c>
      <c r="J533" s="133">
        <v>0.0</v>
      </c>
      <c r="K533" s="419"/>
      <c r="L533" s="122" t="s">
        <v>585</v>
      </c>
      <c r="N533" s="133" t="s">
        <v>585</v>
      </c>
      <c r="P533" s="122" t="s">
        <v>585</v>
      </c>
      <c r="R533" s="122" t="s">
        <v>585</v>
      </c>
      <c r="T533" s="122" t="s">
        <v>585</v>
      </c>
    </row>
    <row r="534">
      <c r="B534" s="122"/>
      <c r="C534" s="122"/>
      <c r="D534" s="345"/>
      <c r="E534" s="346"/>
      <c r="F534" s="346"/>
      <c r="G534" s="122" t="s">
        <v>585</v>
      </c>
      <c r="H534" s="122">
        <v>0.0</v>
      </c>
      <c r="J534" s="133">
        <v>0.0</v>
      </c>
      <c r="K534" s="419"/>
      <c r="L534" s="122" t="s">
        <v>585</v>
      </c>
      <c r="N534" s="133" t="s">
        <v>585</v>
      </c>
      <c r="P534" s="122" t="s">
        <v>585</v>
      </c>
      <c r="R534" s="122" t="s">
        <v>585</v>
      </c>
      <c r="T534" s="122" t="s">
        <v>585</v>
      </c>
    </row>
    <row r="535">
      <c r="B535" s="122"/>
      <c r="C535" s="122"/>
      <c r="D535" s="345"/>
      <c r="E535" s="346"/>
      <c r="F535" s="346"/>
      <c r="G535" s="122" t="s">
        <v>585</v>
      </c>
      <c r="H535" s="122">
        <v>0.0</v>
      </c>
      <c r="J535" s="133">
        <v>0.0</v>
      </c>
      <c r="K535" s="419"/>
      <c r="L535" s="122" t="s">
        <v>585</v>
      </c>
      <c r="N535" s="133" t="s">
        <v>585</v>
      </c>
      <c r="P535" s="122" t="s">
        <v>585</v>
      </c>
      <c r="R535" s="122" t="s">
        <v>585</v>
      </c>
      <c r="T535" s="122" t="s">
        <v>585</v>
      </c>
    </row>
    <row r="536">
      <c r="B536" s="122"/>
      <c r="C536" s="122"/>
      <c r="D536" s="345"/>
      <c r="E536" s="346"/>
      <c r="F536" s="346"/>
      <c r="G536" s="122" t="s">
        <v>585</v>
      </c>
      <c r="H536" s="122">
        <v>0.0</v>
      </c>
      <c r="J536" s="133">
        <v>0.0</v>
      </c>
      <c r="K536" s="419"/>
      <c r="L536" s="122" t="s">
        <v>585</v>
      </c>
      <c r="N536" s="133" t="s">
        <v>585</v>
      </c>
      <c r="P536" s="122" t="s">
        <v>585</v>
      </c>
      <c r="R536" s="122" t="s">
        <v>585</v>
      </c>
      <c r="T536" s="122" t="s">
        <v>585</v>
      </c>
    </row>
    <row r="537">
      <c r="B537" s="122"/>
      <c r="C537" s="122"/>
      <c r="D537" s="345"/>
      <c r="E537" s="346"/>
      <c r="F537" s="346"/>
      <c r="G537" s="122" t="s">
        <v>585</v>
      </c>
      <c r="H537" s="122">
        <v>0.0</v>
      </c>
      <c r="J537" s="133">
        <v>0.0</v>
      </c>
      <c r="K537" s="419"/>
      <c r="L537" s="122" t="s">
        <v>585</v>
      </c>
      <c r="N537" s="133" t="s">
        <v>585</v>
      </c>
      <c r="P537" s="122" t="s">
        <v>585</v>
      </c>
      <c r="R537" s="122" t="s">
        <v>585</v>
      </c>
      <c r="T537" s="122" t="s">
        <v>585</v>
      </c>
    </row>
    <row r="538">
      <c r="B538" s="122"/>
      <c r="C538" s="122"/>
      <c r="D538" s="345"/>
      <c r="E538" s="346"/>
      <c r="F538" s="346"/>
      <c r="G538" s="122" t="s">
        <v>585</v>
      </c>
      <c r="H538" s="122">
        <v>0.0</v>
      </c>
      <c r="J538" s="133">
        <v>0.0</v>
      </c>
      <c r="K538" s="419"/>
      <c r="L538" s="122" t="s">
        <v>585</v>
      </c>
      <c r="N538" s="133" t="s">
        <v>585</v>
      </c>
      <c r="P538" s="122" t="s">
        <v>585</v>
      </c>
      <c r="R538" s="122" t="s">
        <v>585</v>
      </c>
      <c r="T538" s="122" t="s">
        <v>585</v>
      </c>
    </row>
    <row r="539">
      <c r="B539" s="122"/>
      <c r="C539" s="122"/>
      <c r="D539" s="345"/>
      <c r="E539" s="346"/>
      <c r="F539" s="346"/>
      <c r="G539" s="122" t="s">
        <v>585</v>
      </c>
      <c r="H539" s="122">
        <v>0.0</v>
      </c>
      <c r="J539" s="133">
        <v>0.0</v>
      </c>
      <c r="K539" s="419"/>
      <c r="L539" s="122" t="s">
        <v>585</v>
      </c>
      <c r="N539" s="133" t="s">
        <v>585</v>
      </c>
      <c r="P539" s="122" t="s">
        <v>585</v>
      </c>
      <c r="R539" s="122" t="s">
        <v>585</v>
      </c>
      <c r="T539" s="122" t="s">
        <v>585</v>
      </c>
    </row>
    <row r="540">
      <c r="B540" s="122"/>
      <c r="C540" s="122"/>
      <c r="D540" s="345"/>
      <c r="E540" s="346"/>
      <c r="F540" s="346"/>
      <c r="G540" s="122" t="s">
        <v>585</v>
      </c>
      <c r="H540" s="122">
        <v>0.0</v>
      </c>
      <c r="J540" s="133">
        <v>0.0</v>
      </c>
      <c r="K540" s="419"/>
      <c r="L540" s="122" t="s">
        <v>585</v>
      </c>
      <c r="N540" s="133" t="s">
        <v>585</v>
      </c>
      <c r="P540" s="122" t="s">
        <v>585</v>
      </c>
      <c r="R540" s="122" t="s">
        <v>585</v>
      </c>
      <c r="T540" s="122" t="s">
        <v>585</v>
      </c>
    </row>
    <row r="541">
      <c r="B541" s="122"/>
      <c r="C541" s="122"/>
      <c r="D541" s="345"/>
      <c r="E541" s="346"/>
      <c r="F541" s="346"/>
      <c r="G541" s="122" t="s">
        <v>585</v>
      </c>
      <c r="H541" s="122">
        <v>0.0</v>
      </c>
      <c r="J541" s="133">
        <v>0.0</v>
      </c>
      <c r="K541" s="419"/>
      <c r="L541" s="122" t="s">
        <v>585</v>
      </c>
      <c r="N541" s="133" t="s">
        <v>585</v>
      </c>
      <c r="P541" s="122" t="s">
        <v>585</v>
      </c>
      <c r="R541" s="122" t="s">
        <v>585</v>
      </c>
      <c r="T541" s="122" t="s">
        <v>585</v>
      </c>
    </row>
    <row r="542">
      <c r="B542" s="122"/>
      <c r="C542" s="122"/>
      <c r="D542" s="345"/>
      <c r="E542" s="346"/>
      <c r="F542" s="346"/>
      <c r="G542" s="122" t="s">
        <v>585</v>
      </c>
      <c r="H542" s="122">
        <v>0.0</v>
      </c>
      <c r="J542" s="133">
        <v>0.0</v>
      </c>
      <c r="K542" s="419"/>
      <c r="L542" s="122" t="s">
        <v>585</v>
      </c>
      <c r="N542" s="133" t="s">
        <v>585</v>
      </c>
      <c r="P542" s="122" t="s">
        <v>585</v>
      </c>
      <c r="R542" s="122" t="s">
        <v>585</v>
      </c>
      <c r="T542" s="122" t="s">
        <v>585</v>
      </c>
    </row>
    <row r="543">
      <c r="B543" s="122"/>
      <c r="C543" s="122"/>
      <c r="D543" s="345"/>
      <c r="E543" s="346"/>
      <c r="F543" s="346"/>
      <c r="G543" s="122" t="s">
        <v>585</v>
      </c>
      <c r="H543" s="122">
        <v>0.0</v>
      </c>
      <c r="J543" s="133">
        <v>0.0</v>
      </c>
      <c r="K543" s="419"/>
      <c r="L543" s="122" t="s">
        <v>585</v>
      </c>
      <c r="N543" s="133" t="s">
        <v>585</v>
      </c>
      <c r="P543" s="122" t="s">
        <v>585</v>
      </c>
      <c r="R543" s="122" t="s">
        <v>585</v>
      </c>
      <c r="T543" s="122" t="s">
        <v>585</v>
      </c>
    </row>
    <row r="544">
      <c r="B544" s="122"/>
      <c r="C544" s="122"/>
      <c r="D544" s="345"/>
      <c r="E544" s="346"/>
      <c r="F544" s="346"/>
      <c r="G544" s="122" t="s">
        <v>585</v>
      </c>
      <c r="H544" s="122">
        <v>0.0</v>
      </c>
      <c r="J544" s="133">
        <v>0.0</v>
      </c>
      <c r="K544" s="419"/>
      <c r="L544" s="122" t="s">
        <v>585</v>
      </c>
      <c r="N544" s="133" t="s">
        <v>585</v>
      </c>
      <c r="P544" s="122" t="s">
        <v>585</v>
      </c>
      <c r="R544" s="122" t="s">
        <v>585</v>
      </c>
      <c r="T544" s="122" t="s">
        <v>585</v>
      </c>
    </row>
    <row r="545">
      <c r="B545" s="122"/>
      <c r="C545" s="122"/>
      <c r="D545" s="345"/>
      <c r="E545" s="346"/>
      <c r="F545" s="346"/>
      <c r="G545" s="122" t="s">
        <v>585</v>
      </c>
      <c r="H545" s="122">
        <v>0.0</v>
      </c>
      <c r="J545" s="133">
        <v>0.0</v>
      </c>
      <c r="K545" s="419"/>
      <c r="L545" s="122" t="s">
        <v>585</v>
      </c>
      <c r="N545" s="133" t="s">
        <v>585</v>
      </c>
      <c r="P545" s="122" t="s">
        <v>585</v>
      </c>
      <c r="R545" s="122" t="s">
        <v>585</v>
      </c>
      <c r="T545" s="122" t="s">
        <v>585</v>
      </c>
    </row>
    <row r="546">
      <c r="B546" s="122"/>
      <c r="C546" s="122"/>
      <c r="D546" s="345"/>
      <c r="E546" s="346"/>
      <c r="F546" s="346"/>
      <c r="G546" s="122" t="s">
        <v>585</v>
      </c>
      <c r="H546" s="122">
        <v>0.0</v>
      </c>
      <c r="J546" s="133">
        <v>0.0</v>
      </c>
      <c r="K546" s="419"/>
      <c r="L546" s="122" t="s">
        <v>585</v>
      </c>
      <c r="N546" s="133" t="s">
        <v>585</v>
      </c>
      <c r="P546" s="122" t="s">
        <v>585</v>
      </c>
      <c r="R546" s="122" t="s">
        <v>585</v>
      </c>
      <c r="T546" s="122" t="s">
        <v>585</v>
      </c>
    </row>
    <row r="547">
      <c r="B547" s="122"/>
      <c r="C547" s="122"/>
      <c r="D547" s="345"/>
      <c r="E547" s="346"/>
      <c r="F547" s="346"/>
      <c r="G547" s="122" t="s">
        <v>585</v>
      </c>
      <c r="H547" s="122">
        <v>0.0</v>
      </c>
      <c r="J547" s="133">
        <v>0.0</v>
      </c>
      <c r="K547" s="419"/>
      <c r="L547" s="122" t="s">
        <v>585</v>
      </c>
      <c r="N547" s="133" t="s">
        <v>585</v>
      </c>
      <c r="P547" s="122" t="s">
        <v>585</v>
      </c>
      <c r="R547" s="122" t="s">
        <v>585</v>
      </c>
      <c r="T547" s="122" t="s">
        <v>585</v>
      </c>
    </row>
    <row r="548">
      <c r="B548" s="122"/>
      <c r="C548" s="122"/>
      <c r="D548" s="345"/>
      <c r="E548" s="346"/>
      <c r="F548" s="346"/>
      <c r="G548" s="122" t="s">
        <v>585</v>
      </c>
      <c r="H548" s="122">
        <v>0.0</v>
      </c>
      <c r="J548" s="133">
        <v>0.0</v>
      </c>
      <c r="K548" s="419"/>
      <c r="L548" s="122" t="s">
        <v>585</v>
      </c>
      <c r="N548" s="133" t="s">
        <v>585</v>
      </c>
      <c r="P548" s="122" t="s">
        <v>585</v>
      </c>
      <c r="R548" s="122" t="s">
        <v>585</v>
      </c>
      <c r="T548" s="122" t="s">
        <v>585</v>
      </c>
    </row>
    <row r="549">
      <c r="B549" s="122"/>
      <c r="C549" s="122"/>
      <c r="D549" s="345"/>
      <c r="E549" s="346"/>
      <c r="F549" s="346"/>
      <c r="G549" s="122" t="s">
        <v>585</v>
      </c>
      <c r="H549" s="122">
        <v>0.0</v>
      </c>
      <c r="J549" s="133">
        <v>0.0</v>
      </c>
      <c r="K549" s="419"/>
      <c r="L549" s="122" t="s">
        <v>585</v>
      </c>
      <c r="N549" s="133" t="s">
        <v>585</v>
      </c>
      <c r="P549" s="122" t="s">
        <v>585</v>
      </c>
      <c r="R549" s="122" t="s">
        <v>585</v>
      </c>
      <c r="T549" s="122" t="s">
        <v>585</v>
      </c>
    </row>
    <row r="550">
      <c r="B550" s="122"/>
      <c r="C550" s="122"/>
      <c r="D550" s="345"/>
      <c r="E550" s="346"/>
      <c r="F550" s="346"/>
      <c r="G550" s="122" t="s">
        <v>585</v>
      </c>
      <c r="H550" s="122">
        <v>0.0</v>
      </c>
      <c r="J550" s="133">
        <v>0.0</v>
      </c>
      <c r="K550" s="419"/>
      <c r="L550" s="122" t="s">
        <v>585</v>
      </c>
      <c r="N550" s="133" t="s">
        <v>585</v>
      </c>
      <c r="P550" s="122" t="s">
        <v>585</v>
      </c>
      <c r="R550" s="122" t="s">
        <v>585</v>
      </c>
      <c r="T550" s="122" t="s">
        <v>585</v>
      </c>
    </row>
    <row r="551">
      <c r="B551" s="122"/>
      <c r="C551" s="122"/>
      <c r="D551" s="345"/>
      <c r="E551" s="346"/>
      <c r="F551" s="346"/>
      <c r="G551" s="122" t="s">
        <v>585</v>
      </c>
      <c r="H551" s="122">
        <v>0.0</v>
      </c>
      <c r="J551" s="133">
        <v>0.0</v>
      </c>
      <c r="K551" s="419"/>
      <c r="L551" s="122" t="s">
        <v>585</v>
      </c>
      <c r="N551" s="133" t="s">
        <v>585</v>
      </c>
      <c r="P551" s="122" t="s">
        <v>585</v>
      </c>
      <c r="R551" s="122" t="s">
        <v>585</v>
      </c>
      <c r="T551" s="122" t="s">
        <v>585</v>
      </c>
    </row>
    <row r="552">
      <c r="B552" s="122"/>
      <c r="C552" s="122"/>
      <c r="D552" s="345"/>
      <c r="E552" s="346"/>
      <c r="F552" s="346"/>
      <c r="G552" s="122" t="s">
        <v>585</v>
      </c>
      <c r="H552" s="122">
        <v>0.0</v>
      </c>
      <c r="J552" s="133">
        <v>0.0</v>
      </c>
      <c r="K552" s="419"/>
      <c r="L552" s="122" t="s">
        <v>585</v>
      </c>
      <c r="N552" s="133" t="s">
        <v>585</v>
      </c>
      <c r="P552" s="122" t="s">
        <v>585</v>
      </c>
      <c r="R552" s="122" t="s">
        <v>585</v>
      </c>
      <c r="T552" s="122" t="s">
        <v>585</v>
      </c>
    </row>
    <row r="553">
      <c r="B553" s="122"/>
      <c r="C553" s="122"/>
      <c r="D553" s="345"/>
      <c r="E553" s="346"/>
      <c r="F553" s="346"/>
      <c r="G553" s="122" t="s">
        <v>585</v>
      </c>
      <c r="H553" s="122">
        <v>0.0</v>
      </c>
      <c r="J553" s="133">
        <v>0.0</v>
      </c>
      <c r="K553" s="419"/>
      <c r="L553" s="122" t="s">
        <v>585</v>
      </c>
      <c r="N553" s="133" t="s">
        <v>585</v>
      </c>
      <c r="P553" s="122" t="s">
        <v>585</v>
      </c>
      <c r="R553" s="122" t="s">
        <v>585</v>
      </c>
      <c r="T553" s="122" t="s">
        <v>585</v>
      </c>
    </row>
    <row r="554">
      <c r="B554" s="122"/>
      <c r="C554" s="122"/>
      <c r="D554" s="345"/>
      <c r="E554" s="346"/>
      <c r="F554" s="346"/>
      <c r="G554" s="122" t="s">
        <v>585</v>
      </c>
      <c r="H554" s="122">
        <v>0.0</v>
      </c>
      <c r="J554" s="133">
        <v>0.0</v>
      </c>
      <c r="K554" s="419"/>
      <c r="L554" s="122" t="s">
        <v>585</v>
      </c>
      <c r="N554" s="133" t="s">
        <v>585</v>
      </c>
      <c r="P554" s="122" t="s">
        <v>585</v>
      </c>
      <c r="R554" s="122" t="s">
        <v>585</v>
      </c>
      <c r="T554" s="122" t="s">
        <v>585</v>
      </c>
    </row>
    <row r="555">
      <c r="B555" s="122"/>
      <c r="C555" s="122"/>
      <c r="D555" s="345"/>
      <c r="E555" s="346"/>
      <c r="F555" s="346"/>
      <c r="G555" s="122" t="s">
        <v>585</v>
      </c>
      <c r="H555" s="122">
        <v>0.0</v>
      </c>
      <c r="J555" s="133">
        <v>0.0</v>
      </c>
      <c r="K555" s="419"/>
      <c r="L555" s="122" t="s">
        <v>585</v>
      </c>
      <c r="N555" s="133" t="s">
        <v>585</v>
      </c>
      <c r="P555" s="122" t="s">
        <v>585</v>
      </c>
      <c r="R555" s="122" t="s">
        <v>585</v>
      </c>
      <c r="T555" s="122" t="s">
        <v>585</v>
      </c>
    </row>
    <row r="556">
      <c r="B556" s="122"/>
      <c r="C556" s="122"/>
      <c r="D556" s="345"/>
      <c r="E556" s="346"/>
      <c r="F556" s="346"/>
      <c r="G556" s="122" t="s">
        <v>585</v>
      </c>
      <c r="H556" s="122">
        <v>0.0</v>
      </c>
      <c r="J556" s="133">
        <v>0.0</v>
      </c>
      <c r="K556" s="419"/>
      <c r="L556" s="122" t="s">
        <v>585</v>
      </c>
      <c r="N556" s="133" t="s">
        <v>585</v>
      </c>
      <c r="P556" s="122" t="s">
        <v>585</v>
      </c>
      <c r="R556" s="122" t="s">
        <v>585</v>
      </c>
      <c r="T556" s="122" t="s">
        <v>585</v>
      </c>
    </row>
    <row r="557">
      <c r="B557" s="122"/>
      <c r="C557" s="122"/>
      <c r="D557" s="345"/>
      <c r="E557" s="346"/>
      <c r="F557" s="346"/>
      <c r="G557" s="122" t="s">
        <v>585</v>
      </c>
      <c r="H557" s="122">
        <v>0.0</v>
      </c>
      <c r="J557" s="133">
        <v>0.0</v>
      </c>
      <c r="K557" s="419"/>
      <c r="L557" s="122" t="s">
        <v>585</v>
      </c>
      <c r="N557" s="133" t="s">
        <v>585</v>
      </c>
      <c r="P557" s="122" t="s">
        <v>585</v>
      </c>
      <c r="R557" s="122" t="s">
        <v>585</v>
      </c>
      <c r="T557" s="122" t="s">
        <v>585</v>
      </c>
    </row>
    <row r="558">
      <c r="B558" s="122"/>
      <c r="C558" s="122"/>
      <c r="D558" s="345"/>
      <c r="E558" s="346"/>
      <c r="F558" s="346"/>
      <c r="G558" s="122" t="s">
        <v>585</v>
      </c>
      <c r="H558" s="122">
        <v>0.0</v>
      </c>
      <c r="J558" s="133">
        <v>0.0</v>
      </c>
      <c r="K558" s="419"/>
      <c r="L558" s="122" t="s">
        <v>585</v>
      </c>
      <c r="N558" s="133" t="s">
        <v>585</v>
      </c>
      <c r="P558" s="122" t="s">
        <v>585</v>
      </c>
      <c r="R558" s="122" t="s">
        <v>585</v>
      </c>
      <c r="T558" s="122" t="s">
        <v>585</v>
      </c>
    </row>
    <row r="559">
      <c r="B559" s="122"/>
      <c r="C559" s="122"/>
      <c r="D559" s="345"/>
      <c r="E559" s="346"/>
      <c r="F559" s="346"/>
      <c r="G559" s="122" t="s">
        <v>585</v>
      </c>
      <c r="H559" s="122">
        <v>0.0</v>
      </c>
      <c r="J559" s="133">
        <v>0.0</v>
      </c>
      <c r="K559" s="419"/>
      <c r="L559" s="122" t="s">
        <v>585</v>
      </c>
      <c r="N559" s="133" t="s">
        <v>585</v>
      </c>
      <c r="P559" s="122" t="s">
        <v>585</v>
      </c>
      <c r="R559" s="122" t="s">
        <v>585</v>
      </c>
      <c r="T559" s="122" t="s">
        <v>585</v>
      </c>
    </row>
    <row r="560">
      <c r="B560" s="122"/>
      <c r="C560" s="122"/>
      <c r="D560" s="345"/>
      <c r="E560" s="346"/>
      <c r="F560" s="346"/>
      <c r="G560" s="122" t="s">
        <v>585</v>
      </c>
      <c r="H560" s="122">
        <v>0.0</v>
      </c>
      <c r="J560" s="133">
        <v>0.0</v>
      </c>
      <c r="K560" s="419"/>
      <c r="L560" s="122" t="s">
        <v>585</v>
      </c>
      <c r="N560" s="133" t="s">
        <v>585</v>
      </c>
      <c r="P560" s="122" t="s">
        <v>585</v>
      </c>
      <c r="R560" s="122" t="s">
        <v>585</v>
      </c>
      <c r="T560" s="122" t="s">
        <v>585</v>
      </c>
    </row>
    <row r="561">
      <c r="B561" s="122"/>
      <c r="C561" s="122"/>
      <c r="D561" s="345"/>
      <c r="E561" s="346"/>
      <c r="F561" s="346"/>
      <c r="G561" s="122" t="s">
        <v>585</v>
      </c>
      <c r="H561" s="122">
        <v>0.0</v>
      </c>
      <c r="J561" s="133">
        <v>0.0</v>
      </c>
      <c r="K561" s="419"/>
      <c r="L561" s="122" t="s">
        <v>585</v>
      </c>
      <c r="N561" s="133" t="s">
        <v>585</v>
      </c>
      <c r="P561" s="122" t="s">
        <v>585</v>
      </c>
      <c r="R561" s="122" t="s">
        <v>585</v>
      </c>
      <c r="T561" s="122" t="s">
        <v>585</v>
      </c>
    </row>
    <row r="562">
      <c r="B562" s="122"/>
      <c r="C562" s="122"/>
      <c r="D562" s="345"/>
      <c r="E562" s="346"/>
      <c r="F562" s="346"/>
      <c r="G562" s="122" t="s">
        <v>585</v>
      </c>
      <c r="H562" s="122">
        <v>0.0</v>
      </c>
      <c r="J562" s="133">
        <v>0.0</v>
      </c>
      <c r="K562" s="419"/>
      <c r="L562" s="122" t="s">
        <v>585</v>
      </c>
      <c r="N562" s="133" t="s">
        <v>585</v>
      </c>
      <c r="P562" s="122" t="s">
        <v>585</v>
      </c>
      <c r="R562" s="122" t="s">
        <v>585</v>
      </c>
      <c r="T562" s="122" t="s">
        <v>585</v>
      </c>
    </row>
    <row r="563">
      <c r="B563" s="122"/>
      <c r="C563" s="122"/>
      <c r="D563" s="345"/>
      <c r="E563" s="346"/>
      <c r="F563" s="346"/>
      <c r="G563" s="122" t="s">
        <v>585</v>
      </c>
      <c r="H563" s="122">
        <v>0.0</v>
      </c>
      <c r="J563" s="133">
        <v>0.0</v>
      </c>
      <c r="K563" s="419"/>
      <c r="L563" s="122" t="s">
        <v>585</v>
      </c>
      <c r="N563" s="133" t="s">
        <v>585</v>
      </c>
      <c r="P563" s="122" t="s">
        <v>585</v>
      </c>
      <c r="R563" s="122" t="s">
        <v>585</v>
      </c>
      <c r="T563" s="122" t="s">
        <v>585</v>
      </c>
    </row>
    <row r="564">
      <c r="B564" s="122"/>
      <c r="C564" s="122"/>
      <c r="D564" s="345"/>
      <c r="E564" s="346"/>
      <c r="F564" s="346"/>
      <c r="G564" s="122" t="s">
        <v>585</v>
      </c>
      <c r="H564" s="122">
        <v>0.0</v>
      </c>
      <c r="J564" s="133">
        <v>0.0</v>
      </c>
      <c r="K564" s="419"/>
      <c r="L564" s="122" t="s">
        <v>585</v>
      </c>
      <c r="N564" s="133" t="s">
        <v>585</v>
      </c>
      <c r="P564" s="122" t="s">
        <v>585</v>
      </c>
      <c r="R564" s="122" t="s">
        <v>585</v>
      </c>
      <c r="T564" s="122" t="s">
        <v>585</v>
      </c>
    </row>
    <row r="565">
      <c r="B565" s="122"/>
      <c r="C565" s="122"/>
      <c r="D565" s="345"/>
      <c r="E565" s="346"/>
      <c r="F565" s="346"/>
      <c r="G565" s="122" t="s">
        <v>585</v>
      </c>
      <c r="H565" s="122">
        <v>0.0</v>
      </c>
      <c r="J565" s="133">
        <v>0.0</v>
      </c>
      <c r="K565" s="419"/>
      <c r="L565" s="122" t="s">
        <v>585</v>
      </c>
      <c r="N565" s="133" t="s">
        <v>585</v>
      </c>
      <c r="P565" s="122" t="s">
        <v>585</v>
      </c>
      <c r="R565" s="122" t="s">
        <v>585</v>
      </c>
      <c r="T565" s="122" t="s">
        <v>585</v>
      </c>
    </row>
    <row r="566">
      <c r="B566" s="122"/>
      <c r="C566" s="122"/>
      <c r="D566" s="345"/>
      <c r="E566" s="346"/>
      <c r="F566" s="346"/>
      <c r="G566" s="122" t="s">
        <v>585</v>
      </c>
      <c r="H566" s="122">
        <v>0.0</v>
      </c>
      <c r="J566" s="133">
        <v>0.0</v>
      </c>
      <c r="K566" s="419"/>
      <c r="L566" s="122" t="s">
        <v>585</v>
      </c>
      <c r="N566" s="133" t="s">
        <v>585</v>
      </c>
      <c r="P566" s="122" t="s">
        <v>585</v>
      </c>
      <c r="R566" s="122" t="s">
        <v>585</v>
      </c>
      <c r="T566" s="122" t="s">
        <v>585</v>
      </c>
    </row>
    <row r="567">
      <c r="B567" s="122"/>
      <c r="C567" s="122"/>
      <c r="D567" s="345"/>
      <c r="E567" s="346"/>
      <c r="F567" s="346"/>
      <c r="G567" s="122" t="s">
        <v>585</v>
      </c>
      <c r="H567" s="122">
        <v>0.0</v>
      </c>
      <c r="J567" s="133">
        <v>0.0</v>
      </c>
      <c r="K567" s="419"/>
      <c r="L567" s="122" t="s">
        <v>585</v>
      </c>
      <c r="N567" s="133" t="s">
        <v>585</v>
      </c>
      <c r="P567" s="122" t="s">
        <v>585</v>
      </c>
      <c r="R567" s="122" t="s">
        <v>585</v>
      </c>
      <c r="T567" s="122" t="s">
        <v>585</v>
      </c>
    </row>
    <row r="568">
      <c r="B568" s="122"/>
      <c r="C568" s="122"/>
      <c r="D568" s="345"/>
      <c r="E568" s="346"/>
      <c r="F568" s="346"/>
      <c r="G568" s="122" t="s">
        <v>585</v>
      </c>
      <c r="H568" s="122">
        <v>0.0</v>
      </c>
      <c r="J568" s="133">
        <v>0.0</v>
      </c>
      <c r="K568" s="419"/>
      <c r="L568" s="122" t="s">
        <v>585</v>
      </c>
      <c r="N568" s="133" t="s">
        <v>585</v>
      </c>
      <c r="P568" s="122" t="s">
        <v>585</v>
      </c>
      <c r="R568" s="122" t="s">
        <v>585</v>
      </c>
      <c r="T568" s="122" t="s">
        <v>585</v>
      </c>
    </row>
    <row r="569">
      <c r="B569" s="122"/>
      <c r="C569" s="122"/>
      <c r="D569" s="345"/>
      <c r="E569" s="346"/>
      <c r="F569" s="346"/>
      <c r="G569" s="122" t="s">
        <v>585</v>
      </c>
      <c r="H569" s="122">
        <v>0.0</v>
      </c>
      <c r="J569" s="133">
        <v>0.0</v>
      </c>
      <c r="K569" s="419"/>
      <c r="L569" s="122" t="s">
        <v>585</v>
      </c>
      <c r="N569" s="133" t="s">
        <v>585</v>
      </c>
      <c r="P569" s="122" t="s">
        <v>585</v>
      </c>
      <c r="R569" s="122" t="s">
        <v>585</v>
      </c>
      <c r="T569" s="122" t="s">
        <v>585</v>
      </c>
    </row>
    <row r="570">
      <c r="B570" s="122"/>
      <c r="C570" s="122"/>
      <c r="D570" s="345"/>
      <c r="E570" s="346"/>
      <c r="F570" s="346"/>
      <c r="G570" s="122" t="s">
        <v>585</v>
      </c>
      <c r="H570" s="122">
        <v>0.0</v>
      </c>
      <c r="J570" s="133">
        <v>0.0</v>
      </c>
      <c r="K570" s="419"/>
      <c r="L570" s="122" t="s">
        <v>585</v>
      </c>
      <c r="N570" s="133" t="s">
        <v>585</v>
      </c>
      <c r="P570" s="122" t="s">
        <v>585</v>
      </c>
      <c r="R570" s="122" t="s">
        <v>585</v>
      </c>
      <c r="T570" s="122" t="s">
        <v>585</v>
      </c>
    </row>
    <row r="571">
      <c r="B571" s="122"/>
      <c r="C571" s="122"/>
      <c r="D571" s="345"/>
      <c r="E571" s="346"/>
      <c r="F571" s="346"/>
      <c r="G571" s="122" t="s">
        <v>585</v>
      </c>
      <c r="H571" s="122">
        <v>0.0</v>
      </c>
      <c r="J571" s="133">
        <v>0.0</v>
      </c>
      <c r="K571" s="419"/>
      <c r="L571" s="122" t="s">
        <v>585</v>
      </c>
      <c r="N571" s="133" t="s">
        <v>585</v>
      </c>
      <c r="P571" s="122" t="s">
        <v>585</v>
      </c>
      <c r="R571" s="122" t="s">
        <v>585</v>
      </c>
      <c r="T571" s="122" t="s">
        <v>585</v>
      </c>
    </row>
    <row r="572">
      <c r="B572" s="122"/>
      <c r="C572" s="122"/>
      <c r="D572" s="345"/>
      <c r="E572" s="346"/>
      <c r="F572" s="346"/>
      <c r="G572" s="122" t="s">
        <v>585</v>
      </c>
      <c r="H572" s="122">
        <v>0.0</v>
      </c>
      <c r="J572" s="133">
        <v>0.0</v>
      </c>
      <c r="K572" s="419"/>
      <c r="L572" s="122" t="s">
        <v>585</v>
      </c>
      <c r="N572" s="133" t="s">
        <v>585</v>
      </c>
      <c r="P572" s="122" t="s">
        <v>585</v>
      </c>
      <c r="R572" s="122" t="s">
        <v>585</v>
      </c>
      <c r="T572" s="122" t="s">
        <v>585</v>
      </c>
    </row>
    <row r="573">
      <c r="B573" s="122"/>
      <c r="C573" s="122"/>
      <c r="D573" s="345"/>
      <c r="E573" s="346"/>
      <c r="F573" s="346"/>
      <c r="G573" s="122" t="s">
        <v>585</v>
      </c>
      <c r="H573" s="122">
        <v>0.0</v>
      </c>
      <c r="J573" s="133">
        <v>0.0</v>
      </c>
      <c r="K573" s="419"/>
      <c r="L573" s="122" t="s">
        <v>585</v>
      </c>
      <c r="N573" s="133" t="s">
        <v>585</v>
      </c>
      <c r="P573" s="122" t="s">
        <v>585</v>
      </c>
      <c r="R573" s="122" t="s">
        <v>585</v>
      </c>
      <c r="T573" s="122" t="s">
        <v>585</v>
      </c>
    </row>
    <row r="574">
      <c r="B574" s="122"/>
      <c r="C574" s="122"/>
      <c r="D574" s="345"/>
      <c r="E574" s="346"/>
      <c r="F574" s="346"/>
      <c r="G574" s="122" t="s">
        <v>585</v>
      </c>
      <c r="H574" s="122">
        <v>0.0</v>
      </c>
      <c r="J574" s="133">
        <v>0.0</v>
      </c>
      <c r="K574" s="419"/>
      <c r="L574" s="122" t="s">
        <v>585</v>
      </c>
      <c r="N574" s="133" t="s">
        <v>585</v>
      </c>
      <c r="P574" s="122" t="s">
        <v>585</v>
      </c>
      <c r="R574" s="122" t="s">
        <v>585</v>
      </c>
      <c r="T574" s="122" t="s">
        <v>585</v>
      </c>
    </row>
    <row r="575">
      <c r="B575" s="122"/>
      <c r="C575" s="122"/>
      <c r="D575" s="345"/>
      <c r="E575" s="346"/>
      <c r="F575" s="346"/>
      <c r="G575" s="122" t="s">
        <v>585</v>
      </c>
      <c r="H575" s="122">
        <v>0.0</v>
      </c>
      <c r="J575" s="133">
        <v>0.0</v>
      </c>
      <c r="K575" s="419"/>
      <c r="L575" s="122" t="s">
        <v>585</v>
      </c>
      <c r="N575" s="133" t="s">
        <v>585</v>
      </c>
      <c r="P575" s="122" t="s">
        <v>585</v>
      </c>
      <c r="R575" s="122" t="s">
        <v>585</v>
      </c>
      <c r="T575" s="122" t="s">
        <v>585</v>
      </c>
    </row>
    <row r="576">
      <c r="B576" s="122"/>
      <c r="C576" s="122"/>
      <c r="D576" s="345"/>
      <c r="E576" s="346"/>
      <c r="F576" s="346"/>
      <c r="G576" s="122" t="s">
        <v>585</v>
      </c>
      <c r="H576" s="122">
        <v>0.0</v>
      </c>
      <c r="J576" s="133">
        <v>0.0</v>
      </c>
      <c r="K576" s="419"/>
      <c r="L576" s="122" t="s">
        <v>585</v>
      </c>
      <c r="N576" s="133" t="s">
        <v>585</v>
      </c>
      <c r="P576" s="122" t="s">
        <v>585</v>
      </c>
      <c r="R576" s="122" t="s">
        <v>585</v>
      </c>
      <c r="T576" s="122" t="s">
        <v>585</v>
      </c>
    </row>
    <row r="577">
      <c r="B577" s="122"/>
      <c r="C577" s="122"/>
      <c r="D577" s="345"/>
      <c r="E577" s="346"/>
      <c r="F577" s="346"/>
      <c r="G577" s="122" t="s">
        <v>585</v>
      </c>
      <c r="H577" s="122">
        <v>0.0</v>
      </c>
      <c r="J577" s="133">
        <v>0.0</v>
      </c>
      <c r="K577" s="419"/>
      <c r="L577" s="122" t="s">
        <v>585</v>
      </c>
      <c r="N577" s="133" t="s">
        <v>585</v>
      </c>
      <c r="P577" s="122" t="s">
        <v>585</v>
      </c>
      <c r="R577" s="122" t="s">
        <v>585</v>
      </c>
      <c r="T577" s="122" t="s">
        <v>585</v>
      </c>
    </row>
    <row r="578">
      <c r="B578" s="122"/>
      <c r="C578" s="122"/>
      <c r="D578" s="345"/>
      <c r="E578" s="346"/>
      <c r="F578" s="346"/>
      <c r="G578" s="122" t="s">
        <v>585</v>
      </c>
      <c r="H578" s="122">
        <v>0.0</v>
      </c>
      <c r="J578" s="133">
        <v>0.0</v>
      </c>
      <c r="K578" s="419"/>
      <c r="L578" s="122" t="s">
        <v>585</v>
      </c>
      <c r="N578" s="133" t="s">
        <v>585</v>
      </c>
      <c r="P578" s="122" t="s">
        <v>585</v>
      </c>
      <c r="R578" s="122" t="s">
        <v>585</v>
      </c>
      <c r="T578" s="122" t="s">
        <v>585</v>
      </c>
    </row>
    <row r="579">
      <c r="B579" s="122"/>
      <c r="C579" s="122"/>
      <c r="D579" s="345"/>
      <c r="E579" s="346"/>
      <c r="F579" s="346"/>
      <c r="G579" s="122" t="s">
        <v>585</v>
      </c>
      <c r="H579" s="122">
        <v>0.0</v>
      </c>
      <c r="J579" s="133">
        <v>0.0</v>
      </c>
      <c r="K579" s="419"/>
      <c r="L579" s="122" t="s">
        <v>585</v>
      </c>
      <c r="N579" s="133" t="s">
        <v>585</v>
      </c>
      <c r="P579" s="122" t="s">
        <v>585</v>
      </c>
      <c r="R579" s="122" t="s">
        <v>585</v>
      </c>
      <c r="T579" s="122" t="s">
        <v>585</v>
      </c>
    </row>
    <row r="580">
      <c r="B580" s="122"/>
      <c r="C580" s="122"/>
      <c r="D580" s="345"/>
      <c r="E580" s="346"/>
      <c r="F580" s="346"/>
      <c r="G580" s="122" t="s">
        <v>585</v>
      </c>
      <c r="H580" s="122">
        <v>0.0</v>
      </c>
      <c r="J580" s="133">
        <v>0.0</v>
      </c>
      <c r="K580" s="419"/>
      <c r="L580" s="122" t="s">
        <v>585</v>
      </c>
      <c r="N580" s="133" t="s">
        <v>585</v>
      </c>
      <c r="P580" s="122" t="s">
        <v>585</v>
      </c>
      <c r="R580" s="122" t="s">
        <v>585</v>
      </c>
      <c r="T580" s="122" t="s">
        <v>585</v>
      </c>
    </row>
    <row r="581">
      <c r="B581" s="122"/>
      <c r="C581" s="122"/>
      <c r="D581" s="345"/>
      <c r="E581" s="346"/>
      <c r="F581" s="346"/>
      <c r="G581" s="122" t="s">
        <v>585</v>
      </c>
      <c r="H581" s="122">
        <v>0.0</v>
      </c>
      <c r="J581" s="133">
        <v>0.0</v>
      </c>
      <c r="K581" s="419"/>
      <c r="L581" s="122" t="s">
        <v>585</v>
      </c>
      <c r="N581" s="133" t="s">
        <v>585</v>
      </c>
      <c r="P581" s="122" t="s">
        <v>585</v>
      </c>
      <c r="R581" s="122" t="s">
        <v>585</v>
      </c>
      <c r="T581" s="122" t="s">
        <v>585</v>
      </c>
    </row>
    <row r="582">
      <c r="B582" s="122"/>
      <c r="C582" s="122"/>
      <c r="D582" s="345"/>
      <c r="E582" s="346"/>
      <c r="F582" s="346"/>
      <c r="G582" s="122" t="s">
        <v>585</v>
      </c>
      <c r="H582" s="122">
        <v>0.0</v>
      </c>
      <c r="J582" s="133">
        <v>0.0</v>
      </c>
      <c r="K582" s="419"/>
      <c r="L582" s="122" t="s">
        <v>585</v>
      </c>
      <c r="N582" s="133" t="s">
        <v>585</v>
      </c>
      <c r="P582" s="122" t="s">
        <v>585</v>
      </c>
      <c r="R582" s="122" t="s">
        <v>585</v>
      </c>
      <c r="T582" s="122" t="s">
        <v>585</v>
      </c>
    </row>
    <row r="583">
      <c r="B583" s="122"/>
      <c r="C583" s="122"/>
      <c r="D583" s="345"/>
      <c r="E583" s="346"/>
      <c r="F583" s="346"/>
      <c r="G583" s="122" t="s">
        <v>585</v>
      </c>
      <c r="H583" s="122">
        <v>0.0</v>
      </c>
      <c r="J583" s="133">
        <v>0.0</v>
      </c>
      <c r="K583" s="419"/>
      <c r="L583" s="122" t="s">
        <v>585</v>
      </c>
      <c r="N583" s="133" t="s">
        <v>585</v>
      </c>
      <c r="P583" s="122" t="s">
        <v>585</v>
      </c>
      <c r="R583" s="122" t="s">
        <v>585</v>
      </c>
      <c r="T583" s="122" t="s">
        <v>585</v>
      </c>
    </row>
    <row r="584">
      <c r="B584" s="122"/>
      <c r="C584" s="122"/>
      <c r="D584" s="345"/>
      <c r="E584" s="346"/>
      <c r="F584" s="346"/>
      <c r="G584" s="122" t="s">
        <v>585</v>
      </c>
      <c r="H584" s="122">
        <v>0.0</v>
      </c>
      <c r="J584" s="133">
        <v>0.0</v>
      </c>
      <c r="K584" s="419"/>
      <c r="L584" s="122" t="s">
        <v>585</v>
      </c>
      <c r="N584" s="133" t="s">
        <v>585</v>
      </c>
      <c r="P584" s="122" t="s">
        <v>585</v>
      </c>
      <c r="R584" s="122" t="s">
        <v>585</v>
      </c>
      <c r="T584" s="122" t="s">
        <v>585</v>
      </c>
    </row>
    <row r="585">
      <c r="B585" s="122"/>
      <c r="C585" s="122"/>
      <c r="D585" s="345"/>
      <c r="E585" s="346"/>
      <c r="F585" s="346"/>
      <c r="G585" s="122" t="s">
        <v>585</v>
      </c>
      <c r="H585" s="122">
        <v>0.0</v>
      </c>
      <c r="J585" s="133">
        <v>0.0</v>
      </c>
      <c r="K585" s="419"/>
      <c r="L585" s="122" t="s">
        <v>585</v>
      </c>
      <c r="N585" s="133" t="s">
        <v>585</v>
      </c>
      <c r="P585" s="122" t="s">
        <v>585</v>
      </c>
      <c r="R585" s="122" t="s">
        <v>585</v>
      </c>
      <c r="T585" s="122" t="s">
        <v>585</v>
      </c>
    </row>
    <row r="586">
      <c r="B586" s="122"/>
      <c r="C586" s="122"/>
      <c r="D586" s="345"/>
      <c r="E586" s="346"/>
      <c r="F586" s="346"/>
      <c r="G586" s="122" t="s">
        <v>585</v>
      </c>
      <c r="H586" s="122">
        <v>0.0</v>
      </c>
      <c r="J586" s="133">
        <v>0.0</v>
      </c>
      <c r="K586" s="419"/>
      <c r="L586" s="122" t="s">
        <v>585</v>
      </c>
      <c r="N586" s="133" t="s">
        <v>585</v>
      </c>
      <c r="P586" s="122" t="s">
        <v>585</v>
      </c>
      <c r="R586" s="122" t="s">
        <v>585</v>
      </c>
      <c r="T586" s="122" t="s">
        <v>585</v>
      </c>
    </row>
    <row r="587">
      <c r="B587" s="122"/>
      <c r="C587" s="122"/>
      <c r="D587" s="345"/>
      <c r="E587" s="346"/>
      <c r="F587" s="346"/>
      <c r="G587" s="122" t="s">
        <v>585</v>
      </c>
      <c r="H587" s="122">
        <v>0.0</v>
      </c>
      <c r="J587" s="133">
        <v>0.0</v>
      </c>
      <c r="K587" s="419"/>
      <c r="L587" s="122" t="s">
        <v>585</v>
      </c>
      <c r="N587" s="133" t="s">
        <v>585</v>
      </c>
      <c r="P587" s="122" t="s">
        <v>585</v>
      </c>
      <c r="R587" s="122" t="s">
        <v>585</v>
      </c>
      <c r="T587" s="122" t="s">
        <v>585</v>
      </c>
    </row>
    <row r="588">
      <c r="B588" s="122"/>
      <c r="C588" s="122"/>
      <c r="D588" s="345"/>
      <c r="E588" s="346"/>
      <c r="F588" s="346"/>
      <c r="G588" s="122" t="s">
        <v>585</v>
      </c>
      <c r="H588" s="122">
        <v>0.0</v>
      </c>
      <c r="J588" s="133">
        <v>0.0</v>
      </c>
      <c r="K588" s="419"/>
      <c r="L588" s="122" t="s">
        <v>585</v>
      </c>
      <c r="N588" s="133" t="s">
        <v>585</v>
      </c>
      <c r="P588" s="122" t="s">
        <v>585</v>
      </c>
      <c r="R588" s="122" t="s">
        <v>585</v>
      </c>
      <c r="T588" s="122" t="s">
        <v>585</v>
      </c>
    </row>
    <row r="589">
      <c r="B589" s="122"/>
      <c r="C589" s="122"/>
      <c r="D589" s="345"/>
      <c r="E589" s="346"/>
      <c r="F589" s="346"/>
      <c r="G589" s="122" t="s">
        <v>585</v>
      </c>
      <c r="H589" s="122">
        <v>0.0</v>
      </c>
      <c r="J589" s="133">
        <v>0.0</v>
      </c>
      <c r="K589" s="419"/>
      <c r="L589" s="122" t="s">
        <v>585</v>
      </c>
      <c r="N589" s="133" t="s">
        <v>585</v>
      </c>
      <c r="P589" s="122" t="s">
        <v>585</v>
      </c>
      <c r="R589" s="122" t="s">
        <v>585</v>
      </c>
      <c r="T589" s="122" t="s">
        <v>585</v>
      </c>
    </row>
    <row r="590">
      <c r="B590" s="122"/>
      <c r="C590" s="122"/>
      <c r="D590" s="345"/>
      <c r="E590" s="346"/>
      <c r="F590" s="346"/>
      <c r="G590" s="122" t="s">
        <v>585</v>
      </c>
      <c r="H590" s="122">
        <v>0.0</v>
      </c>
      <c r="J590" s="133">
        <v>0.0</v>
      </c>
      <c r="K590" s="419"/>
      <c r="L590" s="122" t="s">
        <v>585</v>
      </c>
      <c r="N590" s="133" t="s">
        <v>585</v>
      </c>
      <c r="P590" s="122" t="s">
        <v>585</v>
      </c>
      <c r="R590" s="122" t="s">
        <v>585</v>
      </c>
      <c r="T590" s="122" t="s">
        <v>585</v>
      </c>
    </row>
    <row r="591">
      <c r="B591" s="122"/>
      <c r="C591" s="122"/>
      <c r="D591" s="345"/>
      <c r="E591" s="346"/>
      <c r="F591" s="346"/>
      <c r="G591" s="122" t="s">
        <v>585</v>
      </c>
      <c r="H591" s="122">
        <v>0.0</v>
      </c>
      <c r="J591" s="133">
        <v>0.0</v>
      </c>
      <c r="K591" s="419"/>
      <c r="L591" s="122" t="s">
        <v>585</v>
      </c>
      <c r="N591" s="133" t="s">
        <v>585</v>
      </c>
      <c r="P591" s="122" t="s">
        <v>585</v>
      </c>
      <c r="R591" s="122" t="s">
        <v>585</v>
      </c>
      <c r="T591" s="122" t="s">
        <v>585</v>
      </c>
    </row>
    <row r="592">
      <c r="B592" s="122"/>
      <c r="C592" s="122"/>
      <c r="D592" s="345"/>
      <c r="E592" s="346"/>
      <c r="F592" s="346"/>
      <c r="G592" s="122" t="s">
        <v>585</v>
      </c>
      <c r="H592" s="122">
        <v>0.0</v>
      </c>
      <c r="J592" s="133">
        <v>0.0</v>
      </c>
      <c r="K592" s="419"/>
      <c r="L592" s="122" t="s">
        <v>585</v>
      </c>
      <c r="N592" s="133" t="s">
        <v>585</v>
      </c>
      <c r="P592" s="122" t="s">
        <v>585</v>
      </c>
      <c r="R592" s="122" t="s">
        <v>585</v>
      </c>
      <c r="T592" s="122" t="s">
        <v>585</v>
      </c>
    </row>
    <row r="593">
      <c r="B593" s="122"/>
      <c r="C593" s="122"/>
      <c r="D593" s="345"/>
      <c r="E593" s="346"/>
      <c r="F593" s="346"/>
      <c r="G593" s="122" t="s">
        <v>585</v>
      </c>
      <c r="H593" s="122">
        <v>0.0</v>
      </c>
      <c r="J593" s="133">
        <v>0.0</v>
      </c>
      <c r="K593" s="419"/>
      <c r="L593" s="122" t="s">
        <v>585</v>
      </c>
      <c r="N593" s="133" t="s">
        <v>585</v>
      </c>
      <c r="P593" s="122" t="s">
        <v>585</v>
      </c>
      <c r="R593" s="122" t="s">
        <v>585</v>
      </c>
      <c r="T593" s="122" t="s">
        <v>585</v>
      </c>
    </row>
    <row r="594">
      <c r="B594" s="122"/>
      <c r="C594" s="122"/>
      <c r="D594" s="345"/>
      <c r="E594" s="346"/>
      <c r="F594" s="346"/>
      <c r="G594" s="122" t="s">
        <v>585</v>
      </c>
      <c r="H594" s="122">
        <v>0.0</v>
      </c>
      <c r="J594" s="133">
        <v>0.0</v>
      </c>
      <c r="K594" s="419"/>
      <c r="L594" s="122" t="s">
        <v>585</v>
      </c>
      <c r="N594" s="133" t="s">
        <v>585</v>
      </c>
      <c r="P594" s="122" t="s">
        <v>585</v>
      </c>
      <c r="R594" s="122" t="s">
        <v>585</v>
      </c>
      <c r="T594" s="122" t="s">
        <v>585</v>
      </c>
    </row>
    <row r="595">
      <c r="B595" s="122"/>
      <c r="C595" s="122"/>
      <c r="D595" s="345"/>
      <c r="E595" s="346"/>
      <c r="F595" s="346"/>
      <c r="G595" s="122" t="s">
        <v>585</v>
      </c>
      <c r="H595" s="122">
        <v>0.0</v>
      </c>
      <c r="J595" s="133">
        <v>0.0</v>
      </c>
      <c r="K595" s="419"/>
      <c r="L595" s="122" t="s">
        <v>585</v>
      </c>
      <c r="N595" s="133" t="s">
        <v>585</v>
      </c>
      <c r="P595" s="122" t="s">
        <v>585</v>
      </c>
      <c r="R595" s="122" t="s">
        <v>585</v>
      </c>
      <c r="T595" s="122" t="s">
        <v>585</v>
      </c>
    </row>
    <row r="596">
      <c r="B596" s="122"/>
      <c r="C596" s="122"/>
      <c r="D596" s="345"/>
      <c r="E596" s="346"/>
      <c r="F596" s="346"/>
      <c r="G596" s="122" t="s">
        <v>585</v>
      </c>
      <c r="H596" s="122">
        <v>0.0</v>
      </c>
      <c r="J596" s="133">
        <v>0.0</v>
      </c>
      <c r="K596" s="419"/>
      <c r="L596" s="122" t="s">
        <v>585</v>
      </c>
      <c r="N596" s="133" t="s">
        <v>585</v>
      </c>
      <c r="P596" s="122" t="s">
        <v>585</v>
      </c>
      <c r="R596" s="122" t="s">
        <v>585</v>
      </c>
      <c r="T596" s="122" t="s">
        <v>585</v>
      </c>
    </row>
    <row r="597">
      <c r="B597" s="122"/>
      <c r="C597" s="122"/>
      <c r="D597" s="345"/>
      <c r="E597" s="346"/>
      <c r="F597" s="346"/>
      <c r="G597" s="122" t="s">
        <v>585</v>
      </c>
      <c r="H597" s="122">
        <v>0.0</v>
      </c>
      <c r="J597" s="133">
        <v>0.0</v>
      </c>
      <c r="K597" s="419"/>
      <c r="L597" s="122" t="s">
        <v>585</v>
      </c>
      <c r="N597" s="133" t="s">
        <v>585</v>
      </c>
      <c r="P597" s="122" t="s">
        <v>585</v>
      </c>
      <c r="R597" s="122" t="s">
        <v>585</v>
      </c>
      <c r="T597" s="122" t="s">
        <v>585</v>
      </c>
    </row>
    <row r="598">
      <c r="B598" s="122"/>
      <c r="C598" s="122"/>
      <c r="D598" s="345"/>
      <c r="E598" s="346"/>
      <c r="F598" s="346"/>
      <c r="G598" s="122" t="s">
        <v>585</v>
      </c>
      <c r="H598" s="122">
        <v>0.0</v>
      </c>
      <c r="J598" s="133">
        <v>0.0</v>
      </c>
      <c r="K598" s="419"/>
      <c r="L598" s="122" t="s">
        <v>585</v>
      </c>
      <c r="N598" s="133" t="s">
        <v>585</v>
      </c>
      <c r="P598" s="122" t="s">
        <v>585</v>
      </c>
      <c r="R598" s="122" t="s">
        <v>585</v>
      </c>
      <c r="T598" s="122" t="s">
        <v>585</v>
      </c>
    </row>
    <row r="599">
      <c r="B599" s="122"/>
      <c r="C599" s="122"/>
      <c r="D599" s="345"/>
      <c r="E599" s="346"/>
      <c r="F599" s="346"/>
      <c r="G599" s="122" t="s">
        <v>585</v>
      </c>
      <c r="H599" s="122">
        <v>0.0</v>
      </c>
      <c r="J599" s="133">
        <v>0.0</v>
      </c>
      <c r="K599" s="419"/>
      <c r="L599" s="122" t="s">
        <v>585</v>
      </c>
      <c r="N599" s="133" t="s">
        <v>585</v>
      </c>
      <c r="P599" s="122" t="s">
        <v>585</v>
      </c>
      <c r="R599" s="122" t="s">
        <v>585</v>
      </c>
      <c r="T599" s="122" t="s">
        <v>585</v>
      </c>
    </row>
    <row r="600">
      <c r="B600" s="122"/>
      <c r="C600" s="122"/>
      <c r="D600" s="345"/>
      <c r="E600" s="346"/>
      <c r="F600" s="346"/>
      <c r="G600" s="122" t="s">
        <v>585</v>
      </c>
      <c r="H600" s="122">
        <v>0.0</v>
      </c>
      <c r="J600" s="133">
        <v>0.0</v>
      </c>
      <c r="K600" s="419"/>
      <c r="L600" s="122" t="s">
        <v>585</v>
      </c>
      <c r="N600" s="133" t="s">
        <v>585</v>
      </c>
      <c r="P600" s="122" t="s">
        <v>585</v>
      </c>
      <c r="R600" s="122" t="s">
        <v>585</v>
      </c>
      <c r="T600" s="122" t="s">
        <v>585</v>
      </c>
    </row>
    <row r="601">
      <c r="B601" s="122"/>
      <c r="C601" s="122"/>
      <c r="D601" s="345"/>
      <c r="E601" s="346"/>
      <c r="F601" s="346"/>
      <c r="G601" s="122" t="s">
        <v>585</v>
      </c>
      <c r="H601" s="122">
        <v>0.0</v>
      </c>
      <c r="J601" s="133">
        <v>0.0</v>
      </c>
      <c r="K601" s="419"/>
      <c r="L601" s="122" t="s">
        <v>585</v>
      </c>
      <c r="N601" s="133" t="s">
        <v>585</v>
      </c>
      <c r="P601" s="122" t="s">
        <v>585</v>
      </c>
      <c r="R601" s="122" t="s">
        <v>585</v>
      </c>
      <c r="T601" s="122" t="s">
        <v>585</v>
      </c>
    </row>
    <row r="602">
      <c r="B602" s="122"/>
      <c r="C602" s="122"/>
      <c r="D602" s="345"/>
      <c r="E602" s="346"/>
      <c r="F602" s="346"/>
      <c r="G602" s="122" t="s">
        <v>585</v>
      </c>
      <c r="H602" s="122">
        <v>0.0</v>
      </c>
      <c r="J602" s="133">
        <v>0.0</v>
      </c>
      <c r="K602" s="419"/>
      <c r="L602" s="122" t="s">
        <v>585</v>
      </c>
      <c r="N602" s="133" t="s">
        <v>585</v>
      </c>
      <c r="P602" s="122" t="s">
        <v>585</v>
      </c>
      <c r="R602" s="122" t="s">
        <v>585</v>
      </c>
      <c r="T602" s="122" t="s">
        <v>585</v>
      </c>
    </row>
    <row r="603">
      <c r="B603" s="122"/>
      <c r="C603" s="122"/>
      <c r="D603" s="345"/>
      <c r="E603" s="346"/>
      <c r="F603" s="346"/>
      <c r="G603" s="122" t="s">
        <v>585</v>
      </c>
      <c r="H603" s="122">
        <v>0.0</v>
      </c>
      <c r="J603" s="133">
        <v>0.0</v>
      </c>
      <c r="K603" s="419"/>
      <c r="L603" s="122" t="s">
        <v>585</v>
      </c>
      <c r="N603" s="133" t="s">
        <v>585</v>
      </c>
      <c r="P603" s="122" t="s">
        <v>585</v>
      </c>
      <c r="R603" s="122" t="s">
        <v>585</v>
      </c>
      <c r="T603" s="122" t="s">
        <v>585</v>
      </c>
    </row>
    <row r="604">
      <c r="B604" s="122"/>
      <c r="C604" s="122"/>
      <c r="D604" s="345"/>
      <c r="E604" s="346"/>
      <c r="F604" s="346"/>
      <c r="G604" s="122" t="s">
        <v>585</v>
      </c>
      <c r="H604" s="122">
        <v>0.0</v>
      </c>
      <c r="J604" s="133">
        <v>0.0</v>
      </c>
      <c r="K604" s="419"/>
      <c r="L604" s="122" t="s">
        <v>585</v>
      </c>
      <c r="N604" s="133" t="s">
        <v>585</v>
      </c>
      <c r="P604" s="122" t="s">
        <v>585</v>
      </c>
      <c r="R604" s="122" t="s">
        <v>585</v>
      </c>
      <c r="T604" s="122" t="s">
        <v>585</v>
      </c>
    </row>
    <row r="605">
      <c r="B605" s="122"/>
      <c r="C605" s="122"/>
      <c r="D605" s="345"/>
      <c r="E605" s="346"/>
      <c r="F605" s="346"/>
      <c r="G605" s="122" t="s">
        <v>585</v>
      </c>
      <c r="H605" s="122">
        <v>0.0</v>
      </c>
      <c r="J605" s="133">
        <v>0.0</v>
      </c>
      <c r="K605" s="419"/>
      <c r="L605" s="122" t="s">
        <v>585</v>
      </c>
      <c r="N605" s="133" t="s">
        <v>585</v>
      </c>
      <c r="P605" s="122" t="s">
        <v>585</v>
      </c>
      <c r="R605" s="122" t="s">
        <v>585</v>
      </c>
      <c r="T605" s="122" t="s">
        <v>585</v>
      </c>
    </row>
    <row r="606">
      <c r="B606" s="122"/>
      <c r="C606" s="122"/>
      <c r="D606" s="345"/>
      <c r="E606" s="346"/>
      <c r="F606" s="346"/>
      <c r="G606" s="122" t="s">
        <v>585</v>
      </c>
      <c r="H606" s="122">
        <v>0.0</v>
      </c>
      <c r="J606" s="133">
        <v>0.0</v>
      </c>
      <c r="K606" s="419"/>
      <c r="L606" s="122" t="s">
        <v>585</v>
      </c>
      <c r="N606" s="133" t="s">
        <v>585</v>
      </c>
      <c r="P606" s="122" t="s">
        <v>585</v>
      </c>
      <c r="R606" s="122" t="s">
        <v>585</v>
      </c>
      <c r="T606" s="122" t="s">
        <v>585</v>
      </c>
    </row>
    <row r="607">
      <c r="B607" s="122"/>
      <c r="C607" s="122"/>
      <c r="D607" s="345"/>
      <c r="E607" s="346"/>
      <c r="F607" s="346"/>
      <c r="G607" s="122" t="s">
        <v>585</v>
      </c>
      <c r="H607" s="122">
        <v>0.0</v>
      </c>
      <c r="J607" s="133">
        <v>0.0</v>
      </c>
      <c r="K607" s="419"/>
      <c r="L607" s="122" t="s">
        <v>585</v>
      </c>
      <c r="N607" s="133" t="s">
        <v>585</v>
      </c>
      <c r="P607" s="122" t="s">
        <v>585</v>
      </c>
      <c r="R607" s="122" t="s">
        <v>585</v>
      </c>
      <c r="T607" s="122" t="s">
        <v>585</v>
      </c>
    </row>
    <row r="608">
      <c r="B608" s="122"/>
      <c r="C608" s="122"/>
      <c r="D608" s="345"/>
      <c r="E608" s="346"/>
      <c r="F608" s="346"/>
      <c r="G608" s="122" t="s">
        <v>585</v>
      </c>
      <c r="H608" s="122">
        <v>0.0</v>
      </c>
      <c r="J608" s="133">
        <v>0.0</v>
      </c>
      <c r="K608" s="419"/>
      <c r="L608" s="122" t="s">
        <v>585</v>
      </c>
      <c r="N608" s="133" t="s">
        <v>585</v>
      </c>
      <c r="P608" s="122" t="s">
        <v>585</v>
      </c>
      <c r="R608" s="122" t="s">
        <v>585</v>
      </c>
      <c r="T608" s="122" t="s">
        <v>585</v>
      </c>
    </row>
    <row r="609">
      <c r="B609" s="122"/>
      <c r="C609" s="122"/>
      <c r="D609" s="345"/>
      <c r="E609" s="346"/>
      <c r="F609" s="346"/>
      <c r="G609" s="122" t="s">
        <v>585</v>
      </c>
      <c r="H609" s="122">
        <v>0.0</v>
      </c>
      <c r="J609" s="133">
        <v>0.0</v>
      </c>
      <c r="K609" s="419"/>
      <c r="L609" s="122" t="s">
        <v>585</v>
      </c>
      <c r="N609" s="133" t="s">
        <v>585</v>
      </c>
      <c r="P609" s="122" t="s">
        <v>585</v>
      </c>
      <c r="R609" s="122" t="s">
        <v>585</v>
      </c>
      <c r="T609" s="122" t="s">
        <v>585</v>
      </c>
    </row>
    <row r="610">
      <c r="B610" s="122"/>
      <c r="C610" s="122"/>
      <c r="D610" s="345"/>
      <c r="E610" s="346"/>
      <c r="F610" s="346"/>
      <c r="G610" s="122" t="s">
        <v>585</v>
      </c>
      <c r="H610" s="122">
        <v>0.0</v>
      </c>
      <c r="J610" s="133">
        <v>0.0</v>
      </c>
      <c r="K610" s="419"/>
      <c r="L610" s="122" t="s">
        <v>585</v>
      </c>
      <c r="N610" s="133" t="s">
        <v>585</v>
      </c>
      <c r="P610" s="122" t="s">
        <v>585</v>
      </c>
      <c r="R610" s="122" t="s">
        <v>585</v>
      </c>
      <c r="T610" s="122" t="s">
        <v>585</v>
      </c>
    </row>
    <row r="611">
      <c r="B611" s="122"/>
      <c r="C611" s="122"/>
      <c r="D611" s="345"/>
      <c r="E611" s="346"/>
      <c r="F611" s="346"/>
      <c r="G611" s="122" t="s">
        <v>585</v>
      </c>
      <c r="H611" s="122">
        <v>0.0</v>
      </c>
      <c r="J611" s="133">
        <v>0.0</v>
      </c>
      <c r="K611" s="419"/>
      <c r="L611" s="122" t="s">
        <v>585</v>
      </c>
      <c r="N611" s="133" t="s">
        <v>585</v>
      </c>
      <c r="P611" s="122" t="s">
        <v>585</v>
      </c>
      <c r="R611" s="122" t="s">
        <v>585</v>
      </c>
      <c r="T611" s="122" t="s">
        <v>585</v>
      </c>
    </row>
    <row r="612">
      <c r="B612" s="122"/>
      <c r="C612" s="122"/>
      <c r="D612" s="345"/>
      <c r="E612" s="346"/>
      <c r="F612" s="346"/>
      <c r="G612" s="122" t="s">
        <v>585</v>
      </c>
      <c r="H612" s="122">
        <v>0.0</v>
      </c>
      <c r="J612" s="133">
        <v>0.0</v>
      </c>
      <c r="K612" s="419"/>
      <c r="L612" s="122" t="s">
        <v>585</v>
      </c>
      <c r="N612" s="133" t="s">
        <v>585</v>
      </c>
      <c r="P612" s="122" t="s">
        <v>585</v>
      </c>
      <c r="R612" s="122" t="s">
        <v>585</v>
      </c>
      <c r="T612" s="122" t="s">
        <v>585</v>
      </c>
    </row>
    <row r="613">
      <c r="B613" s="122"/>
      <c r="C613" s="122"/>
      <c r="D613" s="345"/>
      <c r="E613" s="346"/>
      <c r="F613" s="346"/>
      <c r="G613" s="122" t="s">
        <v>585</v>
      </c>
      <c r="H613" s="122">
        <v>0.0</v>
      </c>
      <c r="J613" s="133">
        <v>0.0</v>
      </c>
      <c r="K613" s="419"/>
      <c r="L613" s="122" t="s">
        <v>585</v>
      </c>
      <c r="N613" s="133" t="s">
        <v>585</v>
      </c>
      <c r="P613" s="122" t="s">
        <v>585</v>
      </c>
      <c r="R613" s="122" t="s">
        <v>585</v>
      </c>
      <c r="T613" s="122" t="s">
        <v>585</v>
      </c>
    </row>
    <row r="614">
      <c r="B614" s="122"/>
      <c r="C614" s="122"/>
      <c r="D614" s="345"/>
      <c r="E614" s="346"/>
      <c r="F614" s="346"/>
      <c r="G614" s="122" t="s">
        <v>585</v>
      </c>
      <c r="H614" s="122">
        <v>0.0</v>
      </c>
      <c r="J614" s="133">
        <v>0.0</v>
      </c>
      <c r="K614" s="419"/>
      <c r="L614" s="122" t="s">
        <v>585</v>
      </c>
      <c r="N614" s="133" t="s">
        <v>585</v>
      </c>
      <c r="P614" s="122" t="s">
        <v>585</v>
      </c>
      <c r="R614" s="122" t="s">
        <v>585</v>
      </c>
      <c r="T614" s="122" t="s">
        <v>585</v>
      </c>
    </row>
    <row r="615">
      <c r="B615" s="122"/>
      <c r="C615" s="122"/>
      <c r="D615" s="345"/>
      <c r="E615" s="346"/>
      <c r="F615" s="346"/>
      <c r="G615" s="122" t="s">
        <v>585</v>
      </c>
      <c r="H615" s="122">
        <v>0.0</v>
      </c>
      <c r="J615" s="133">
        <v>0.0</v>
      </c>
      <c r="K615" s="419"/>
      <c r="L615" s="122" t="s">
        <v>585</v>
      </c>
      <c r="N615" s="133" t="s">
        <v>585</v>
      </c>
      <c r="P615" s="122" t="s">
        <v>585</v>
      </c>
      <c r="R615" s="122" t="s">
        <v>585</v>
      </c>
      <c r="T615" s="122" t="s">
        <v>585</v>
      </c>
    </row>
    <row r="616">
      <c r="B616" s="122"/>
      <c r="C616" s="122"/>
      <c r="D616" s="345"/>
      <c r="E616" s="346"/>
      <c r="F616" s="346"/>
      <c r="G616" s="122" t="s">
        <v>585</v>
      </c>
      <c r="H616" s="122">
        <v>0.0</v>
      </c>
      <c r="J616" s="133">
        <v>0.0</v>
      </c>
      <c r="K616" s="419"/>
      <c r="L616" s="122" t="s">
        <v>585</v>
      </c>
      <c r="N616" s="133" t="s">
        <v>585</v>
      </c>
      <c r="P616" s="122" t="s">
        <v>585</v>
      </c>
      <c r="R616" s="122" t="s">
        <v>585</v>
      </c>
      <c r="T616" s="122" t="s">
        <v>585</v>
      </c>
    </row>
    <row r="617">
      <c r="B617" s="122"/>
      <c r="C617" s="122"/>
      <c r="D617" s="345"/>
      <c r="E617" s="346"/>
      <c r="F617" s="346"/>
      <c r="G617" s="122" t="s">
        <v>585</v>
      </c>
      <c r="H617" s="122">
        <v>0.0</v>
      </c>
      <c r="J617" s="133">
        <v>0.0</v>
      </c>
      <c r="K617" s="419"/>
      <c r="L617" s="122" t="s">
        <v>585</v>
      </c>
      <c r="N617" s="133" t="s">
        <v>585</v>
      </c>
      <c r="P617" s="122" t="s">
        <v>585</v>
      </c>
      <c r="R617" s="122" t="s">
        <v>585</v>
      </c>
      <c r="T617" s="122" t="s">
        <v>585</v>
      </c>
    </row>
    <row r="618">
      <c r="B618" s="122"/>
      <c r="C618" s="122"/>
      <c r="D618" s="345"/>
      <c r="E618" s="346"/>
      <c r="F618" s="346"/>
      <c r="G618" s="122" t="s">
        <v>585</v>
      </c>
      <c r="H618" s="122">
        <v>0.0</v>
      </c>
      <c r="J618" s="133">
        <v>0.0</v>
      </c>
      <c r="K618" s="419"/>
      <c r="L618" s="122" t="s">
        <v>585</v>
      </c>
      <c r="N618" s="133" t="s">
        <v>585</v>
      </c>
      <c r="P618" s="122" t="s">
        <v>585</v>
      </c>
      <c r="R618" s="122" t="s">
        <v>585</v>
      </c>
      <c r="T618" s="122" t="s">
        <v>585</v>
      </c>
    </row>
    <row r="619">
      <c r="B619" s="122"/>
      <c r="C619" s="122"/>
      <c r="D619" s="345"/>
      <c r="E619" s="346"/>
      <c r="F619" s="346"/>
      <c r="G619" s="122" t="s">
        <v>585</v>
      </c>
      <c r="H619" s="122">
        <v>0.0</v>
      </c>
      <c r="J619" s="133">
        <v>0.0</v>
      </c>
      <c r="K619" s="419"/>
      <c r="L619" s="122" t="s">
        <v>585</v>
      </c>
      <c r="N619" s="133" t="s">
        <v>585</v>
      </c>
      <c r="P619" s="122" t="s">
        <v>585</v>
      </c>
      <c r="R619" s="122" t="s">
        <v>585</v>
      </c>
      <c r="T619" s="122" t="s">
        <v>585</v>
      </c>
    </row>
    <row r="620">
      <c r="B620" s="122"/>
      <c r="C620" s="122"/>
      <c r="D620" s="345"/>
      <c r="E620" s="346"/>
      <c r="F620" s="346"/>
      <c r="G620" s="122" t="s">
        <v>585</v>
      </c>
      <c r="H620" s="122">
        <v>0.0</v>
      </c>
      <c r="J620" s="133">
        <v>0.0</v>
      </c>
      <c r="K620" s="419"/>
      <c r="L620" s="122" t="s">
        <v>585</v>
      </c>
      <c r="N620" s="133" t="s">
        <v>585</v>
      </c>
      <c r="P620" s="122" t="s">
        <v>585</v>
      </c>
      <c r="R620" s="122" t="s">
        <v>585</v>
      </c>
      <c r="T620" s="122" t="s">
        <v>585</v>
      </c>
    </row>
    <row r="621">
      <c r="B621" s="122"/>
      <c r="C621" s="122"/>
      <c r="D621" s="345"/>
      <c r="E621" s="346"/>
      <c r="F621" s="346"/>
      <c r="G621" s="122" t="s">
        <v>585</v>
      </c>
      <c r="H621" s="122">
        <v>0.0</v>
      </c>
      <c r="J621" s="133">
        <v>0.0</v>
      </c>
      <c r="K621" s="419"/>
      <c r="L621" s="122" t="s">
        <v>585</v>
      </c>
      <c r="N621" s="133" t="s">
        <v>585</v>
      </c>
      <c r="P621" s="122" t="s">
        <v>585</v>
      </c>
      <c r="R621" s="122" t="s">
        <v>585</v>
      </c>
      <c r="T621" s="122" t="s">
        <v>585</v>
      </c>
    </row>
    <row r="622">
      <c r="B622" s="122"/>
      <c r="C622" s="122"/>
      <c r="D622" s="345"/>
      <c r="E622" s="346"/>
      <c r="F622" s="346"/>
      <c r="G622" s="122" t="s">
        <v>585</v>
      </c>
      <c r="H622" s="122">
        <v>0.0</v>
      </c>
      <c r="J622" s="133">
        <v>0.0</v>
      </c>
      <c r="K622" s="419"/>
      <c r="L622" s="122" t="s">
        <v>585</v>
      </c>
      <c r="N622" s="133" t="s">
        <v>585</v>
      </c>
      <c r="P622" s="122" t="s">
        <v>585</v>
      </c>
      <c r="R622" s="122" t="s">
        <v>585</v>
      </c>
      <c r="T622" s="122" t="s">
        <v>585</v>
      </c>
    </row>
    <row r="623">
      <c r="B623" s="122"/>
      <c r="C623" s="122"/>
      <c r="D623" s="345"/>
      <c r="E623" s="346"/>
      <c r="F623" s="346"/>
      <c r="G623" s="122" t="s">
        <v>585</v>
      </c>
      <c r="H623" s="122">
        <v>0.0</v>
      </c>
      <c r="J623" s="133">
        <v>0.0</v>
      </c>
      <c r="K623" s="419"/>
      <c r="L623" s="122" t="s">
        <v>585</v>
      </c>
      <c r="N623" s="133" t="s">
        <v>585</v>
      </c>
      <c r="P623" s="122" t="s">
        <v>585</v>
      </c>
      <c r="R623" s="122" t="s">
        <v>585</v>
      </c>
      <c r="T623" s="122" t="s">
        <v>585</v>
      </c>
    </row>
    <row r="624">
      <c r="B624" s="122"/>
      <c r="C624" s="122"/>
      <c r="D624" s="345"/>
      <c r="E624" s="346"/>
      <c r="F624" s="346"/>
      <c r="G624" s="122" t="s">
        <v>585</v>
      </c>
      <c r="H624" s="122">
        <v>0.0</v>
      </c>
      <c r="J624" s="133">
        <v>0.0</v>
      </c>
      <c r="K624" s="419"/>
      <c r="L624" s="122" t="s">
        <v>585</v>
      </c>
      <c r="N624" s="133" t="s">
        <v>585</v>
      </c>
      <c r="P624" s="122" t="s">
        <v>585</v>
      </c>
      <c r="R624" s="122" t="s">
        <v>585</v>
      </c>
      <c r="T624" s="122" t="s">
        <v>585</v>
      </c>
    </row>
    <row r="625">
      <c r="B625" s="122"/>
      <c r="C625" s="122"/>
      <c r="D625" s="345"/>
      <c r="E625" s="346"/>
      <c r="F625" s="346"/>
      <c r="G625" s="122" t="s">
        <v>585</v>
      </c>
      <c r="H625" s="122">
        <v>0.0</v>
      </c>
      <c r="J625" s="133">
        <v>0.0</v>
      </c>
      <c r="K625" s="419"/>
      <c r="L625" s="122" t="s">
        <v>585</v>
      </c>
      <c r="N625" s="133" t="s">
        <v>585</v>
      </c>
      <c r="P625" s="122" t="s">
        <v>585</v>
      </c>
      <c r="R625" s="122" t="s">
        <v>585</v>
      </c>
      <c r="T625" s="122" t="s">
        <v>585</v>
      </c>
    </row>
    <row r="626">
      <c r="B626" s="122"/>
      <c r="C626" s="122"/>
      <c r="D626" s="345"/>
      <c r="E626" s="346"/>
      <c r="F626" s="346"/>
      <c r="G626" s="122" t="s">
        <v>585</v>
      </c>
      <c r="H626" s="122">
        <v>0.0</v>
      </c>
      <c r="J626" s="133">
        <v>0.0</v>
      </c>
      <c r="K626" s="419"/>
      <c r="L626" s="122" t="s">
        <v>585</v>
      </c>
      <c r="N626" s="133" t="s">
        <v>585</v>
      </c>
      <c r="P626" s="122" t="s">
        <v>585</v>
      </c>
      <c r="R626" s="122" t="s">
        <v>585</v>
      </c>
      <c r="T626" s="122" t="s">
        <v>585</v>
      </c>
    </row>
    <row r="627">
      <c r="B627" s="122"/>
      <c r="C627" s="122"/>
      <c r="D627" s="345"/>
      <c r="E627" s="346"/>
      <c r="F627" s="346"/>
      <c r="G627" s="122" t="s">
        <v>585</v>
      </c>
      <c r="H627" s="122">
        <v>0.0</v>
      </c>
      <c r="J627" s="133">
        <v>0.0</v>
      </c>
      <c r="K627" s="419"/>
      <c r="L627" s="122" t="s">
        <v>585</v>
      </c>
      <c r="N627" s="133" t="s">
        <v>585</v>
      </c>
      <c r="P627" s="122" t="s">
        <v>585</v>
      </c>
      <c r="R627" s="122" t="s">
        <v>585</v>
      </c>
      <c r="T627" s="122" t="s">
        <v>585</v>
      </c>
    </row>
    <row r="628">
      <c r="B628" s="122"/>
      <c r="C628" s="122"/>
      <c r="D628" s="345"/>
      <c r="E628" s="346"/>
      <c r="F628" s="346"/>
      <c r="G628" s="122" t="s">
        <v>585</v>
      </c>
      <c r="H628" s="122">
        <v>0.0</v>
      </c>
      <c r="J628" s="133">
        <v>0.0</v>
      </c>
      <c r="K628" s="419"/>
      <c r="L628" s="122" t="s">
        <v>585</v>
      </c>
      <c r="N628" s="133" t="s">
        <v>585</v>
      </c>
      <c r="P628" s="122" t="s">
        <v>585</v>
      </c>
      <c r="R628" s="122" t="s">
        <v>585</v>
      </c>
      <c r="T628" s="122" t="s">
        <v>585</v>
      </c>
    </row>
    <row r="629">
      <c r="B629" s="122"/>
      <c r="C629" s="122"/>
      <c r="D629" s="345"/>
      <c r="E629" s="346"/>
      <c r="F629" s="346"/>
      <c r="G629" s="122" t="s">
        <v>585</v>
      </c>
      <c r="H629" s="122">
        <v>0.0</v>
      </c>
      <c r="J629" s="133">
        <v>0.0</v>
      </c>
      <c r="K629" s="419"/>
      <c r="L629" s="122" t="s">
        <v>585</v>
      </c>
      <c r="N629" s="133" t="s">
        <v>585</v>
      </c>
      <c r="P629" s="122" t="s">
        <v>585</v>
      </c>
      <c r="R629" s="122" t="s">
        <v>585</v>
      </c>
      <c r="T629" s="122" t="s">
        <v>585</v>
      </c>
    </row>
    <row r="630">
      <c r="B630" s="122"/>
      <c r="C630" s="122"/>
      <c r="D630" s="345"/>
      <c r="E630" s="346"/>
      <c r="F630" s="346"/>
      <c r="G630" s="122" t="s">
        <v>585</v>
      </c>
      <c r="H630" s="122">
        <v>0.0</v>
      </c>
      <c r="J630" s="133">
        <v>0.0</v>
      </c>
      <c r="K630" s="419"/>
      <c r="L630" s="122" t="s">
        <v>585</v>
      </c>
      <c r="N630" s="133" t="s">
        <v>585</v>
      </c>
      <c r="P630" s="122" t="s">
        <v>585</v>
      </c>
      <c r="R630" s="122" t="s">
        <v>585</v>
      </c>
      <c r="T630" s="122" t="s">
        <v>585</v>
      </c>
    </row>
    <row r="631">
      <c r="B631" s="122"/>
      <c r="C631" s="122"/>
      <c r="D631" s="345"/>
      <c r="E631" s="346"/>
      <c r="F631" s="346"/>
      <c r="G631" s="122" t="s">
        <v>585</v>
      </c>
      <c r="H631" s="122">
        <v>0.0</v>
      </c>
      <c r="J631" s="133">
        <v>0.0</v>
      </c>
      <c r="K631" s="419"/>
      <c r="L631" s="122" t="s">
        <v>585</v>
      </c>
      <c r="N631" s="133" t="s">
        <v>585</v>
      </c>
      <c r="P631" s="122" t="s">
        <v>585</v>
      </c>
      <c r="R631" s="122" t="s">
        <v>585</v>
      </c>
      <c r="T631" s="122" t="s">
        <v>585</v>
      </c>
    </row>
    <row r="632">
      <c r="B632" s="122"/>
      <c r="C632" s="122"/>
      <c r="D632" s="345"/>
      <c r="E632" s="346"/>
      <c r="F632" s="346"/>
      <c r="G632" s="122" t="s">
        <v>585</v>
      </c>
      <c r="H632" s="122">
        <v>0.0</v>
      </c>
      <c r="J632" s="133">
        <v>0.0</v>
      </c>
      <c r="K632" s="419"/>
      <c r="L632" s="122" t="s">
        <v>585</v>
      </c>
      <c r="N632" s="133" t="s">
        <v>585</v>
      </c>
      <c r="P632" s="122" t="s">
        <v>585</v>
      </c>
      <c r="R632" s="122" t="s">
        <v>585</v>
      </c>
      <c r="T632" s="122" t="s">
        <v>585</v>
      </c>
    </row>
    <row r="633">
      <c r="B633" s="122"/>
      <c r="C633" s="122"/>
      <c r="D633" s="345"/>
      <c r="E633" s="346"/>
      <c r="F633" s="346"/>
      <c r="G633" s="122" t="s">
        <v>585</v>
      </c>
      <c r="H633" s="122">
        <v>0.0</v>
      </c>
      <c r="J633" s="133">
        <v>0.0</v>
      </c>
      <c r="K633" s="419"/>
      <c r="L633" s="122" t="s">
        <v>585</v>
      </c>
      <c r="N633" s="133" t="s">
        <v>585</v>
      </c>
      <c r="P633" s="122" t="s">
        <v>585</v>
      </c>
      <c r="R633" s="122" t="s">
        <v>585</v>
      </c>
      <c r="T633" s="122" t="s">
        <v>585</v>
      </c>
    </row>
    <row r="634">
      <c r="B634" s="122"/>
      <c r="C634" s="122"/>
      <c r="D634" s="345"/>
      <c r="E634" s="346"/>
      <c r="F634" s="346"/>
      <c r="G634" s="122" t="s">
        <v>585</v>
      </c>
      <c r="H634" s="122">
        <v>0.0</v>
      </c>
      <c r="J634" s="133">
        <v>0.0</v>
      </c>
      <c r="K634" s="419"/>
      <c r="L634" s="122" t="s">
        <v>585</v>
      </c>
      <c r="N634" s="133" t="s">
        <v>585</v>
      </c>
      <c r="P634" s="122" t="s">
        <v>585</v>
      </c>
      <c r="R634" s="122" t="s">
        <v>585</v>
      </c>
      <c r="T634" s="122" t="s">
        <v>585</v>
      </c>
    </row>
    <row r="635">
      <c r="B635" s="122"/>
      <c r="C635" s="122"/>
      <c r="D635" s="345"/>
      <c r="E635" s="346"/>
      <c r="F635" s="346"/>
      <c r="G635" s="122" t="s">
        <v>585</v>
      </c>
      <c r="H635" s="122">
        <v>0.0</v>
      </c>
      <c r="J635" s="133">
        <v>0.0</v>
      </c>
      <c r="K635" s="419"/>
      <c r="L635" s="122" t="s">
        <v>585</v>
      </c>
      <c r="N635" s="133" t="s">
        <v>585</v>
      </c>
      <c r="P635" s="122" t="s">
        <v>585</v>
      </c>
      <c r="R635" s="122" t="s">
        <v>585</v>
      </c>
      <c r="T635" s="122" t="s">
        <v>585</v>
      </c>
    </row>
    <row r="636">
      <c r="B636" s="122"/>
      <c r="C636" s="122"/>
      <c r="D636" s="345"/>
      <c r="E636" s="346"/>
      <c r="F636" s="346"/>
      <c r="G636" s="122" t="s">
        <v>585</v>
      </c>
      <c r="H636" s="122">
        <v>0.0</v>
      </c>
      <c r="J636" s="133">
        <v>0.0</v>
      </c>
      <c r="K636" s="419"/>
      <c r="L636" s="122" t="s">
        <v>585</v>
      </c>
      <c r="N636" s="133" t="s">
        <v>585</v>
      </c>
      <c r="P636" s="122" t="s">
        <v>585</v>
      </c>
      <c r="R636" s="122" t="s">
        <v>585</v>
      </c>
      <c r="T636" s="122" t="s">
        <v>585</v>
      </c>
    </row>
    <row r="637">
      <c r="B637" s="122"/>
      <c r="C637" s="122"/>
      <c r="D637" s="345"/>
      <c r="E637" s="346"/>
      <c r="F637" s="346"/>
      <c r="G637" s="122" t="s">
        <v>585</v>
      </c>
      <c r="H637" s="122">
        <v>0.0</v>
      </c>
      <c r="J637" s="133">
        <v>0.0</v>
      </c>
      <c r="K637" s="419"/>
      <c r="L637" s="122" t="s">
        <v>585</v>
      </c>
      <c r="N637" s="133" t="s">
        <v>585</v>
      </c>
      <c r="P637" s="122" t="s">
        <v>585</v>
      </c>
      <c r="R637" s="122" t="s">
        <v>585</v>
      </c>
      <c r="T637" s="122" t="s">
        <v>585</v>
      </c>
    </row>
    <row r="638">
      <c r="B638" s="122"/>
      <c r="C638" s="122"/>
      <c r="D638" s="345"/>
      <c r="E638" s="346"/>
      <c r="F638" s="346"/>
      <c r="G638" s="122" t="s">
        <v>585</v>
      </c>
      <c r="H638" s="122">
        <v>0.0</v>
      </c>
      <c r="J638" s="133">
        <v>0.0</v>
      </c>
      <c r="K638" s="419"/>
      <c r="L638" s="122" t="s">
        <v>585</v>
      </c>
      <c r="N638" s="133" t="s">
        <v>585</v>
      </c>
      <c r="P638" s="122" t="s">
        <v>585</v>
      </c>
      <c r="R638" s="122" t="s">
        <v>585</v>
      </c>
      <c r="T638" s="122" t="s">
        <v>585</v>
      </c>
    </row>
    <row r="639">
      <c r="B639" s="122"/>
      <c r="C639" s="122"/>
      <c r="D639" s="345"/>
      <c r="E639" s="346"/>
      <c r="F639" s="346"/>
      <c r="G639" s="122" t="s">
        <v>585</v>
      </c>
      <c r="H639" s="122">
        <v>0.0</v>
      </c>
      <c r="J639" s="133">
        <v>0.0</v>
      </c>
      <c r="K639" s="419"/>
      <c r="L639" s="122" t="s">
        <v>585</v>
      </c>
      <c r="N639" s="133" t="s">
        <v>585</v>
      </c>
      <c r="P639" s="122" t="s">
        <v>585</v>
      </c>
      <c r="R639" s="122" t="s">
        <v>585</v>
      </c>
      <c r="T639" s="122" t="s">
        <v>585</v>
      </c>
    </row>
    <row r="640">
      <c r="B640" s="122"/>
      <c r="C640" s="122"/>
      <c r="D640" s="345"/>
      <c r="E640" s="346"/>
      <c r="F640" s="346"/>
      <c r="G640" s="122" t="s">
        <v>585</v>
      </c>
      <c r="H640" s="122">
        <v>0.0</v>
      </c>
      <c r="J640" s="133">
        <v>0.0</v>
      </c>
      <c r="K640" s="419"/>
      <c r="L640" s="122" t="s">
        <v>585</v>
      </c>
      <c r="N640" s="133" t="s">
        <v>585</v>
      </c>
      <c r="P640" s="122" t="s">
        <v>585</v>
      </c>
      <c r="R640" s="122" t="s">
        <v>585</v>
      </c>
      <c r="T640" s="122" t="s">
        <v>585</v>
      </c>
    </row>
    <row r="641">
      <c r="B641" s="122"/>
      <c r="C641" s="122"/>
      <c r="D641" s="345"/>
      <c r="E641" s="346"/>
      <c r="F641" s="346"/>
      <c r="G641" s="122" t="s">
        <v>585</v>
      </c>
      <c r="H641" s="122">
        <v>0.0</v>
      </c>
      <c r="J641" s="133">
        <v>0.0</v>
      </c>
      <c r="K641" s="419"/>
      <c r="L641" s="122" t="s">
        <v>585</v>
      </c>
      <c r="N641" s="133" t="s">
        <v>585</v>
      </c>
      <c r="P641" s="122" t="s">
        <v>585</v>
      </c>
      <c r="R641" s="122" t="s">
        <v>585</v>
      </c>
      <c r="T641" s="122" t="s">
        <v>585</v>
      </c>
    </row>
    <row r="642">
      <c r="B642" s="122"/>
      <c r="C642" s="122"/>
      <c r="D642" s="345"/>
      <c r="E642" s="346"/>
      <c r="F642" s="346"/>
      <c r="G642" s="122" t="s">
        <v>585</v>
      </c>
      <c r="H642" s="122">
        <v>0.0</v>
      </c>
      <c r="J642" s="133">
        <v>0.0</v>
      </c>
      <c r="K642" s="419"/>
      <c r="L642" s="122" t="s">
        <v>585</v>
      </c>
      <c r="N642" s="133" t="s">
        <v>585</v>
      </c>
      <c r="P642" s="122" t="s">
        <v>585</v>
      </c>
      <c r="R642" s="122" t="s">
        <v>585</v>
      </c>
      <c r="T642" s="122" t="s">
        <v>585</v>
      </c>
    </row>
    <row r="643">
      <c r="B643" s="122"/>
      <c r="C643" s="122"/>
      <c r="D643" s="345"/>
      <c r="E643" s="346"/>
      <c r="F643" s="346"/>
      <c r="G643" s="122" t="s">
        <v>585</v>
      </c>
      <c r="H643" s="122">
        <v>0.0</v>
      </c>
      <c r="J643" s="133">
        <v>0.0</v>
      </c>
      <c r="K643" s="419"/>
      <c r="L643" s="122" t="s">
        <v>585</v>
      </c>
      <c r="N643" s="133" t="s">
        <v>585</v>
      </c>
      <c r="P643" s="122" t="s">
        <v>585</v>
      </c>
      <c r="R643" s="122" t="s">
        <v>585</v>
      </c>
      <c r="T643" s="122" t="s">
        <v>585</v>
      </c>
    </row>
    <row r="644">
      <c r="B644" s="122"/>
      <c r="C644" s="122"/>
      <c r="D644" s="345"/>
      <c r="E644" s="346"/>
      <c r="F644" s="346"/>
      <c r="G644" s="122" t="s">
        <v>585</v>
      </c>
      <c r="H644" s="122">
        <v>0.0</v>
      </c>
      <c r="J644" s="133">
        <v>0.0</v>
      </c>
      <c r="K644" s="419"/>
      <c r="L644" s="122" t="s">
        <v>585</v>
      </c>
      <c r="N644" s="133" t="s">
        <v>585</v>
      </c>
      <c r="P644" s="122" t="s">
        <v>585</v>
      </c>
      <c r="R644" s="122" t="s">
        <v>585</v>
      </c>
      <c r="T644" s="122" t="s">
        <v>585</v>
      </c>
    </row>
    <row r="645">
      <c r="B645" s="122"/>
      <c r="C645" s="122"/>
      <c r="D645" s="345"/>
      <c r="E645" s="346"/>
      <c r="F645" s="346"/>
      <c r="G645" s="122" t="s">
        <v>585</v>
      </c>
      <c r="H645" s="122">
        <v>0.0</v>
      </c>
      <c r="J645" s="133">
        <v>0.0</v>
      </c>
      <c r="K645" s="419"/>
      <c r="L645" s="122" t="s">
        <v>585</v>
      </c>
      <c r="N645" s="133" t="s">
        <v>585</v>
      </c>
      <c r="P645" s="122" t="s">
        <v>585</v>
      </c>
      <c r="R645" s="122" t="s">
        <v>585</v>
      </c>
      <c r="T645" s="122" t="s">
        <v>585</v>
      </c>
    </row>
    <row r="646">
      <c r="B646" s="122"/>
      <c r="C646" s="122"/>
      <c r="D646" s="345"/>
      <c r="E646" s="346"/>
      <c r="F646" s="346"/>
      <c r="G646" s="122" t="s">
        <v>585</v>
      </c>
      <c r="H646" s="122">
        <v>0.0</v>
      </c>
      <c r="J646" s="133">
        <v>0.0</v>
      </c>
      <c r="K646" s="419"/>
      <c r="L646" s="122" t="s">
        <v>585</v>
      </c>
      <c r="N646" s="133" t="s">
        <v>585</v>
      </c>
      <c r="P646" s="122" t="s">
        <v>585</v>
      </c>
      <c r="R646" s="122" t="s">
        <v>585</v>
      </c>
      <c r="T646" s="122" t="s">
        <v>585</v>
      </c>
    </row>
    <row r="647">
      <c r="B647" s="122"/>
      <c r="C647" s="122"/>
      <c r="D647" s="345"/>
      <c r="E647" s="346"/>
      <c r="F647" s="346"/>
      <c r="G647" s="122" t="s">
        <v>585</v>
      </c>
      <c r="H647" s="122">
        <v>0.0</v>
      </c>
      <c r="J647" s="133">
        <v>0.0</v>
      </c>
      <c r="K647" s="419"/>
      <c r="L647" s="122" t="s">
        <v>585</v>
      </c>
      <c r="N647" s="133" t="s">
        <v>585</v>
      </c>
      <c r="P647" s="122" t="s">
        <v>585</v>
      </c>
      <c r="R647" s="122" t="s">
        <v>585</v>
      </c>
      <c r="T647" s="122" t="s">
        <v>585</v>
      </c>
    </row>
    <row r="648">
      <c r="B648" s="122"/>
      <c r="C648" s="122"/>
      <c r="D648" s="345"/>
      <c r="E648" s="346"/>
      <c r="F648" s="346"/>
      <c r="G648" s="122" t="s">
        <v>585</v>
      </c>
      <c r="H648" s="122">
        <v>0.0</v>
      </c>
      <c r="J648" s="133">
        <v>0.0</v>
      </c>
      <c r="K648" s="419"/>
      <c r="L648" s="122" t="s">
        <v>585</v>
      </c>
      <c r="N648" s="133" t="s">
        <v>585</v>
      </c>
      <c r="P648" s="122" t="s">
        <v>585</v>
      </c>
      <c r="R648" s="122" t="s">
        <v>585</v>
      </c>
      <c r="T648" s="122" t="s">
        <v>585</v>
      </c>
    </row>
    <row r="649">
      <c r="B649" s="122"/>
      <c r="C649" s="122"/>
      <c r="D649" s="345"/>
      <c r="E649" s="346"/>
      <c r="F649" s="346"/>
      <c r="G649" s="122" t="s">
        <v>585</v>
      </c>
      <c r="H649" s="122">
        <v>0.0</v>
      </c>
      <c r="J649" s="133">
        <v>0.0</v>
      </c>
      <c r="K649" s="419"/>
      <c r="L649" s="122" t="s">
        <v>585</v>
      </c>
      <c r="N649" s="133" t="s">
        <v>585</v>
      </c>
      <c r="P649" s="122" t="s">
        <v>585</v>
      </c>
      <c r="R649" s="122" t="s">
        <v>585</v>
      </c>
      <c r="T649" s="122" t="s">
        <v>585</v>
      </c>
    </row>
    <row r="650">
      <c r="B650" s="122"/>
      <c r="C650" s="122"/>
      <c r="D650" s="345"/>
      <c r="E650" s="346"/>
      <c r="F650" s="346"/>
      <c r="G650" s="122" t="s">
        <v>585</v>
      </c>
      <c r="H650" s="122">
        <v>0.0</v>
      </c>
      <c r="J650" s="133">
        <v>0.0</v>
      </c>
      <c r="K650" s="419"/>
      <c r="L650" s="122" t="s">
        <v>585</v>
      </c>
      <c r="N650" s="133" t="s">
        <v>585</v>
      </c>
      <c r="P650" s="122" t="s">
        <v>585</v>
      </c>
      <c r="R650" s="122" t="s">
        <v>585</v>
      </c>
      <c r="T650" s="122" t="s">
        <v>585</v>
      </c>
    </row>
    <row r="651">
      <c r="B651" s="122"/>
      <c r="C651" s="122"/>
      <c r="D651" s="345"/>
      <c r="E651" s="346"/>
      <c r="F651" s="346"/>
      <c r="G651" s="122" t="s">
        <v>585</v>
      </c>
      <c r="H651" s="122">
        <v>0.0</v>
      </c>
      <c r="J651" s="133">
        <v>0.0</v>
      </c>
      <c r="K651" s="419"/>
      <c r="L651" s="122" t="s">
        <v>585</v>
      </c>
      <c r="N651" s="133" t="s">
        <v>585</v>
      </c>
      <c r="P651" s="122" t="s">
        <v>585</v>
      </c>
      <c r="R651" s="122" t="s">
        <v>585</v>
      </c>
      <c r="T651" s="122" t="s">
        <v>585</v>
      </c>
    </row>
    <row r="652">
      <c r="B652" s="122"/>
      <c r="C652" s="122"/>
      <c r="D652" s="345"/>
      <c r="E652" s="346"/>
      <c r="F652" s="346"/>
      <c r="G652" s="122" t="s">
        <v>585</v>
      </c>
      <c r="H652" s="122">
        <v>0.0</v>
      </c>
      <c r="J652" s="133">
        <v>0.0</v>
      </c>
      <c r="K652" s="419"/>
      <c r="L652" s="122" t="s">
        <v>585</v>
      </c>
      <c r="N652" s="133" t="s">
        <v>585</v>
      </c>
      <c r="P652" s="122" t="s">
        <v>585</v>
      </c>
      <c r="R652" s="122" t="s">
        <v>585</v>
      </c>
      <c r="T652" s="122" t="s">
        <v>585</v>
      </c>
    </row>
    <row r="653">
      <c r="B653" s="122"/>
      <c r="C653" s="122"/>
      <c r="D653" s="345"/>
      <c r="E653" s="346"/>
      <c r="F653" s="346"/>
      <c r="G653" s="122" t="s">
        <v>585</v>
      </c>
      <c r="H653" s="122">
        <v>0.0</v>
      </c>
      <c r="J653" s="133">
        <v>0.0</v>
      </c>
      <c r="K653" s="419"/>
      <c r="L653" s="122" t="s">
        <v>585</v>
      </c>
      <c r="N653" s="133" t="s">
        <v>585</v>
      </c>
      <c r="P653" s="122" t="s">
        <v>585</v>
      </c>
      <c r="R653" s="122" t="s">
        <v>585</v>
      </c>
      <c r="T653" s="122" t="s">
        <v>585</v>
      </c>
    </row>
    <row r="654">
      <c r="B654" s="122"/>
      <c r="C654" s="122"/>
      <c r="D654" s="345"/>
      <c r="E654" s="346"/>
      <c r="F654" s="346"/>
      <c r="G654" s="122" t="s">
        <v>585</v>
      </c>
      <c r="H654" s="122">
        <v>0.0</v>
      </c>
      <c r="J654" s="133">
        <v>0.0</v>
      </c>
      <c r="K654" s="419"/>
      <c r="L654" s="122" t="s">
        <v>585</v>
      </c>
      <c r="N654" s="133" t="s">
        <v>585</v>
      </c>
      <c r="P654" s="122" t="s">
        <v>585</v>
      </c>
      <c r="R654" s="122" t="s">
        <v>585</v>
      </c>
      <c r="T654" s="122" t="s">
        <v>585</v>
      </c>
    </row>
    <row r="655">
      <c r="B655" s="122"/>
      <c r="C655" s="122"/>
      <c r="D655" s="345"/>
      <c r="E655" s="346"/>
      <c r="F655" s="346"/>
      <c r="G655" s="122" t="s">
        <v>585</v>
      </c>
      <c r="H655" s="122">
        <v>0.0</v>
      </c>
      <c r="J655" s="133">
        <v>0.0</v>
      </c>
      <c r="K655" s="419"/>
      <c r="L655" s="122" t="s">
        <v>585</v>
      </c>
      <c r="N655" s="133" t="s">
        <v>585</v>
      </c>
      <c r="P655" s="122" t="s">
        <v>585</v>
      </c>
      <c r="R655" s="122" t="s">
        <v>585</v>
      </c>
      <c r="T655" s="122" t="s">
        <v>585</v>
      </c>
    </row>
    <row r="656">
      <c r="B656" s="122"/>
      <c r="C656" s="122"/>
      <c r="D656" s="345"/>
      <c r="E656" s="346"/>
      <c r="F656" s="346"/>
      <c r="G656" s="122" t="s">
        <v>585</v>
      </c>
      <c r="H656" s="122">
        <v>0.0</v>
      </c>
      <c r="J656" s="133">
        <v>0.0</v>
      </c>
      <c r="K656" s="419"/>
      <c r="L656" s="122" t="s">
        <v>585</v>
      </c>
      <c r="N656" s="133" t="s">
        <v>585</v>
      </c>
      <c r="P656" s="122" t="s">
        <v>585</v>
      </c>
      <c r="R656" s="122" t="s">
        <v>585</v>
      </c>
      <c r="T656" s="122" t="s">
        <v>585</v>
      </c>
    </row>
    <row r="657">
      <c r="B657" s="122"/>
      <c r="C657" s="122"/>
      <c r="D657" s="345"/>
      <c r="E657" s="346"/>
      <c r="F657" s="346"/>
      <c r="G657" s="122" t="s">
        <v>585</v>
      </c>
      <c r="H657" s="122">
        <v>0.0</v>
      </c>
      <c r="J657" s="133">
        <v>0.0</v>
      </c>
      <c r="K657" s="419"/>
      <c r="L657" s="122" t="s">
        <v>585</v>
      </c>
      <c r="N657" s="133" t="s">
        <v>585</v>
      </c>
      <c r="P657" s="122" t="s">
        <v>585</v>
      </c>
      <c r="R657" s="122" t="s">
        <v>585</v>
      </c>
      <c r="T657" s="122" t="s">
        <v>585</v>
      </c>
    </row>
    <row r="658">
      <c r="B658" s="122"/>
      <c r="C658" s="122"/>
      <c r="D658" s="345"/>
      <c r="E658" s="346"/>
      <c r="F658" s="346"/>
      <c r="G658" s="122" t="s">
        <v>585</v>
      </c>
      <c r="H658" s="122">
        <v>0.0</v>
      </c>
      <c r="J658" s="133">
        <v>0.0</v>
      </c>
      <c r="K658" s="419"/>
      <c r="L658" s="122" t="s">
        <v>585</v>
      </c>
      <c r="N658" s="133" t="s">
        <v>585</v>
      </c>
      <c r="P658" s="122" t="s">
        <v>585</v>
      </c>
      <c r="R658" s="122" t="s">
        <v>585</v>
      </c>
      <c r="T658" s="122" t="s">
        <v>585</v>
      </c>
    </row>
    <row r="659">
      <c r="B659" s="122"/>
      <c r="C659" s="122"/>
      <c r="D659" s="345"/>
      <c r="E659" s="346"/>
      <c r="F659" s="346"/>
      <c r="G659" s="122" t="s">
        <v>585</v>
      </c>
      <c r="H659" s="122">
        <v>0.0</v>
      </c>
      <c r="J659" s="133">
        <v>0.0</v>
      </c>
      <c r="K659" s="419"/>
      <c r="L659" s="122" t="s">
        <v>585</v>
      </c>
      <c r="N659" s="133" t="s">
        <v>585</v>
      </c>
      <c r="P659" s="122" t="s">
        <v>585</v>
      </c>
      <c r="R659" s="122" t="s">
        <v>585</v>
      </c>
      <c r="T659" s="122" t="s">
        <v>585</v>
      </c>
    </row>
    <row r="660">
      <c r="B660" s="122"/>
      <c r="C660" s="122"/>
      <c r="D660" s="345"/>
      <c r="E660" s="346"/>
      <c r="F660" s="346"/>
      <c r="G660" s="122" t="s">
        <v>585</v>
      </c>
      <c r="H660" s="122">
        <v>0.0</v>
      </c>
      <c r="J660" s="133">
        <v>0.0</v>
      </c>
      <c r="K660" s="419"/>
      <c r="L660" s="122" t="s">
        <v>585</v>
      </c>
      <c r="N660" s="133" t="s">
        <v>585</v>
      </c>
      <c r="P660" s="122" t="s">
        <v>585</v>
      </c>
      <c r="R660" s="122" t="s">
        <v>585</v>
      </c>
      <c r="T660" s="122" t="s">
        <v>585</v>
      </c>
    </row>
    <row r="661">
      <c r="B661" s="122"/>
      <c r="C661" s="122"/>
      <c r="D661" s="345"/>
      <c r="E661" s="346"/>
      <c r="F661" s="346"/>
      <c r="G661" s="122" t="s">
        <v>585</v>
      </c>
      <c r="H661" s="122">
        <v>0.0</v>
      </c>
      <c r="J661" s="133">
        <v>0.0</v>
      </c>
      <c r="K661" s="419"/>
      <c r="L661" s="122" t="s">
        <v>585</v>
      </c>
      <c r="N661" s="133" t="s">
        <v>585</v>
      </c>
      <c r="P661" s="122" t="s">
        <v>585</v>
      </c>
      <c r="R661" s="122" t="s">
        <v>585</v>
      </c>
      <c r="T661" s="122" t="s">
        <v>585</v>
      </c>
    </row>
    <row r="662">
      <c r="B662" s="122"/>
      <c r="C662" s="122"/>
      <c r="D662" s="345"/>
      <c r="E662" s="346"/>
      <c r="F662" s="346"/>
      <c r="G662" s="122" t="s">
        <v>585</v>
      </c>
      <c r="H662" s="122">
        <v>0.0</v>
      </c>
      <c r="J662" s="133">
        <v>0.0</v>
      </c>
      <c r="K662" s="419"/>
      <c r="L662" s="122" t="s">
        <v>585</v>
      </c>
      <c r="N662" s="133" t="s">
        <v>585</v>
      </c>
      <c r="P662" s="122" t="s">
        <v>585</v>
      </c>
      <c r="R662" s="122" t="s">
        <v>585</v>
      </c>
      <c r="T662" s="122" t="s">
        <v>585</v>
      </c>
    </row>
    <row r="663">
      <c r="B663" s="122"/>
      <c r="C663" s="122"/>
      <c r="D663" s="345"/>
      <c r="E663" s="346"/>
      <c r="F663" s="346"/>
      <c r="G663" s="122" t="s">
        <v>585</v>
      </c>
      <c r="H663" s="122">
        <v>0.0</v>
      </c>
      <c r="J663" s="133">
        <v>0.0</v>
      </c>
      <c r="K663" s="419"/>
      <c r="L663" s="122" t="s">
        <v>585</v>
      </c>
      <c r="N663" s="133" t="s">
        <v>585</v>
      </c>
      <c r="P663" s="122" t="s">
        <v>585</v>
      </c>
      <c r="R663" s="122" t="s">
        <v>585</v>
      </c>
      <c r="T663" s="122" t="s">
        <v>585</v>
      </c>
    </row>
    <row r="664">
      <c r="B664" s="122"/>
      <c r="C664" s="122"/>
      <c r="D664" s="345"/>
      <c r="E664" s="346"/>
      <c r="F664" s="346"/>
      <c r="G664" s="122" t="s">
        <v>585</v>
      </c>
      <c r="H664" s="122">
        <v>0.0</v>
      </c>
      <c r="J664" s="133">
        <v>0.0</v>
      </c>
      <c r="K664" s="419"/>
      <c r="L664" s="122" t="s">
        <v>585</v>
      </c>
      <c r="N664" s="133" t="s">
        <v>585</v>
      </c>
      <c r="P664" s="122" t="s">
        <v>585</v>
      </c>
      <c r="R664" s="122" t="s">
        <v>585</v>
      </c>
      <c r="T664" s="122" t="s">
        <v>585</v>
      </c>
    </row>
    <row r="665">
      <c r="B665" s="122"/>
      <c r="C665" s="122"/>
      <c r="D665" s="345"/>
      <c r="E665" s="346"/>
      <c r="F665" s="346"/>
      <c r="G665" s="122" t="s">
        <v>585</v>
      </c>
      <c r="H665" s="122">
        <v>0.0</v>
      </c>
      <c r="J665" s="133">
        <v>0.0</v>
      </c>
      <c r="K665" s="419"/>
      <c r="L665" s="122" t="s">
        <v>585</v>
      </c>
      <c r="N665" s="133" t="s">
        <v>585</v>
      </c>
      <c r="P665" s="122" t="s">
        <v>585</v>
      </c>
      <c r="R665" s="122" t="s">
        <v>585</v>
      </c>
      <c r="T665" s="122" t="s">
        <v>585</v>
      </c>
    </row>
    <row r="666">
      <c r="B666" s="122"/>
      <c r="C666" s="122"/>
      <c r="D666" s="345"/>
      <c r="E666" s="346"/>
      <c r="F666" s="346"/>
      <c r="G666" s="122" t="s">
        <v>585</v>
      </c>
      <c r="H666" s="122">
        <v>0.0</v>
      </c>
      <c r="J666" s="133">
        <v>0.0</v>
      </c>
      <c r="K666" s="419"/>
      <c r="L666" s="122" t="s">
        <v>585</v>
      </c>
      <c r="N666" s="133" t="s">
        <v>585</v>
      </c>
      <c r="P666" s="122" t="s">
        <v>585</v>
      </c>
      <c r="R666" s="122" t="s">
        <v>585</v>
      </c>
      <c r="T666" s="122" t="s">
        <v>585</v>
      </c>
    </row>
    <row r="667">
      <c r="B667" s="122"/>
      <c r="C667" s="122"/>
      <c r="D667" s="345"/>
      <c r="E667" s="346"/>
      <c r="F667" s="346"/>
      <c r="G667" s="122" t="s">
        <v>585</v>
      </c>
      <c r="H667" s="122">
        <v>0.0</v>
      </c>
      <c r="J667" s="133">
        <v>0.0</v>
      </c>
      <c r="K667" s="419"/>
      <c r="L667" s="122" t="s">
        <v>585</v>
      </c>
      <c r="N667" s="133" t="s">
        <v>585</v>
      </c>
      <c r="P667" s="122" t="s">
        <v>585</v>
      </c>
      <c r="R667" s="122" t="s">
        <v>585</v>
      </c>
      <c r="T667" s="122" t="s">
        <v>585</v>
      </c>
    </row>
    <row r="668">
      <c r="B668" s="122"/>
      <c r="C668" s="122"/>
      <c r="D668" s="345"/>
      <c r="E668" s="346"/>
      <c r="F668" s="346"/>
      <c r="G668" s="122" t="s">
        <v>585</v>
      </c>
      <c r="H668" s="122">
        <v>0.0</v>
      </c>
      <c r="J668" s="133">
        <v>0.0</v>
      </c>
      <c r="K668" s="419"/>
      <c r="L668" s="122" t="s">
        <v>585</v>
      </c>
      <c r="N668" s="133" t="s">
        <v>585</v>
      </c>
      <c r="P668" s="122" t="s">
        <v>585</v>
      </c>
      <c r="R668" s="122" t="s">
        <v>585</v>
      </c>
      <c r="T668" s="122" t="s">
        <v>585</v>
      </c>
    </row>
    <row r="669">
      <c r="B669" s="122"/>
      <c r="C669" s="122"/>
      <c r="D669" s="345"/>
      <c r="E669" s="346"/>
      <c r="F669" s="346"/>
      <c r="G669" s="122" t="s">
        <v>585</v>
      </c>
      <c r="H669" s="122">
        <v>0.0</v>
      </c>
      <c r="J669" s="133">
        <v>0.0</v>
      </c>
      <c r="K669" s="419"/>
      <c r="L669" s="122" t="s">
        <v>585</v>
      </c>
      <c r="N669" s="133" t="s">
        <v>585</v>
      </c>
      <c r="P669" s="122" t="s">
        <v>585</v>
      </c>
      <c r="R669" s="122" t="s">
        <v>585</v>
      </c>
      <c r="T669" s="122" t="s">
        <v>585</v>
      </c>
    </row>
    <row r="670">
      <c r="B670" s="122"/>
      <c r="C670" s="122"/>
      <c r="D670" s="345"/>
      <c r="E670" s="346"/>
      <c r="F670" s="346"/>
      <c r="G670" s="122" t="s">
        <v>585</v>
      </c>
      <c r="H670" s="122">
        <v>0.0</v>
      </c>
      <c r="J670" s="133">
        <v>0.0</v>
      </c>
      <c r="K670" s="419"/>
      <c r="L670" s="122" t="s">
        <v>585</v>
      </c>
      <c r="N670" s="133" t="s">
        <v>585</v>
      </c>
      <c r="P670" s="122" t="s">
        <v>585</v>
      </c>
      <c r="R670" s="122" t="s">
        <v>585</v>
      </c>
      <c r="T670" s="122" t="s">
        <v>585</v>
      </c>
    </row>
    <row r="671">
      <c r="B671" s="122"/>
      <c r="C671" s="122"/>
      <c r="D671" s="345"/>
      <c r="E671" s="346"/>
      <c r="F671" s="346"/>
      <c r="G671" s="122" t="s">
        <v>585</v>
      </c>
      <c r="H671" s="122">
        <v>0.0</v>
      </c>
      <c r="J671" s="133">
        <v>0.0</v>
      </c>
      <c r="K671" s="419"/>
      <c r="L671" s="122" t="s">
        <v>585</v>
      </c>
      <c r="N671" s="133" t="s">
        <v>585</v>
      </c>
      <c r="P671" s="122" t="s">
        <v>585</v>
      </c>
      <c r="R671" s="122" t="s">
        <v>585</v>
      </c>
      <c r="T671" s="122" t="s">
        <v>585</v>
      </c>
    </row>
    <row r="672">
      <c r="B672" s="122"/>
      <c r="C672" s="122"/>
      <c r="D672" s="345"/>
      <c r="E672" s="346"/>
      <c r="F672" s="346"/>
      <c r="G672" s="122" t="s">
        <v>585</v>
      </c>
      <c r="H672" s="122">
        <v>0.0</v>
      </c>
      <c r="J672" s="133">
        <v>0.0</v>
      </c>
      <c r="K672" s="419"/>
      <c r="L672" s="122" t="s">
        <v>585</v>
      </c>
      <c r="N672" s="133" t="s">
        <v>585</v>
      </c>
      <c r="P672" s="122" t="s">
        <v>585</v>
      </c>
      <c r="R672" s="122" t="s">
        <v>585</v>
      </c>
      <c r="T672" s="122" t="s">
        <v>585</v>
      </c>
    </row>
    <row r="673">
      <c r="B673" s="122"/>
      <c r="C673" s="122"/>
      <c r="D673" s="345"/>
      <c r="E673" s="346"/>
      <c r="F673" s="346"/>
      <c r="G673" s="122" t="s">
        <v>585</v>
      </c>
      <c r="H673" s="122">
        <v>0.0</v>
      </c>
      <c r="J673" s="133">
        <v>0.0</v>
      </c>
      <c r="K673" s="419"/>
      <c r="L673" s="122" t="s">
        <v>585</v>
      </c>
      <c r="N673" s="133" t="s">
        <v>585</v>
      </c>
      <c r="P673" s="122" t="s">
        <v>585</v>
      </c>
      <c r="R673" s="122" t="s">
        <v>585</v>
      </c>
      <c r="T673" s="122" t="s">
        <v>585</v>
      </c>
    </row>
    <row r="674">
      <c r="B674" s="122"/>
      <c r="C674" s="122"/>
      <c r="D674" s="345"/>
      <c r="E674" s="346"/>
      <c r="F674" s="346"/>
      <c r="G674" s="122" t="s">
        <v>585</v>
      </c>
      <c r="H674" s="122">
        <v>0.0</v>
      </c>
      <c r="J674" s="133">
        <v>0.0</v>
      </c>
      <c r="K674" s="419"/>
      <c r="L674" s="122" t="s">
        <v>585</v>
      </c>
      <c r="N674" s="133" t="s">
        <v>585</v>
      </c>
      <c r="P674" s="122" t="s">
        <v>585</v>
      </c>
      <c r="R674" s="122" t="s">
        <v>585</v>
      </c>
      <c r="T674" s="122" t="s">
        <v>585</v>
      </c>
    </row>
    <row r="675">
      <c r="B675" s="122"/>
      <c r="C675" s="122"/>
      <c r="D675" s="345"/>
      <c r="E675" s="346"/>
      <c r="F675" s="346"/>
      <c r="G675" s="122" t="s">
        <v>585</v>
      </c>
      <c r="H675" s="122">
        <v>0.0</v>
      </c>
      <c r="J675" s="133">
        <v>0.0</v>
      </c>
      <c r="K675" s="419"/>
      <c r="L675" s="122" t="s">
        <v>585</v>
      </c>
      <c r="N675" s="133" t="s">
        <v>585</v>
      </c>
      <c r="P675" s="122" t="s">
        <v>585</v>
      </c>
      <c r="R675" s="122" t="s">
        <v>585</v>
      </c>
      <c r="T675" s="122" t="s">
        <v>585</v>
      </c>
    </row>
    <row r="676">
      <c r="B676" s="122"/>
      <c r="C676" s="122"/>
      <c r="D676" s="345"/>
      <c r="E676" s="346"/>
      <c r="F676" s="346"/>
      <c r="G676" s="122" t="s">
        <v>585</v>
      </c>
      <c r="H676" s="122">
        <v>0.0</v>
      </c>
      <c r="J676" s="133">
        <v>0.0</v>
      </c>
      <c r="K676" s="419"/>
      <c r="L676" s="122" t="s">
        <v>585</v>
      </c>
      <c r="N676" s="133" t="s">
        <v>585</v>
      </c>
      <c r="P676" s="122" t="s">
        <v>585</v>
      </c>
      <c r="R676" s="122" t="s">
        <v>585</v>
      </c>
      <c r="T676" s="122" t="s">
        <v>585</v>
      </c>
    </row>
    <row r="677">
      <c r="B677" s="122"/>
      <c r="C677" s="122"/>
      <c r="D677" s="345"/>
      <c r="E677" s="346"/>
      <c r="F677" s="346"/>
      <c r="G677" s="122" t="s">
        <v>585</v>
      </c>
      <c r="H677" s="122">
        <v>0.0</v>
      </c>
      <c r="J677" s="133">
        <v>0.0</v>
      </c>
      <c r="K677" s="419"/>
      <c r="L677" s="122" t="s">
        <v>585</v>
      </c>
      <c r="N677" s="133" t="s">
        <v>585</v>
      </c>
      <c r="P677" s="122" t="s">
        <v>585</v>
      </c>
      <c r="R677" s="122" t="s">
        <v>585</v>
      </c>
      <c r="T677" s="122" t="s">
        <v>585</v>
      </c>
    </row>
    <row r="678">
      <c r="B678" s="122"/>
      <c r="C678" s="122"/>
      <c r="D678" s="345"/>
      <c r="E678" s="346"/>
      <c r="F678" s="346"/>
      <c r="G678" s="122" t="s">
        <v>585</v>
      </c>
      <c r="H678" s="122">
        <v>0.0</v>
      </c>
      <c r="J678" s="133">
        <v>0.0</v>
      </c>
      <c r="K678" s="419"/>
      <c r="L678" s="122" t="s">
        <v>585</v>
      </c>
      <c r="N678" s="133" t="s">
        <v>585</v>
      </c>
      <c r="P678" s="122" t="s">
        <v>585</v>
      </c>
      <c r="R678" s="122" t="s">
        <v>585</v>
      </c>
      <c r="T678" s="122" t="s">
        <v>585</v>
      </c>
    </row>
    <row r="679">
      <c r="B679" s="122"/>
      <c r="C679" s="122"/>
      <c r="D679" s="345"/>
      <c r="E679" s="346"/>
      <c r="F679" s="346"/>
      <c r="G679" s="122" t="s">
        <v>585</v>
      </c>
      <c r="H679" s="122">
        <v>0.0</v>
      </c>
      <c r="J679" s="133">
        <v>0.0</v>
      </c>
      <c r="K679" s="419"/>
      <c r="L679" s="122" t="s">
        <v>585</v>
      </c>
      <c r="N679" s="133" t="s">
        <v>585</v>
      </c>
      <c r="P679" s="122" t="s">
        <v>585</v>
      </c>
      <c r="R679" s="122" t="s">
        <v>585</v>
      </c>
      <c r="T679" s="122" t="s">
        <v>585</v>
      </c>
    </row>
    <row r="680">
      <c r="B680" s="122"/>
      <c r="C680" s="122"/>
      <c r="D680" s="345"/>
      <c r="E680" s="346"/>
      <c r="F680" s="346"/>
      <c r="G680" s="122" t="s">
        <v>585</v>
      </c>
      <c r="H680" s="122">
        <v>0.0</v>
      </c>
      <c r="J680" s="133">
        <v>0.0</v>
      </c>
      <c r="K680" s="419"/>
      <c r="L680" s="122" t="s">
        <v>585</v>
      </c>
      <c r="N680" s="133" t="s">
        <v>585</v>
      </c>
      <c r="P680" s="122" t="s">
        <v>585</v>
      </c>
      <c r="R680" s="122" t="s">
        <v>585</v>
      </c>
      <c r="T680" s="122" t="s">
        <v>585</v>
      </c>
    </row>
    <row r="681">
      <c r="B681" s="122"/>
      <c r="C681" s="122"/>
      <c r="D681" s="345"/>
      <c r="E681" s="346"/>
      <c r="F681" s="346"/>
      <c r="G681" s="122" t="s">
        <v>585</v>
      </c>
      <c r="H681" s="122">
        <v>0.0</v>
      </c>
      <c r="J681" s="133">
        <v>0.0</v>
      </c>
      <c r="K681" s="419"/>
      <c r="L681" s="122" t="s">
        <v>585</v>
      </c>
      <c r="N681" s="133" t="s">
        <v>585</v>
      </c>
      <c r="P681" s="122" t="s">
        <v>585</v>
      </c>
      <c r="R681" s="122" t="s">
        <v>585</v>
      </c>
      <c r="T681" s="122" t="s">
        <v>585</v>
      </c>
    </row>
    <row r="682">
      <c r="B682" s="122"/>
      <c r="C682" s="122"/>
      <c r="D682" s="345"/>
      <c r="E682" s="346"/>
      <c r="F682" s="346"/>
      <c r="G682" s="122" t="s">
        <v>585</v>
      </c>
      <c r="H682" s="122">
        <v>0.0</v>
      </c>
      <c r="J682" s="133">
        <v>0.0</v>
      </c>
      <c r="K682" s="419"/>
      <c r="L682" s="122" t="s">
        <v>585</v>
      </c>
      <c r="N682" s="133" t="s">
        <v>585</v>
      </c>
      <c r="P682" s="122" t="s">
        <v>585</v>
      </c>
      <c r="R682" s="122" t="s">
        <v>585</v>
      </c>
      <c r="T682" s="122" t="s">
        <v>585</v>
      </c>
    </row>
    <row r="683">
      <c r="B683" s="122"/>
      <c r="C683" s="122"/>
      <c r="D683" s="345"/>
      <c r="E683" s="346"/>
      <c r="F683" s="346"/>
      <c r="G683" s="122" t="s">
        <v>585</v>
      </c>
      <c r="H683" s="122">
        <v>0.0</v>
      </c>
      <c r="J683" s="133">
        <v>0.0</v>
      </c>
      <c r="K683" s="419"/>
      <c r="L683" s="122" t="s">
        <v>585</v>
      </c>
      <c r="N683" s="133" t="s">
        <v>585</v>
      </c>
      <c r="P683" s="122" t="s">
        <v>585</v>
      </c>
      <c r="R683" s="122" t="s">
        <v>585</v>
      </c>
      <c r="T683" s="122" t="s">
        <v>585</v>
      </c>
    </row>
    <row r="684">
      <c r="B684" s="122"/>
      <c r="C684" s="122"/>
      <c r="D684" s="345"/>
      <c r="E684" s="346"/>
      <c r="F684" s="346"/>
      <c r="G684" s="122" t="s">
        <v>585</v>
      </c>
      <c r="H684" s="122">
        <v>0.0</v>
      </c>
      <c r="J684" s="133">
        <v>0.0</v>
      </c>
      <c r="K684" s="419"/>
      <c r="L684" s="122" t="s">
        <v>585</v>
      </c>
      <c r="N684" s="133" t="s">
        <v>585</v>
      </c>
      <c r="P684" s="122" t="s">
        <v>585</v>
      </c>
      <c r="R684" s="122" t="s">
        <v>585</v>
      </c>
      <c r="T684" s="122" t="s">
        <v>585</v>
      </c>
    </row>
    <row r="685">
      <c r="B685" s="122"/>
      <c r="C685" s="122"/>
      <c r="D685" s="345"/>
      <c r="E685" s="346"/>
      <c r="F685" s="346"/>
      <c r="G685" s="122" t="s">
        <v>585</v>
      </c>
      <c r="H685" s="122">
        <v>0.0</v>
      </c>
      <c r="J685" s="133">
        <v>0.0</v>
      </c>
      <c r="K685" s="419"/>
      <c r="L685" s="122" t="s">
        <v>585</v>
      </c>
      <c r="N685" s="133" t="s">
        <v>585</v>
      </c>
      <c r="P685" s="122" t="s">
        <v>585</v>
      </c>
      <c r="R685" s="122" t="s">
        <v>585</v>
      </c>
      <c r="T685" s="122" t="s">
        <v>585</v>
      </c>
    </row>
    <row r="686">
      <c r="B686" s="122"/>
      <c r="C686" s="122"/>
      <c r="D686" s="345"/>
      <c r="E686" s="346"/>
      <c r="F686" s="346"/>
      <c r="G686" s="122" t="s">
        <v>585</v>
      </c>
      <c r="H686" s="122">
        <v>0.0</v>
      </c>
      <c r="J686" s="133">
        <v>0.0</v>
      </c>
      <c r="K686" s="419"/>
      <c r="L686" s="122" t="s">
        <v>585</v>
      </c>
      <c r="N686" s="133" t="s">
        <v>585</v>
      </c>
      <c r="P686" s="122" t="s">
        <v>585</v>
      </c>
      <c r="R686" s="122" t="s">
        <v>585</v>
      </c>
      <c r="T686" s="122" t="s">
        <v>585</v>
      </c>
    </row>
    <row r="687">
      <c r="B687" s="122"/>
      <c r="C687" s="122"/>
      <c r="D687" s="345"/>
      <c r="E687" s="346"/>
      <c r="F687" s="346"/>
      <c r="G687" s="122" t="s">
        <v>585</v>
      </c>
      <c r="H687" s="122">
        <v>0.0</v>
      </c>
      <c r="J687" s="133">
        <v>0.0</v>
      </c>
      <c r="K687" s="419"/>
      <c r="L687" s="122" t="s">
        <v>585</v>
      </c>
      <c r="N687" s="133" t="s">
        <v>585</v>
      </c>
      <c r="P687" s="122" t="s">
        <v>585</v>
      </c>
      <c r="R687" s="122" t="s">
        <v>585</v>
      </c>
      <c r="T687" s="122" t="s">
        <v>585</v>
      </c>
    </row>
    <row r="688">
      <c r="B688" s="122"/>
      <c r="C688" s="122"/>
      <c r="D688" s="345"/>
      <c r="E688" s="346"/>
      <c r="F688" s="346"/>
      <c r="G688" s="122" t="s">
        <v>585</v>
      </c>
      <c r="H688" s="122">
        <v>0.0</v>
      </c>
      <c r="J688" s="133">
        <v>0.0</v>
      </c>
      <c r="K688" s="419"/>
      <c r="L688" s="122" t="s">
        <v>585</v>
      </c>
      <c r="N688" s="133" t="s">
        <v>585</v>
      </c>
      <c r="P688" s="122" t="s">
        <v>585</v>
      </c>
      <c r="R688" s="122" t="s">
        <v>585</v>
      </c>
      <c r="T688" s="122" t="s">
        <v>585</v>
      </c>
    </row>
    <row r="689">
      <c r="B689" s="122"/>
      <c r="C689" s="122"/>
      <c r="D689" s="345"/>
      <c r="E689" s="346"/>
      <c r="F689" s="346"/>
      <c r="G689" s="122" t="s">
        <v>585</v>
      </c>
      <c r="H689" s="122">
        <v>0.0</v>
      </c>
      <c r="J689" s="133">
        <v>0.0</v>
      </c>
      <c r="K689" s="419"/>
      <c r="L689" s="122" t="s">
        <v>585</v>
      </c>
      <c r="N689" s="133" t="s">
        <v>585</v>
      </c>
      <c r="P689" s="122" t="s">
        <v>585</v>
      </c>
      <c r="R689" s="122" t="s">
        <v>585</v>
      </c>
      <c r="T689" s="122" t="s">
        <v>585</v>
      </c>
    </row>
    <row r="690">
      <c r="B690" s="122"/>
      <c r="C690" s="122"/>
      <c r="D690" s="345"/>
      <c r="E690" s="346"/>
      <c r="F690" s="346"/>
      <c r="G690" s="122" t="s">
        <v>585</v>
      </c>
      <c r="H690" s="122">
        <v>0.0</v>
      </c>
      <c r="J690" s="133">
        <v>0.0</v>
      </c>
      <c r="K690" s="419"/>
      <c r="L690" s="122" t="s">
        <v>585</v>
      </c>
      <c r="N690" s="133" t="s">
        <v>585</v>
      </c>
      <c r="P690" s="122" t="s">
        <v>585</v>
      </c>
      <c r="R690" s="122" t="s">
        <v>585</v>
      </c>
      <c r="T690" s="122" t="s">
        <v>585</v>
      </c>
    </row>
    <row r="691">
      <c r="B691" s="122"/>
      <c r="C691" s="122"/>
      <c r="D691" s="345"/>
      <c r="E691" s="346"/>
      <c r="F691" s="346"/>
      <c r="G691" s="122" t="s">
        <v>585</v>
      </c>
      <c r="H691" s="122">
        <v>0.0</v>
      </c>
      <c r="J691" s="133">
        <v>0.0</v>
      </c>
      <c r="K691" s="419"/>
      <c r="L691" s="122" t="s">
        <v>585</v>
      </c>
      <c r="N691" s="133" t="s">
        <v>585</v>
      </c>
      <c r="P691" s="122" t="s">
        <v>585</v>
      </c>
      <c r="R691" s="122" t="s">
        <v>585</v>
      </c>
      <c r="T691" s="122" t="s">
        <v>585</v>
      </c>
    </row>
    <row r="692">
      <c r="B692" s="122"/>
      <c r="C692" s="122"/>
      <c r="D692" s="345"/>
      <c r="E692" s="346"/>
      <c r="F692" s="346"/>
      <c r="G692" s="122" t="s">
        <v>585</v>
      </c>
      <c r="H692" s="122">
        <v>0.0</v>
      </c>
      <c r="J692" s="133">
        <v>0.0</v>
      </c>
      <c r="K692" s="419"/>
      <c r="L692" s="122" t="s">
        <v>585</v>
      </c>
      <c r="N692" s="133" t="s">
        <v>585</v>
      </c>
      <c r="P692" s="122" t="s">
        <v>585</v>
      </c>
      <c r="R692" s="122" t="s">
        <v>585</v>
      </c>
      <c r="T692" s="122" t="s">
        <v>585</v>
      </c>
    </row>
    <row r="693">
      <c r="B693" s="122"/>
      <c r="C693" s="122"/>
      <c r="D693" s="345"/>
      <c r="E693" s="346"/>
      <c r="F693" s="346"/>
      <c r="G693" s="122" t="s">
        <v>585</v>
      </c>
      <c r="H693" s="122">
        <v>0.0</v>
      </c>
      <c r="J693" s="133">
        <v>0.0</v>
      </c>
      <c r="K693" s="419"/>
      <c r="L693" s="122" t="s">
        <v>585</v>
      </c>
      <c r="N693" s="133" t="s">
        <v>585</v>
      </c>
      <c r="P693" s="122" t="s">
        <v>585</v>
      </c>
      <c r="R693" s="122" t="s">
        <v>585</v>
      </c>
      <c r="T693" s="122" t="s">
        <v>585</v>
      </c>
    </row>
    <row r="694">
      <c r="B694" s="122"/>
      <c r="C694" s="122"/>
      <c r="D694" s="345"/>
      <c r="E694" s="346"/>
      <c r="F694" s="346"/>
      <c r="G694" s="122" t="s">
        <v>585</v>
      </c>
      <c r="H694" s="122">
        <v>0.0</v>
      </c>
      <c r="J694" s="133">
        <v>0.0</v>
      </c>
      <c r="K694" s="419"/>
      <c r="L694" s="122" t="s">
        <v>585</v>
      </c>
      <c r="N694" s="133" t="s">
        <v>585</v>
      </c>
      <c r="P694" s="122" t="s">
        <v>585</v>
      </c>
      <c r="R694" s="122" t="s">
        <v>585</v>
      </c>
      <c r="T694" s="122" t="s">
        <v>585</v>
      </c>
    </row>
    <row r="695">
      <c r="B695" s="122"/>
      <c r="C695" s="122"/>
      <c r="D695" s="345"/>
      <c r="E695" s="346"/>
      <c r="F695" s="346"/>
      <c r="G695" s="122" t="s">
        <v>585</v>
      </c>
      <c r="H695" s="122">
        <v>0.0</v>
      </c>
      <c r="J695" s="133">
        <v>0.0</v>
      </c>
      <c r="K695" s="419"/>
      <c r="L695" s="122" t="s">
        <v>585</v>
      </c>
      <c r="N695" s="133" t="s">
        <v>585</v>
      </c>
      <c r="P695" s="122" t="s">
        <v>585</v>
      </c>
      <c r="R695" s="122" t="s">
        <v>585</v>
      </c>
      <c r="T695" s="122" t="s">
        <v>585</v>
      </c>
    </row>
    <row r="696">
      <c r="B696" s="122"/>
      <c r="C696" s="122"/>
      <c r="D696" s="345"/>
      <c r="E696" s="346"/>
      <c r="F696" s="346"/>
      <c r="G696" s="122" t="s">
        <v>585</v>
      </c>
      <c r="H696" s="122">
        <v>0.0</v>
      </c>
      <c r="J696" s="133">
        <v>0.0</v>
      </c>
      <c r="K696" s="419"/>
      <c r="L696" s="122" t="s">
        <v>585</v>
      </c>
      <c r="N696" s="133" t="s">
        <v>585</v>
      </c>
      <c r="P696" s="122" t="s">
        <v>585</v>
      </c>
      <c r="R696" s="122" t="s">
        <v>585</v>
      </c>
      <c r="T696" s="122" t="s">
        <v>585</v>
      </c>
    </row>
    <row r="697">
      <c r="B697" s="122"/>
      <c r="C697" s="122"/>
      <c r="D697" s="345"/>
      <c r="E697" s="346"/>
      <c r="F697" s="346"/>
      <c r="G697" s="122" t="s">
        <v>585</v>
      </c>
      <c r="H697" s="122">
        <v>0.0</v>
      </c>
      <c r="J697" s="133">
        <v>0.0</v>
      </c>
      <c r="K697" s="419"/>
      <c r="L697" s="122" t="s">
        <v>585</v>
      </c>
      <c r="N697" s="133" t="s">
        <v>585</v>
      </c>
      <c r="P697" s="122" t="s">
        <v>585</v>
      </c>
      <c r="R697" s="122" t="s">
        <v>585</v>
      </c>
      <c r="T697" s="122" t="s">
        <v>585</v>
      </c>
    </row>
    <row r="698">
      <c r="B698" s="122"/>
      <c r="C698" s="122"/>
      <c r="D698" s="345"/>
      <c r="E698" s="346"/>
      <c r="F698" s="346"/>
      <c r="G698" s="122" t="s">
        <v>585</v>
      </c>
      <c r="H698" s="122">
        <v>0.0</v>
      </c>
      <c r="J698" s="133">
        <v>0.0</v>
      </c>
      <c r="K698" s="419"/>
      <c r="L698" s="122" t="s">
        <v>585</v>
      </c>
      <c r="N698" s="133" t="s">
        <v>585</v>
      </c>
      <c r="P698" s="122" t="s">
        <v>585</v>
      </c>
      <c r="R698" s="122" t="s">
        <v>585</v>
      </c>
      <c r="T698" s="122" t="s">
        <v>585</v>
      </c>
    </row>
    <row r="699">
      <c r="B699" s="122"/>
      <c r="C699" s="122"/>
      <c r="D699" s="345"/>
      <c r="E699" s="346"/>
      <c r="F699" s="346"/>
      <c r="G699" s="122" t="s">
        <v>585</v>
      </c>
      <c r="H699" s="122">
        <v>0.0</v>
      </c>
      <c r="J699" s="133">
        <v>0.0</v>
      </c>
      <c r="K699" s="419"/>
      <c r="L699" s="122" t="s">
        <v>585</v>
      </c>
      <c r="N699" s="133" t="s">
        <v>585</v>
      </c>
      <c r="P699" s="122" t="s">
        <v>585</v>
      </c>
      <c r="R699" s="122" t="s">
        <v>585</v>
      </c>
      <c r="T699" s="122" t="s">
        <v>585</v>
      </c>
    </row>
    <row r="700">
      <c r="B700" s="122"/>
      <c r="C700" s="122"/>
      <c r="D700" s="345"/>
      <c r="E700" s="346"/>
      <c r="F700" s="346"/>
      <c r="G700" s="122" t="s">
        <v>585</v>
      </c>
      <c r="H700" s="122">
        <v>0.0</v>
      </c>
      <c r="J700" s="133">
        <v>0.0</v>
      </c>
      <c r="K700" s="419"/>
      <c r="L700" s="122" t="s">
        <v>585</v>
      </c>
      <c r="N700" s="133" t="s">
        <v>585</v>
      </c>
      <c r="P700" s="122" t="s">
        <v>585</v>
      </c>
      <c r="R700" s="122" t="s">
        <v>585</v>
      </c>
      <c r="T700" s="122" t="s">
        <v>585</v>
      </c>
    </row>
    <row r="701">
      <c r="B701" s="122"/>
      <c r="C701" s="122"/>
      <c r="D701" s="345"/>
      <c r="E701" s="346"/>
      <c r="F701" s="346"/>
      <c r="G701" s="122" t="s">
        <v>585</v>
      </c>
      <c r="H701" s="122">
        <v>0.0</v>
      </c>
      <c r="J701" s="133">
        <v>0.0</v>
      </c>
      <c r="K701" s="419"/>
      <c r="L701" s="122" t="s">
        <v>585</v>
      </c>
      <c r="N701" s="133" t="s">
        <v>585</v>
      </c>
      <c r="P701" s="122" t="s">
        <v>585</v>
      </c>
      <c r="R701" s="122" t="s">
        <v>585</v>
      </c>
      <c r="T701" s="122" t="s">
        <v>585</v>
      </c>
    </row>
    <row r="702">
      <c r="B702" s="122"/>
      <c r="C702" s="122"/>
      <c r="D702" s="345"/>
      <c r="E702" s="346"/>
      <c r="F702" s="346"/>
      <c r="G702" s="122" t="s">
        <v>585</v>
      </c>
      <c r="H702" s="122">
        <v>0.0</v>
      </c>
      <c r="J702" s="133">
        <v>0.0</v>
      </c>
      <c r="K702" s="419"/>
      <c r="L702" s="122" t="s">
        <v>585</v>
      </c>
      <c r="N702" s="133" t="s">
        <v>585</v>
      </c>
      <c r="P702" s="122" t="s">
        <v>585</v>
      </c>
      <c r="R702" s="122" t="s">
        <v>585</v>
      </c>
      <c r="T702" s="122" t="s">
        <v>585</v>
      </c>
    </row>
    <row r="703">
      <c r="B703" s="122"/>
      <c r="C703" s="122"/>
      <c r="D703" s="345"/>
      <c r="E703" s="346"/>
      <c r="F703" s="346"/>
      <c r="G703" s="122" t="s">
        <v>585</v>
      </c>
      <c r="H703" s="122">
        <v>0.0</v>
      </c>
      <c r="J703" s="133">
        <v>0.0</v>
      </c>
      <c r="K703" s="419"/>
      <c r="L703" s="122" t="s">
        <v>585</v>
      </c>
      <c r="N703" s="133" t="s">
        <v>585</v>
      </c>
      <c r="P703" s="122" t="s">
        <v>585</v>
      </c>
      <c r="R703" s="122" t="s">
        <v>585</v>
      </c>
      <c r="T703" s="122" t="s">
        <v>585</v>
      </c>
    </row>
    <row r="704">
      <c r="B704" s="122"/>
      <c r="C704" s="122"/>
      <c r="D704" s="345"/>
      <c r="E704" s="346"/>
      <c r="F704" s="346"/>
      <c r="G704" s="122" t="s">
        <v>585</v>
      </c>
      <c r="H704" s="122">
        <v>0.0</v>
      </c>
      <c r="J704" s="133">
        <v>0.0</v>
      </c>
      <c r="K704" s="419"/>
      <c r="L704" s="122" t="s">
        <v>585</v>
      </c>
      <c r="N704" s="133" t="s">
        <v>585</v>
      </c>
      <c r="P704" s="122" t="s">
        <v>585</v>
      </c>
      <c r="R704" s="122" t="s">
        <v>585</v>
      </c>
      <c r="T704" s="122" t="s">
        <v>585</v>
      </c>
    </row>
    <row r="705">
      <c r="B705" s="122"/>
      <c r="C705" s="122"/>
      <c r="D705" s="345"/>
      <c r="E705" s="346"/>
      <c r="F705" s="346"/>
      <c r="G705" s="122" t="s">
        <v>585</v>
      </c>
      <c r="H705" s="122">
        <v>0.0</v>
      </c>
      <c r="J705" s="133">
        <v>0.0</v>
      </c>
      <c r="K705" s="419"/>
      <c r="L705" s="122" t="s">
        <v>585</v>
      </c>
      <c r="N705" s="133" t="s">
        <v>585</v>
      </c>
      <c r="P705" s="122" t="s">
        <v>585</v>
      </c>
      <c r="R705" s="122" t="s">
        <v>585</v>
      </c>
      <c r="T705" s="122" t="s">
        <v>585</v>
      </c>
    </row>
    <row r="706">
      <c r="B706" s="122"/>
      <c r="C706" s="122"/>
      <c r="D706" s="345"/>
      <c r="E706" s="346"/>
      <c r="F706" s="346"/>
      <c r="G706" s="122" t="s">
        <v>585</v>
      </c>
      <c r="H706" s="122">
        <v>0.0</v>
      </c>
      <c r="J706" s="133">
        <v>0.0</v>
      </c>
      <c r="K706" s="419"/>
      <c r="L706" s="122" t="s">
        <v>585</v>
      </c>
      <c r="N706" s="133" t="s">
        <v>585</v>
      </c>
      <c r="P706" s="122" t="s">
        <v>585</v>
      </c>
      <c r="R706" s="122" t="s">
        <v>585</v>
      </c>
      <c r="T706" s="122" t="s">
        <v>585</v>
      </c>
    </row>
    <row r="707">
      <c r="B707" s="122"/>
      <c r="C707" s="122"/>
      <c r="D707" s="345"/>
      <c r="E707" s="346"/>
      <c r="F707" s="346"/>
      <c r="G707" s="122" t="s">
        <v>585</v>
      </c>
      <c r="H707" s="122">
        <v>0.0</v>
      </c>
      <c r="J707" s="133">
        <v>0.0</v>
      </c>
      <c r="K707" s="419"/>
      <c r="L707" s="122" t="s">
        <v>585</v>
      </c>
      <c r="N707" s="133" t="s">
        <v>585</v>
      </c>
      <c r="P707" s="122" t="s">
        <v>585</v>
      </c>
      <c r="R707" s="122" t="s">
        <v>585</v>
      </c>
      <c r="T707" s="122" t="s">
        <v>585</v>
      </c>
    </row>
    <row r="708">
      <c r="B708" s="122"/>
      <c r="C708" s="122"/>
      <c r="D708" s="345"/>
      <c r="E708" s="346"/>
      <c r="F708" s="346"/>
      <c r="G708" s="122" t="s">
        <v>585</v>
      </c>
      <c r="H708" s="122">
        <v>0.0</v>
      </c>
      <c r="J708" s="133">
        <v>0.0</v>
      </c>
      <c r="K708" s="419"/>
      <c r="L708" s="122" t="s">
        <v>585</v>
      </c>
      <c r="N708" s="133" t="s">
        <v>585</v>
      </c>
      <c r="P708" s="122" t="s">
        <v>585</v>
      </c>
      <c r="R708" s="122" t="s">
        <v>585</v>
      </c>
      <c r="T708" s="122" t="s">
        <v>585</v>
      </c>
    </row>
    <row r="709">
      <c r="B709" s="122"/>
      <c r="C709" s="122"/>
      <c r="D709" s="345"/>
      <c r="E709" s="346"/>
      <c r="F709" s="346"/>
      <c r="G709" s="122" t="s">
        <v>585</v>
      </c>
      <c r="H709" s="122">
        <v>0.0</v>
      </c>
      <c r="J709" s="133">
        <v>0.0</v>
      </c>
      <c r="K709" s="419"/>
      <c r="L709" s="122" t="s">
        <v>585</v>
      </c>
      <c r="N709" s="133" t="s">
        <v>585</v>
      </c>
      <c r="P709" s="122" t="s">
        <v>585</v>
      </c>
      <c r="R709" s="122" t="s">
        <v>585</v>
      </c>
      <c r="T709" s="122" t="s">
        <v>585</v>
      </c>
    </row>
    <row r="710">
      <c r="B710" s="122"/>
      <c r="C710" s="122"/>
      <c r="D710" s="345"/>
      <c r="E710" s="346"/>
      <c r="F710" s="346"/>
      <c r="G710" s="122" t="s">
        <v>585</v>
      </c>
      <c r="H710" s="122">
        <v>0.0</v>
      </c>
      <c r="J710" s="133">
        <v>0.0</v>
      </c>
      <c r="K710" s="419"/>
      <c r="L710" s="122" t="s">
        <v>585</v>
      </c>
      <c r="N710" s="133" t="s">
        <v>585</v>
      </c>
      <c r="P710" s="122" t="s">
        <v>585</v>
      </c>
      <c r="R710" s="122" t="s">
        <v>585</v>
      </c>
      <c r="T710" s="122" t="s">
        <v>585</v>
      </c>
    </row>
    <row r="711">
      <c r="B711" s="122"/>
      <c r="C711" s="122"/>
      <c r="D711" s="345"/>
      <c r="E711" s="346"/>
      <c r="F711" s="346"/>
      <c r="G711" s="122" t="s">
        <v>585</v>
      </c>
      <c r="H711" s="122">
        <v>0.0</v>
      </c>
      <c r="J711" s="133">
        <v>0.0</v>
      </c>
      <c r="K711" s="419"/>
      <c r="L711" s="122" t="s">
        <v>585</v>
      </c>
      <c r="N711" s="133" t="s">
        <v>585</v>
      </c>
      <c r="P711" s="122" t="s">
        <v>585</v>
      </c>
      <c r="R711" s="122" t="s">
        <v>585</v>
      </c>
      <c r="T711" s="122" t="s">
        <v>585</v>
      </c>
    </row>
    <row r="712">
      <c r="B712" s="122"/>
      <c r="C712" s="122"/>
      <c r="D712" s="345"/>
      <c r="E712" s="346"/>
      <c r="F712" s="346"/>
      <c r="G712" s="122" t="s">
        <v>585</v>
      </c>
      <c r="H712" s="122">
        <v>0.0</v>
      </c>
      <c r="J712" s="133">
        <v>0.0</v>
      </c>
      <c r="K712" s="419"/>
      <c r="L712" s="122" t="s">
        <v>585</v>
      </c>
      <c r="N712" s="133" t="s">
        <v>585</v>
      </c>
      <c r="P712" s="122" t="s">
        <v>585</v>
      </c>
      <c r="R712" s="122" t="s">
        <v>585</v>
      </c>
      <c r="T712" s="122" t="s">
        <v>585</v>
      </c>
    </row>
    <row r="713">
      <c r="B713" s="122"/>
      <c r="C713" s="122"/>
      <c r="D713" s="345"/>
      <c r="E713" s="346"/>
      <c r="F713" s="346"/>
      <c r="G713" s="122" t="s">
        <v>585</v>
      </c>
      <c r="H713" s="122">
        <v>0.0</v>
      </c>
      <c r="J713" s="133">
        <v>0.0</v>
      </c>
      <c r="K713" s="419"/>
      <c r="L713" s="122" t="s">
        <v>585</v>
      </c>
      <c r="N713" s="133" t="s">
        <v>585</v>
      </c>
      <c r="P713" s="122" t="s">
        <v>585</v>
      </c>
      <c r="R713" s="122" t="s">
        <v>585</v>
      </c>
      <c r="T713" s="122" t="s">
        <v>585</v>
      </c>
    </row>
    <row r="714">
      <c r="B714" s="122"/>
      <c r="C714" s="122"/>
      <c r="D714" s="345"/>
      <c r="E714" s="346"/>
      <c r="F714" s="346"/>
      <c r="G714" s="122" t="s">
        <v>585</v>
      </c>
      <c r="H714" s="122">
        <v>0.0</v>
      </c>
      <c r="J714" s="133">
        <v>0.0</v>
      </c>
      <c r="K714" s="419"/>
      <c r="L714" s="122" t="s">
        <v>585</v>
      </c>
      <c r="N714" s="133" t="s">
        <v>585</v>
      </c>
      <c r="P714" s="122" t="s">
        <v>585</v>
      </c>
      <c r="R714" s="122" t="s">
        <v>585</v>
      </c>
      <c r="T714" s="122" t="s">
        <v>585</v>
      </c>
    </row>
    <row r="715">
      <c r="B715" s="122"/>
      <c r="C715" s="122"/>
      <c r="D715" s="345"/>
      <c r="E715" s="346"/>
      <c r="F715" s="346"/>
      <c r="G715" s="122" t="s">
        <v>585</v>
      </c>
      <c r="H715" s="122">
        <v>0.0</v>
      </c>
      <c r="J715" s="133">
        <v>0.0</v>
      </c>
      <c r="K715" s="419"/>
      <c r="L715" s="122" t="s">
        <v>585</v>
      </c>
      <c r="N715" s="133" t="s">
        <v>585</v>
      </c>
      <c r="P715" s="122" t="s">
        <v>585</v>
      </c>
      <c r="R715" s="122" t="s">
        <v>585</v>
      </c>
      <c r="T715" s="122" t="s">
        <v>585</v>
      </c>
    </row>
    <row r="716">
      <c r="B716" s="122"/>
      <c r="C716" s="122"/>
      <c r="D716" s="345"/>
      <c r="E716" s="346"/>
      <c r="F716" s="346"/>
      <c r="G716" s="122" t="s">
        <v>585</v>
      </c>
      <c r="H716" s="122">
        <v>0.0</v>
      </c>
      <c r="J716" s="133">
        <v>0.0</v>
      </c>
      <c r="K716" s="419"/>
      <c r="L716" s="122" t="s">
        <v>585</v>
      </c>
      <c r="N716" s="133" t="s">
        <v>585</v>
      </c>
      <c r="P716" s="122" t="s">
        <v>585</v>
      </c>
      <c r="R716" s="122" t="s">
        <v>585</v>
      </c>
      <c r="T716" s="122" t="s">
        <v>585</v>
      </c>
    </row>
    <row r="717">
      <c r="B717" s="122"/>
      <c r="C717" s="122"/>
      <c r="D717" s="345"/>
      <c r="E717" s="346"/>
      <c r="F717" s="346"/>
      <c r="G717" s="122" t="s">
        <v>585</v>
      </c>
      <c r="H717" s="122">
        <v>0.0</v>
      </c>
      <c r="J717" s="133">
        <v>0.0</v>
      </c>
      <c r="K717" s="419"/>
      <c r="L717" s="122" t="s">
        <v>585</v>
      </c>
      <c r="N717" s="133" t="s">
        <v>585</v>
      </c>
      <c r="P717" s="122" t="s">
        <v>585</v>
      </c>
      <c r="R717" s="122" t="s">
        <v>585</v>
      </c>
      <c r="T717" s="122" t="s">
        <v>585</v>
      </c>
    </row>
    <row r="718">
      <c r="B718" s="122"/>
      <c r="C718" s="122"/>
      <c r="D718" s="345"/>
      <c r="E718" s="346"/>
      <c r="F718" s="346"/>
      <c r="G718" s="122" t="s">
        <v>585</v>
      </c>
      <c r="H718" s="122">
        <v>0.0</v>
      </c>
      <c r="J718" s="133">
        <v>0.0</v>
      </c>
      <c r="K718" s="419"/>
      <c r="L718" s="122" t="s">
        <v>585</v>
      </c>
      <c r="N718" s="133" t="s">
        <v>585</v>
      </c>
      <c r="P718" s="122" t="s">
        <v>585</v>
      </c>
      <c r="R718" s="122" t="s">
        <v>585</v>
      </c>
      <c r="T718" s="122" t="s">
        <v>585</v>
      </c>
    </row>
    <row r="719">
      <c r="B719" s="122"/>
      <c r="C719" s="122"/>
      <c r="D719" s="345"/>
      <c r="E719" s="346"/>
      <c r="F719" s="346"/>
      <c r="G719" s="122" t="s">
        <v>585</v>
      </c>
      <c r="H719" s="122">
        <v>0.0</v>
      </c>
      <c r="J719" s="133">
        <v>0.0</v>
      </c>
      <c r="K719" s="419"/>
      <c r="L719" s="122" t="s">
        <v>585</v>
      </c>
      <c r="N719" s="133" t="s">
        <v>585</v>
      </c>
      <c r="P719" s="122" t="s">
        <v>585</v>
      </c>
      <c r="R719" s="122" t="s">
        <v>585</v>
      </c>
      <c r="T719" s="122" t="s">
        <v>585</v>
      </c>
    </row>
    <row r="720">
      <c r="B720" s="122"/>
      <c r="C720" s="122"/>
      <c r="D720" s="345"/>
      <c r="E720" s="346"/>
      <c r="F720" s="346"/>
      <c r="G720" s="122" t="s">
        <v>585</v>
      </c>
      <c r="H720" s="122">
        <v>0.0</v>
      </c>
      <c r="J720" s="133">
        <v>0.0</v>
      </c>
      <c r="K720" s="419"/>
      <c r="L720" s="122" t="s">
        <v>585</v>
      </c>
      <c r="N720" s="133" t="s">
        <v>585</v>
      </c>
      <c r="P720" s="122" t="s">
        <v>585</v>
      </c>
      <c r="R720" s="122" t="s">
        <v>585</v>
      </c>
      <c r="T720" s="122" t="s">
        <v>585</v>
      </c>
    </row>
    <row r="721">
      <c r="B721" s="122"/>
      <c r="C721" s="122"/>
      <c r="D721" s="345"/>
      <c r="E721" s="346"/>
      <c r="F721" s="346"/>
      <c r="G721" s="122" t="s">
        <v>585</v>
      </c>
      <c r="H721" s="122">
        <v>0.0</v>
      </c>
      <c r="J721" s="133">
        <v>0.0</v>
      </c>
      <c r="K721" s="419"/>
      <c r="L721" s="122" t="s">
        <v>585</v>
      </c>
      <c r="N721" s="133" t="s">
        <v>585</v>
      </c>
      <c r="P721" s="122" t="s">
        <v>585</v>
      </c>
      <c r="R721" s="122" t="s">
        <v>585</v>
      </c>
      <c r="T721" s="122" t="s">
        <v>585</v>
      </c>
    </row>
    <row r="722">
      <c r="B722" s="122"/>
      <c r="C722" s="122"/>
      <c r="D722" s="345"/>
      <c r="E722" s="346"/>
      <c r="F722" s="346"/>
      <c r="G722" s="122" t="s">
        <v>585</v>
      </c>
      <c r="H722" s="122">
        <v>0.0</v>
      </c>
      <c r="J722" s="133">
        <v>0.0</v>
      </c>
      <c r="K722" s="419"/>
      <c r="L722" s="122" t="s">
        <v>585</v>
      </c>
      <c r="N722" s="133" t="s">
        <v>585</v>
      </c>
      <c r="P722" s="122" t="s">
        <v>585</v>
      </c>
      <c r="R722" s="122" t="s">
        <v>585</v>
      </c>
      <c r="T722" s="122" t="s">
        <v>585</v>
      </c>
    </row>
    <row r="723">
      <c r="B723" s="122"/>
      <c r="C723" s="122"/>
      <c r="D723" s="345"/>
      <c r="E723" s="346"/>
      <c r="F723" s="346"/>
      <c r="G723" s="122" t="s">
        <v>585</v>
      </c>
      <c r="H723" s="122">
        <v>0.0</v>
      </c>
      <c r="J723" s="133">
        <v>0.0</v>
      </c>
      <c r="K723" s="419"/>
      <c r="L723" s="122" t="s">
        <v>585</v>
      </c>
      <c r="N723" s="133" t="s">
        <v>585</v>
      </c>
      <c r="P723" s="122" t="s">
        <v>585</v>
      </c>
      <c r="R723" s="122" t="s">
        <v>585</v>
      </c>
      <c r="T723" s="122" t="s">
        <v>585</v>
      </c>
    </row>
    <row r="724">
      <c r="B724" s="122"/>
      <c r="C724" s="122"/>
      <c r="D724" s="345"/>
      <c r="E724" s="346"/>
      <c r="F724" s="346"/>
      <c r="G724" s="122" t="s">
        <v>585</v>
      </c>
      <c r="H724" s="122">
        <v>0.0</v>
      </c>
      <c r="J724" s="133">
        <v>0.0</v>
      </c>
      <c r="K724" s="419"/>
      <c r="L724" s="122" t="s">
        <v>585</v>
      </c>
      <c r="N724" s="133" t="s">
        <v>585</v>
      </c>
      <c r="P724" s="122" t="s">
        <v>585</v>
      </c>
      <c r="R724" s="122" t="s">
        <v>585</v>
      </c>
      <c r="T724" s="122" t="s">
        <v>585</v>
      </c>
    </row>
    <row r="725">
      <c r="B725" s="122"/>
      <c r="C725" s="122"/>
      <c r="D725" s="345"/>
      <c r="E725" s="346"/>
      <c r="F725" s="346"/>
      <c r="G725" s="122" t="s">
        <v>585</v>
      </c>
      <c r="H725" s="122">
        <v>0.0</v>
      </c>
      <c r="J725" s="133">
        <v>0.0</v>
      </c>
      <c r="K725" s="419"/>
      <c r="L725" s="122" t="s">
        <v>585</v>
      </c>
      <c r="N725" s="133" t="s">
        <v>585</v>
      </c>
      <c r="P725" s="122" t="s">
        <v>585</v>
      </c>
      <c r="R725" s="122" t="s">
        <v>585</v>
      </c>
      <c r="T725" s="122" t="s">
        <v>585</v>
      </c>
    </row>
    <row r="726">
      <c r="B726" s="122"/>
      <c r="C726" s="122"/>
      <c r="D726" s="345"/>
      <c r="E726" s="346"/>
      <c r="F726" s="346"/>
      <c r="G726" s="122" t="s">
        <v>585</v>
      </c>
      <c r="H726" s="122">
        <v>0.0</v>
      </c>
      <c r="J726" s="133">
        <v>0.0</v>
      </c>
      <c r="K726" s="419"/>
      <c r="L726" s="122" t="s">
        <v>585</v>
      </c>
      <c r="N726" s="133" t="s">
        <v>585</v>
      </c>
      <c r="P726" s="122" t="s">
        <v>585</v>
      </c>
      <c r="R726" s="122" t="s">
        <v>585</v>
      </c>
      <c r="T726" s="122" t="s">
        <v>585</v>
      </c>
    </row>
    <row r="727">
      <c r="B727" s="122"/>
      <c r="C727" s="122"/>
      <c r="D727" s="345"/>
      <c r="E727" s="346"/>
      <c r="F727" s="346"/>
      <c r="G727" s="122" t="s">
        <v>585</v>
      </c>
      <c r="H727" s="122">
        <v>0.0</v>
      </c>
      <c r="J727" s="133">
        <v>0.0</v>
      </c>
      <c r="K727" s="419"/>
      <c r="L727" s="122" t="s">
        <v>585</v>
      </c>
      <c r="N727" s="133" t="s">
        <v>585</v>
      </c>
      <c r="P727" s="122" t="s">
        <v>585</v>
      </c>
      <c r="R727" s="122" t="s">
        <v>585</v>
      </c>
      <c r="T727" s="122" t="s">
        <v>585</v>
      </c>
    </row>
    <row r="728">
      <c r="B728" s="122"/>
      <c r="C728" s="122"/>
      <c r="D728" s="345"/>
      <c r="E728" s="346"/>
      <c r="F728" s="346"/>
      <c r="G728" s="122" t="s">
        <v>585</v>
      </c>
      <c r="H728" s="122">
        <v>0.0</v>
      </c>
      <c r="J728" s="133">
        <v>0.0</v>
      </c>
      <c r="K728" s="419"/>
      <c r="L728" s="122" t="s">
        <v>585</v>
      </c>
      <c r="N728" s="133" t="s">
        <v>585</v>
      </c>
      <c r="P728" s="122" t="s">
        <v>585</v>
      </c>
      <c r="R728" s="122" t="s">
        <v>585</v>
      </c>
      <c r="T728" s="122" t="s">
        <v>585</v>
      </c>
    </row>
    <row r="729">
      <c r="B729" s="122"/>
      <c r="C729" s="122"/>
      <c r="D729" s="345"/>
      <c r="E729" s="346"/>
      <c r="F729" s="346"/>
      <c r="G729" s="122" t="s">
        <v>585</v>
      </c>
      <c r="H729" s="122">
        <v>0.0</v>
      </c>
      <c r="J729" s="133">
        <v>0.0</v>
      </c>
      <c r="K729" s="419"/>
      <c r="L729" s="122" t="s">
        <v>585</v>
      </c>
      <c r="N729" s="133" t="s">
        <v>585</v>
      </c>
      <c r="P729" s="122" t="s">
        <v>585</v>
      </c>
      <c r="R729" s="122" t="s">
        <v>585</v>
      </c>
      <c r="T729" s="122" t="s">
        <v>585</v>
      </c>
    </row>
    <row r="730">
      <c r="B730" s="122"/>
      <c r="C730" s="122"/>
      <c r="D730" s="345"/>
      <c r="E730" s="346"/>
      <c r="F730" s="346"/>
      <c r="G730" s="122" t="s">
        <v>585</v>
      </c>
      <c r="H730" s="122">
        <v>0.0</v>
      </c>
      <c r="J730" s="133">
        <v>0.0</v>
      </c>
      <c r="K730" s="419"/>
      <c r="L730" s="122" t="s">
        <v>585</v>
      </c>
      <c r="N730" s="133" t="s">
        <v>585</v>
      </c>
      <c r="P730" s="122" t="s">
        <v>585</v>
      </c>
      <c r="R730" s="122" t="s">
        <v>585</v>
      </c>
      <c r="T730" s="122" t="s">
        <v>585</v>
      </c>
    </row>
    <row r="731">
      <c r="B731" s="122"/>
      <c r="C731" s="122"/>
      <c r="D731" s="345"/>
      <c r="E731" s="346"/>
      <c r="F731" s="346"/>
      <c r="G731" s="122" t="s">
        <v>585</v>
      </c>
      <c r="H731" s="122">
        <v>0.0</v>
      </c>
      <c r="J731" s="133">
        <v>0.0</v>
      </c>
      <c r="K731" s="419"/>
      <c r="L731" s="122" t="s">
        <v>585</v>
      </c>
      <c r="N731" s="133" t="s">
        <v>585</v>
      </c>
      <c r="P731" s="122" t="s">
        <v>585</v>
      </c>
      <c r="R731" s="122" t="s">
        <v>585</v>
      </c>
      <c r="T731" s="122" t="s">
        <v>585</v>
      </c>
    </row>
    <row r="732">
      <c r="B732" s="122"/>
      <c r="C732" s="122"/>
      <c r="D732" s="345"/>
      <c r="E732" s="346"/>
      <c r="F732" s="346"/>
      <c r="G732" s="122" t="s">
        <v>585</v>
      </c>
      <c r="H732" s="122">
        <v>0.0</v>
      </c>
      <c r="J732" s="133">
        <v>0.0</v>
      </c>
      <c r="K732" s="419"/>
      <c r="L732" s="122" t="s">
        <v>585</v>
      </c>
      <c r="N732" s="133" t="s">
        <v>585</v>
      </c>
      <c r="P732" s="122" t="s">
        <v>585</v>
      </c>
      <c r="R732" s="122" t="s">
        <v>585</v>
      </c>
      <c r="T732" s="122" t="s">
        <v>585</v>
      </c>
    </row>
    <row r="733">
      <c r="B733" s="122"/>
      <c r="C733" s="122"/>
      <c r="D733" s="345"/>
      <c r="E733" s="346"/>
      <c r="F733" s="346"/>
      <c r="G733" s="122" t="s">
        <v>585</v>
      </c>
      <c r="H733" s="122">
        <v>0.0</v>
      </c>
      <c r="J733" s="133">
        <v>0.0</v>
      </c>
      <c r="K733" s="419"/>
      <c r="L733" s="122" t="s">
        <v>585</v>
      </c>
      <c r="N733" s="133" t="s">
        <v>585</v>
      </c>
      <c r="P733" s="122" t="s">
        <v>585</v>
      </c>
      <c r="R733" s="122" t="s">
        <v>585</v>
      </c>
      <c r="T733" s="122" t="s">
        <v>585</v>
      </c>
    </row>
    <row r="734">
      <c r="B734" s="122"/>
      <c r="C734" s="122"/>
      <c r="D734" s="345"/>
      <c r="E734" s="346"/>
      <c r="F734" s="346"/>
      <c r="G734" s="122" t="s">
        <v>585</v>
      </c>
      <c r="H734" s="122">
        <v>0.0</v>
      </c>
      <c r="J734" s="133">
        <v>0.0</v>
      </c>
      <c r="K734" s="419"/>
      <c r="L734" s="122" t="s">
        <v>585</v>
      </c>
      <c r="N734" s="133" t="s">
        <v>585</v>
      </c>
      <c r="P734" s="122" t="s">
        <v>585</v>
      </c>
      <c r="R734" s="122" t="s">
        <v>585</v>
      </c>
      <c r="T734" s="122" t="s">
        <v>585</v>
      </c>
    </row>
    <row r="735">
      <c r="B735" s="122"/>
      <c r="C735" s="122"/>
      <c r="D735" s="345"/>
      <c r="E735" s="346"/>
      <c r="F735" s="346"/>
      <c r="G735" s="122" t="s">
        <v>585</v>
      </c>
      <c r="H735" s="122">
        <v>0.0</v>
      </c>
      <c r="J735" s="133">
        <v>0.0</v>
      </c>
      <c r="K735" s="419"/>
      <c r="L735" s="122" t="s">
        <v>585</v>
      </c>
      <c r="N735" s="133" t="s">
        <v>585</v>
      </c>
      <c r="P735" s="122" t="s">
        <v>585</v>
      </c>
      <c r="R735" s="122" t="s">
        <v>585</v>
      </c>
      <c r="T735" s="122" t="s">
        <v>585</v>
      </c>
    </row>
    <row r="736">
      <c r="B736" s="122"/>
      <c r="C736" s="122"/>
      <c r="D736" s="345"/>
      <c r="E736" s="346"/>
      <c r="F736" s="346"/>
      <c r="G736" s="122" t="s">
        <v>585</v>
      </c>
      <c r="H736" s="122">
        <v>0.0</v>
      </c>
      <c r="J736" s="133">
        <v>0.0</v>
      </c>
      <c r="K736" s="419"/>
      <c r="L736" s="122" t="s">
        <v>585</v>
      </c>
      <c r="N736" s="133" t="s">
        <v>585</v>
      </c>
      <c r="P736" s="122" t="s">
        <v>585</v>
      </c>
      <c r="R736" s="122" t="s">
        <v>585</v>
      </c>
      <c r="T736" s="122" t="s">
        <v>585</v>
      </c>
    </row>
    <row r="737">
      <c r="B737" s="122"/>
      <c r="C737" s="122"/>
      <c r="D737" s="345"/>
      <c r="E737" s="346"/>
      <c r="F737" s="346"/>
      <c r="G737" s="122" t="s">
        <v>585</v>
      </c>
      <c r="H737" s="122">
        <v>0.0</v>
      </c>
      <c r="J737" s="133">
        <v>0.0</v>
      </c>
      <c r="K737" s="419"/>
      <c r="L737" s="122" t="s">
        <v>585</v>
      </c>
      <c r="N737" s="133" t="s">
        <v>585</v>
      </c>
      <c r="P737" s="122" t="s">
        <v>585</v>
      </c>
      <c r="R737" s="122" t="s">
        <v>585</v>
      </c>
      <c r="T737" s="122" t="s">
        <v>585</v>
      </c>
    </row>
    <row r="738">
      <c r="B738" s="122"/>
      <c r="C738" s="122"/>
      <c r="D738" s="345"/>
      <c r="E738" s="346"/>
      <c r="F738" s="346"/>
      <c r="G738" s="122" t="s">
        <v>585</v>
      </c>
      <c r="H738" s="122">
        <v>0.0</v>
      </c>
      <c r="J738" s="133">
        <v>0.0</v>
      </c>
      <c r="K738" s="419"/>
      <c r="L738" s="122" t="s">
        <v>585</v>
      </c>
      <c r="N738" s="133" t="s">
        <v>585</v>
      </c>
      <c r="P738" s="122" t="s">
        <v>585</v>
      </c>
      <c r="R738" s="122" t="s">
        <v>585</v>
      </c>
      <c r="T738" s="122" t="s">
        <v>585</v>
      </c>
    </row>
    <row r="739">
      <c r="B739" s="122"/>
      <c r="C739" s="122"/>
      <c r="D739" s="345"/>
      <c r="E739" s="346"/>
      <c r="F739" s="346"/>
      <c r="G739" s="122" t="s">
        <v>585</v>
      </c>
      <c r="H739" s="122">
        <v>0.0</v>
      </c>
      <c r="J739" s="133">
        <v>0.0</v>
      </c>
      <c r="K739" s="419"/>
      <c r="L739" s="122" t="s">
        <v>585</v>
      </c>
      <c r="N739" s="133" t="s">
        <v>585</v>
      </c>
      <c r="P739" s="122" t="s">
        <v>585</v>
      </c>
      <c r="R739" s="122" t="s">
        <v>585</v>
      </c>
      <c r="T739" s="122" t="s">
        <v>585</v>
      </c>
    </row>
    <row r="740">
      <c r="B740" s="122"/>
      <c r="C740" s="122"/>
      <c r="D740" s="345"/>
      <c r="E740" s="346"/>
      <c r="F740" s="346"/>
      <c r="G740" s="122" t="s">
        <v>585</v>
      </c>
      <c r="H740" s="122">
        <v>0.0</v>
      </c>
      <c r="J740" s="133">
        <v>0.0</v>
      </c>
      <c r="K740" s="419"/>
      <c r="L740" s="122" t="s">
        <v>585</v>
      </c>
      <c r="N740" s="133" t="s">
        <v>585</v>
      </c>
      <c r="P740" s="122" t="s">
        <v>585</v>
      </c>
      <c r="R740" s="122" t="s">
        <v>585</v>
      </c>
      <c r="T740" s="122" t="s">
        <v>585</v>
      </c>
    </row>
    <row r="741">
      <c r="B741" s="122"/>
      <c r="C741" s="122"/>
      <c r="D741" s="345"/>
      <c r="E741" s="346"/>
      <c r="F741" s="346"/>
      <c r="G741" s="122" t="s">
        <v>585</v>
      </c>
      <c r="H741" s="122">
        <v>0.0</v>
      </c>
      <c r="J741" s="133">
        <v>0.0</v>
      </c>
      <c r="K741" s="419"/>
      <c r="L741" s="122" t="s">
        <v>585</v>
      </c>
      <c r="N741" s="133" t="s">
        <v>585</v>
      </c>
      <c r="P741" s="122" t="s">
        <v>585</v>
      </c>
      <c r="R741" s="122" t="s">
        <v>585</v>
      </c>
      <c r="T741" s="122" t="s">
        <v>585</v>
      </c>
    </row>
    <row r="742">
      <c r="B742" s="122"/>
      <c r="C742" s="122"/>
      <c r="D742" s="345"/>
      <c r="E742" s="346"/>
      <c r="F742" s="346"/>
      <c r="G742" s="122" t="s">
        <v>585</v>
      </c>
      <c r="H742" s="122">
        <v>0.0</v>
      </c>
      <c r="J742" s="133">
        <v>0.0</v>
      </c>
      <c r="K742" s="419"/>
      <c r="L742" s="122" t="s">
        <v>585</v>
      </c>
      <c r="N742" s="133" t="s">
        <v>585</v>
      </c>
      <c r="P742" s="122" t="s">
        <v>585</v>
      </c>
      <c r="R742" s="122" t="s">
        <v>585</v>
      </c>
      <c r="T742" s="122" t="s">
        <v>585</v>
      </c>
    </row>
    <row r="743">
      <c r="B743" s="122"/>
      <c r="C743" s="122"/>
      <c r="D743" s="345"/>
      <c r="E743" s="346"/>
      <c r="F743" s="346"/>
      <c r="G743" s="122" t="s">
        <v>585</v>
      </c>
      <c r="H743" s="122">
        <v>0.0</v>
      </c>
      <c r="J743" s="133">
        <v>0.0</v>
      </c>
      <c r="K743" s="419"/>
      <c r="L743" s="122" t="s">
        <v>585</v>
      </c>
      <c r="N743" s="133" t="s">
        <v>585</v>
      </c>
      <c r="P743" s="122" t="s">
        <v>585</v>
      </c>
      <c r="R743" s="122" t="s">
        <v>585</v>
      </c>
      <c r="T743" s="122" t="s">
        <v>585</v>
      </c>
    </row>
    <row r="744">
      <c r="B744" s="122"/>
      <c r="C744" s="122"/>
      <c r="D744" s="345"/>
      <c r="E744" s="346"/>
      <c r="F744" s="346"/>
      <c r="G744" s="122" t="s">
        <v>585</v>
      </c>
      <c r="H744" s="122">
        <v>0.0</v>
      </c>
      <c r="J744" s="133">
        <v>0.0</v>
      </c>
      <c r="K744" s="419"/>
      <c r="L744" s="122" t="s">
        <v>585</v>
      </c>
      <c r="N744" s="133" t="s">
        <v>585</v>
      </c>
      <c r="P744" s="122" t="s">
        <v>585</v>
      </c>
      <c r="R744" s="122" t="s">
        <v>585</v>
      </c>
      <c r="T744" s="122" t="s">
        <v>585</v>
      </c>
    </row>
    <row r="745">
      <c r="B745" s="122"/>
      <c r="C745" s="122"/>
      <c r="D745" s="345"/>
      <c r="E745" s="346"/>
      <c r="F745" s="346"/>
      <c r="G745" s="122" t="s">
        <v>585</v>
      </c>
      <c r="H745" s="122">
        <v>0.0</v>
      </c>
      <c r="J745" s="133">
        <v>0.0</v>
      </c>
      <c r="K745" s="419"/>
      <c r="L745" s="122" t="s">
        <v>585</v>
      </c>
      <c r="N745" s="133" t="s">
        <v>585</v>
      </c>
      <c r="P745" s="122" t="s">
        <v>585</v>
      </c>
      <c r="R745" s="122" t="s">
        <v>585</v>
      </c>
      <c r="T745" s="122" t="s">
        <v>585</v>
      </c>
    </row>
    <row r="746">
      <c r="B746" s="122"/>
      <c r="C746" s="122"/>
      <c r="D746" s="345"/>
      <c r="E746" s="346"/>
      <c r="F746" s="346"/>
      <c r="G746" s="122" t="s">
        <v>585</v>
      </c>
      <c r="H746" s="122">
        <v>0.0</v>
      </c>
      <c r="J746" s="133">
        <v>0.0</v>
      </c>
      <c r="K746" s="419"/>
      <c r="L746" s="122" t="s">
        <v>585</v>
      </c>
      <c r="N746" s="133" t="s">
        <v>585</v>
      </c>
      <c r="P746" s="122" t="s">
        <v>585</v>
      </c>
      <c r="R746" s="122" t="s">
        <v>585</v>
      </c>
      <c r="T746" s="122" t="s">
        <v>585</v>
      </c>
    </row>
    <row r="747">
      <c r="B747" s="122"/>
      <c r="C747" s="122"/>
      <c r="D747" s="345"/>
      <c r="E747" s="346"/>
      <c r="F747" s="346"/>
      <c r="G747" s="122" t="s">
        <v>585</v>
      </c>
      <c r="H747" s="122">
        <v>0.0</v>
      </c>
      <c r="J747" s="133">
        <v>0.0</v>
      </c>
      <c r="K747" s="419"/>
      <c r="L747" s="122" t="s">
        <v>585</v>
      </c>
      <c r="N747" s="133" t="s">
        <v>585</v>
      </c>
      <c r="P747" s="122" t="s">
        <v>585</v>
      </c>
      <c r="R747" s="122" t="s">
        <v>585</v>
      </c>
      <c r="T747" s="122" t="s">
        <v>585</v>
      </c>
    </row>
    <row r="748">
      <c r="B748" s="122"/>
      <c r="C748" s="122"/>
      <c r="D748" s="345"/>
      <c r="E748" s="346"/>
      <c r="F748" s="346"/>
      <c r="G748" s="122" t="s">
        <v>585</v>
      </c>
      <c r="H748" s="122">
        <v>0.0</v>
      </c>
      <c r="J748" s="133">
        <v>0.0</v>
      </c>
      <c r="K748" s="419"/>
      <c r="L748" s="122" t="s">
        <v>585</v>
      </c>
      <c r="N748" s="133" t="s">
        <v>585</v>
      </c>
      <c r="P748" s="122" t="s">
        <v>585</v>
      </c>
      <c r="R748" s="122" t="s">
        <v>585</v>
      </c>
      <c r="T748" s="122" t="s">
        <v>585</v>
      </c>
    </row>
    <row r="749">
      <c r="B749" s="122"/>
      <c r="C749" s="122"/>
      <c r="D749" s="345"/>
      <c r="E749" s="346"/>
      <c r="F749" s="346"/>
      <c r="G749" s="122" t="s">
        <v>585</v>
      </c>
      <c r="H749" s="122">
        <v>0.0</v>
      </c>
      <c r="J749" s="133">
        <v>0.0</v>
      </c>
      <c r="K749" s="419"/>
      <c r="L749" s="122" t="s">
        <v>585</v>
      </c>
      <c r="N749" s="133" t="s">
        <v>585</v>
      </c>
      <c r="P749" s="122" t="s">
        <v>585</v>
      </c>
      <c r="R749" s="122" t="s">
        <v>585</v>
      </c>
      <c r="T749" s="122" t="s">
        <v>585</v>
      </c>
    </row>
    <row r="750">
      <c r="B750" s="122"/>
      <c r="C750" s="122"/>
      <c r="D750" s="345"/>
      <c r="E750" s="346"/>
      <c r="F750" s="346"/>
      <c r="G750" s="122" t="s">
        <v>585</v>
      </c>
      <c r="H750" s="122">
        <v>0.0</v>
      </c>
      <c r="J750" s="133">
        <v>0.0</v>
      </c>
      <c r="K750" s="419"/>
      <c r="L750" s="122" t="s">
        <v>585</v>
      </c>
      <c r="N750" s="133" t="s">
        <v>585</v>
      </c>
      <c r="P750" s="122" t="s">
        <v>585</v>
      </c>
      <c r="R750" s="122" t="s">
        <v>585</v>
      </c>
      <c r="T750" s="122" t="s">
        <v>585</v>
      </c>
    </row>
    <row r="751">
      <c r="B751" s="122"/>
      <c r="C751" s="122"/>
      <c r="D751" s="345"/>
      <c r="E751" s="346"/>
      <c r="F751" s="346"/>
      <c r="G751" s="122" t="s">
        <v>585</v>
      </c>
      <c r="H751" s="122">
        <v>0.0</v>
      </c>
      <c r="J751" s="133">
        <v>0.0</v>
      </c>
      <c r="K751" s="419"/>
      <c r="L751" s="122" t="s">
        <v>585</v>
      </c>
      <c r="N751" s="133" t="s">
        <v>585</v>
      </c>
      <c r="P751" s="122" t="s">
        <v>585</v>
      </c>
      <c r="R751" s="122" t="s">
        <v>585</v>
      </c>
      <c r="T751" s="122" t="s">
        <v>585</v>
      </c>
    </row>
    <row r="752">
      <c r="B752" s="122"/>
      <c r="C752" s="122"/>
      <c r="D752" s="345"/>
      <c r="E752" s="346"/>
      <c r="F752" s="346"/>
      <c r="G752" s="122" t="s">
        <v>585</v>
      </c>
      <c r="H752" s="122">
        <v>0.0</v>
      </c>
      <c r="J752" s="133">
        <v>0.0</v>
      </c>
      <c r="K752" s="419"/>
      <c r="L752" s="122" t="s">
        <v>585</v>
      </c>
      <c r="N752" s="133" t="s">
        <v>585</v>
      </c>
      <c r="P752" s="122" t="s">
        <v>585</v>
      </c>
      <c r="R752" s="122" t="s">
        <v>585</v>
      </c>
      <c r="T752" s="122" t="s">
        <v>585</v>
      </c>
    </row>
    <row r="753">
      <c r="B753" s="122"/>
      <c r="C753" s="122"/>
      <c r="D753" s="345"/>
      <c r="E753" s="346"/>
      <c r="F753" s="346"/>
      <c r="G753" s="122" t="s">
        <v>585</v>
      </c>
      <c r="H753" s="122">
        <v>0.0</v>
      </c>
      <c r="J753" s="133">
        <v>0.0</v>
      </c>
      <c r="K753" s="419"/>
      <c r="L753" s="122" t="s">
        <v>585</v>
      </c>
      <c r="N753" s="133" t="s">
        <v>585</v>
      </c>
      <c r="P753" s="122" t="s">
        <v>585</v>
      </c>
      <c r="R753" s="122" t="s">
        <v>585</v>
      </c>
      <c r="T753" s="122" t="s">
        <v>585</v>
      </c>
    </row>
    <row r="754">
      <c r="B754" s="122"/>
      <c r="C754" s="122"/>
      <c r="D754" s="345"/>
      <c r="E754" s="346"/>
      <c r="F754" s="346"/>
      <c r="G754" s="122" t="s">
        <v>585</v>
      </c>
      <c r="H754" s="122">
        <v>0.0</v>
      </c>
      <c r="J754" s="133">
        <v>0.0</v>
      </c>
      <c r="K754" s="419"/>
      <c r="L754" s="122" t="s">
        <v>585</v>
      </c>
      <c r="N754" s="133" t="s">
        <v>585</v>
      </c>
      <c r="P754" s="122" t="s">
        <v>585</v>
      </c>
      <c r="R754" s="122" t="s">
        <v>585</v>
      </c>
      <c r="T754" s="122" t="s">
        <v>585</v>
      </c>
    </row>
    <row r="755">
      <c r="B755" s="122"/>
      <c r="C755" s="122"/>
      <c r="D755" s="345"/>
      <c r="E755" s="346"/>
      <c r="F755" s="346"/>
      <c r="G755" s="122" t="s">
        <v>585</v>
      </c>
      <c r="H755" s="122">
        <v>0.0</v>
      </c>
      <c r="J755" s="133">
        <v>0.0</v>
      </c>
      <c r="K755" s="419"/>
      <c r="L755" s="122" t="s">
        <v>585</v>
      </c>
      <c r="N755" s="133" t="s">
        <v>585</v>
      </c>
      <c r="P755" s="122" t="s">
        <v>585</v>
      </c>
      <c r="R755" s="122" t="s">
        <v>585</v>
      </c>
      <c r="T755" s="122" t="s">
        <v>585</v>
      </c>
    </row>
    <row r="756">
      <c r="B756" s="122"/>
      <c r="C756" s="122"/>
      <c r="D756" s="345"/>
      <c r="E756" s="346"/>
      <c r="F756" s="346"/>
      <c r="G756" s="122" t="s">
        <v>585</v>
      </c>
      <c r="H756" s="122">
        <v>0.0</v>
      </c>
      <c r="J756" s="133">
        <v>0.0</v>
      </c>
      <c r="K756" s="419"/>
      <c r="L756" s="122" t="s">
        <v>585</v>
      </c>
      <c r="N756" s="133" t="s">
        <v>585</v>
      </c>
      <c r="P756" s="122" t="s">
        <v>585</v>
      </c>
      <c r="R756" s="122" t="s">
        <v>585</v>
      </c>
      <c r="T756" s="122" t="s">
        <v>585</v>
      </c>
    </row>
    <row r="757">
      <c r="B757" s="122"/>
      <c r="C757" s="122"/>
      <c r="D757" s="345"/>
      <c r="E757" s="346"/>
      <c r="F757" s="346"/>
      <c r="G757" s="122" t="s">
        <v>585</v>
      </c>
      <c r="H757" s="122">
        <v>0.0</v>
      </c>
      <c r="J757" s="133">
        <v>0.0</v>
      </c>
      <c r="K757" s="419"/>
      <c r="L757" s="122" t="s">
        <v>585</v>
      </c>
      <c r="N757" s="133" t="s">
        <v>585</v>
      </c>
      <c r="P757" s="122" t="s">
        <v>585</v>
      </c>
      <c r="R757" s="122" t="s">
        <v>585</v>
      </c>
      <c r="T757" s="122" t="s">
        <v>585</v>
      </c>
    </row>
    <row r="758">
      <c r="B758" s="122"/>
      <c r="C758" s="122"/>
      <c r="D758" s="345"/>
      <c r="E758" s="346"/>
      <c r="F758" s="346"/>
      <c r="G758" s="122" t="s">
        <v>585</v>
      </c>
      <c r="H758" s="122">
        <v>0.0</v>
      </c>
      <c r="J758" s="133">
        <v>0.0</v>
      </c>
      <c r="K758" s="419"/>
      <c r="L758" s="122" t="s">
        <v>585</v>
      </c>
      <c r="N758" s="133" t="s">
        <v>585</v>
      </c>
      <c r="P758" s="122" t="s">
        <v>585</v>
      </c>
      <c r="R758" s="122" t="s">
        <v>585</v>
      </c>
      <c r="T758" s="122" t="s">
        <v>585</v>
      </c>
    </row>
    <row r="759">
      <c r="B759" s="122"/>
      <c r="C759" s="122"/>
      <c r="D759" s="345"/>
      <c r="E759" s="346"/>
      <c r="F759" s="346"/>
      <c r="G759" s="122" t="s">
        <v>585</v>
      </c>
      <c r="H759" s="122">
        <v>0.0</v>
      </c>
      <c r="J759" s="133">
        <v>0.0</v>
      </c>
      <c r="K759" s="419"/>
      <c r="L759" s="122" t="s">
        <v>585</v>
      </c>
      <c r="N759" s="133" t="s">
        <v>585</v>
      </c>
      <c r="P759" s="122" t="s">
        <v>585</v>
      </c>
      <c r="R759" s="122" t="s">
        <v>585</v>
      </c>
      <c r="T759" s="122" t="s">
        <v>585</v>
      </c>
    </row>
    <row r="760">
      <c r="B760" s="122"/>
      <c r="C760" s="122"/>
      <c r="D760" s="345"/>
      <c r="E760" s="346"/>
      <c r="F760" s="346"/>
      <c r="G760" s="122" t="s">
        <v>585</v>
      </c>
      <c r="H760" s="122">
        <v>0.0</v>
      </c>
      <c r="J760" s="133">
        <v>0.0</v>
      </c>
      <c r="K760" s="419"/>
      <c r="L760" s="122" t="s">
        <v>585</v>
      </c>
      <c r="N760" s="133" t="s">
        <v>585</v>
      </c>
      <c r="P760" s="122" t="s">
        <v>585</v>
      </c>
      <c r="R760" s="122" t="s">
        <v>585</v>
      </c>
      <c r="T760" s="122" t="s">
        <v>585</v>
      </c>
    </row>
    <row r="761">
      <c r="B761" s="122"/>
      <c r="C761" s="122"/>
      <c r="D761" s="345"/>
      <c r="E761" s="346"/>
      <c r="F761" s="346"/>
      <c r="G761" s="122" t="s">
        <v>585</v>
      </c>
      <c r="H761" s="122">
        <v>0.0</v>
      </c>
      <c r="J761" s="133">
        <v>0.0</v>
      </c>
      <c r="K761" s="419"/>
      <c r="L761" s="122" t="s">
        <v>585</v>
      </c>
      <c r="N761" s="133" t="s">
        <v>585</v>
      </c>
      <c r="P761" s="122" t="s">
        <v>585</v>
      </c>
      <c r="R761" s="122" t="s">
        <v>585</v>
      </c>
      <c r="T761" s="122" t="s">
        <v>585</v>
      </c>
    </row>
    <row r="762">
      <c r="B762" s="122"/>
      <c r="C762" s="122"/>
      <c r="D762" s="345"/>
      <c r="E762" s="346"/>
      <c r="F762" s="346"/>
      <c r="G762" s="122" t="s">
        <v>585</v>
      </c>
      <c r="H762" s="122">
        <v>0.0</v>
      </c>
      <c r="J762" s="133">
        <v>0.0</v>
      </c>
      <c r="K762" s="419"/>
      <c r="L762" s="122" t="s">
        <v>585</v>
      </c>
      <c r="N762" s="133" t="s">
        <v>585</v>
      </c>
      <c r="P762" s="122" t="s">
        <v>585</v>
      </c>
      <c r="R762" s="122" t="s">
        <v>585</v>
      </c>
      <c r="T762" s="122" t="s">
        <v>585</v>
      </c>
    </row>
    <row r="763">
      <c r="B763" s="122"/>
      <c r="C763" s="122"/>
      <c r="D763" s="345"/>
      <c r="E763" s="346"/>
      <c r="F763" s="346"/>
      <c r="G763" s="122" t="s">
        <v>585</v>
      </c>
      <c r="H763" s="122">
        <v>0.0</v>
      </c>
      <c r="J763" s="133">
        <v>0.0</v>
      </c>
      <c r="K763" s="419"/>
      <c r="L763" s="122" t="s">
        <v>585</v>
      </c>
      <c r="N763" s="133" t="s">
        <v>585</v>
      </c>
      <c r="P763" s="122" t="s">
        <v>585</v>
      </c>
      <c r="R763" s="122" t="s">
        <v>585</v>
      </c>
      <c r="T763" s="122" t="s">
        <v>585</v>
      </c>
    </row>
    <row r="764">
      <c r="B764" s="122"/>
      <c r="C764" s="122"/>
      <c r="D764" s="345"/>
      <c r="E764" s="346"/>
      <c r="F764" s="346"/>
      <c r="G764" s="122" t="s">
        <v>585</v>
      </c>
      <c r="H764" s="122">
        <v>0.0</v>
      </c>
      <c r="J764" s="133">
        <v>0.0</v>
      </c>
      <c r="K764" s="419"/>
      <c r="L764" s="122" t="s">
        <v>585</v>
      </c>
      <c r="N764" s="133" t="s">
        <v>585</v>
      </c>
      <c r="P764" s="122" t="s">
        <v>585</v>
      </c>
      <c r="R764" s="122" t="s">
        <v>585</v>
      </c>
      <c r="T764" s="122" t="s">
        <v>585</v>
      </c>
    </row>
    <row r="765">
      <c r="B765" s="122"/>
      <c r="C765" s="122"/>
      <c r="D765" s="345"/>
      <c r="E765" s="346"/>
      <c r="F765" s="346"/>
      <c r="G765" s="122" t="s">
        <v>585</v>
      </c>
      <c r="H765" s="122">
        <v>0.0</v>
      </c>
      <c r="J765" s="133">
        <v>0.0</v>
      </c>
      <c r="K765" s="419"/>
      <c r="L765" s="122" t="s">
        <v>585</v>
      </c>
      <c r="N765" s="133" t="s">
        <v>585</v>
      </c>
      <c r="P765" s="122" t="s">
        <v>585</v>
      </c>
      <c r="R765" s="122" t="s">
        <v>585</v>
      </c>
      <c r="T765" s="122" t="s">
        <v>585</v>
      </c>
    </row>
    <row r="766">
      <c r="B766" s="122"/>
      <c r="C766" s="122"/>
      <c r="D766" s="345"/>
      <c r="E766" s="346"/>
      <c r="F766" s="346"/>
      <c r="G766" s="122" t="s">
        <v>585</v>
      </c>
      <c r="H766" s="122">
        <v>0.0</v>
      </c>
      <c r="J766" s="133">
        <v>0.0</v>
      </c>
      <c r="K766" s="419"/>
      <c r="L766" s="122" t="s">
        <v>585</v>
      </c>
      <c r="N766" s="133" t="s">
        <v>585</v>
      </c>
      <c r="P766" s="122" t="s">
        <v>585</v>
      </c>
      <c r="R766" s="122" t="s">
        <v>585</v>
      </c>
      <c r="T766" s="122" t="s">
        <v>585</v>
      </c>
    </row>
    <row r="767">
      <c r="B767" s="122"/>
      <c r="C767" s="122"/>
      <c r="D767" s="345"/>
      <c r="E767" s="346"/>
      <c r="F767" s="346"/>
      <c r="G767" s="122" t="s">
        <v>585</v>
      </c>
      <c r="H767" s="122">
        <v>0.0</v>
      </c>
      <c r="J767" s="133">
        <v>0.0</v>
      </c>
      <c r="K767" s="419"/>
      <c r="L767" s="122" t="s">
        <v>585</v>
      </c>
      <c r="N767" s="133" t="s">
        <v>585</v>
      </c>
      <c r="P767" s="122" t="s">
        <v>585</v>
      </c>
      <c r="R767" s="122" t="s">
        <v>585</v>
      </c>
      <c r="T767" s="122" t="s">
        <v>585</v>
      </c>
    </row>
    <row r="768">
      <c r="B768" s="122"/>
      <c r="C768" s="122"/>
      <c r="D768" s="345"/>
      <c r="E768" s="346"/>
      <c r="F768" s="346"/>
      <c r="G768" s="122" t="s">
        <v>585</v>
      </c>
      <c r="H768" s="122">
        <v>0.0</v>
      </c>
      <c r="J768" s="133">
        <v>0.0</v>
      </c>
      <c r="K768" s="419"/>
      <c r="L768" s="122" t="s">
        <v>585</v>
      </c>
      <c r="N768" s="133" t="s">
        <v>585</v>
      </c>
      <c r="P768" s="122" t="s">
        <v>585</v>
      </c>
      <c r="R768" s="122" t="s">
        <v>585</v>
      </c>
      <c r="T768" s="122" t="s">
        <v>585</v>
      </c>
    </row>
    <row r="769">
      <c r="B769" s="122"/>
      <c r="C769" s="122"/>
      <c r="D769" s="345"/>
      <c r="E769" s="346"/>
      <c r="F769" s="346"/>
      <c r="G769" s="122" t="s">
        <v>585</v>
      </c>
      <c r="H769" s="122">
        <v>0.0</v>
      </c>
      <c r="J769" s="133">
        <v>0.0</v>
      </c>
      <c r="K769" s="419"/>
      <c r="L769" s="122" t="s">
        <v>585</v>
      </c>
      <c r="N769" s="133" t="s">
        <v>585</v>
      </c>
      <c r="P769" s="122" t="s">
        <v>585</v>
      </c>
      <c r="R769" s="122" t="s">
        <v>585</v>
      </c>
      <c r="T769" s="122" t="s">
        <v>585</v>
      </c>
    </row>
    <row r="770">
      <c r="B770" s="122"/>
      <c r="C770" s="122"/>
      <c r="D770" s="345"/>
      <c r="E770" s="346"/>
      <c r="F770" s="346"/>
      <c r="G770" s="122" t="s">
        <v>585</v>
      </c>
      <c r="H770" s="122">
        <v>0.0</v>
      </c>
      <c r="J770" s="133">
        <v>0.0</v>
      </c>
      <c r="K770" s="419"/>
      <c r="L770" s="122" t="s">
        <v>585</v>
      </c>
      <c r="N770" s="133" t="s">
        <v>585</v>
      </c>
      <c r="P770" s="122" t="s">
        <v>585</v>
      </c>
      <c r="R770" s="122" t="s">
        <v>585</v>
      </c>
      <c r="T770" s="122" t="s">
        <v>585</v>
      </c>
    </row>
    <row r="771">
      <c r="B771" s="122"/>
      <c r="C771" s="122"/>
      <c r="D771" s="345"/>
      <c r="E771" s="346"/>
      <c r="F771" s="346"/>
      <c r="G771" s="122" t="s">
        <v>585</v>
      </c>
      <c r="H771" s="122">
        <v>0.0</v>
      </c>
      <c r="J771" s="133">
        <v>0.0</v>
      </c>
      <c r="K771" s="419"/>
      <c r="L771" s="122" t="s">
        <v>585</v>
      </c>
      <c r="N771" s="133" t="s">
        <v>585</v>
      </c>
      <c r="P771" s="122" t="s">
        <v>585</v>
      </c>
      <c r="R771" s="122" t="s">
        <v>585</v>
      </c>
      <c r="T771" s="122" t="s">
        <v>585</v>
      </c>
    </row>
    <row r="772">
      <c r="B772" s="122"/>
      <c r="C772" s="122"/>
      <c r="D772" s="345"/>
      <c r="E772" s="346"/>
      <c r="F772" s="346"/>
      <c r="G772" s="122" t="s">
        <v>585</v>
      </c>
      <c r="H772" s="122">
        <v>0.0</v>
      </c>
      <c r="J772" s="133">
        <v>0.0</v>
      </c>
      <c r="K772" s="419"/>
      <c r="L772" s="122" t="s">
        <v>585</v>
      </c>
      <c r="N772" s="133" t="s">
        <v>585</v>
      </c>
      <c r="P772" s="122" t="s">
        <v>585</v>
      </c>
      <c r="R772" s="122" t="s">
        <v>585</v>
      </c>
      <c r="T772" s="122" t="s">
        <v>585</v>
      </c>
    </row>
    <row r="773">
      <c r="B773" s="122"/>
      <c r="C773" s="122"/>
      <c r="D773" s="345"/>
      <c r="E773" s="346"/>
      <c r="F773" s="346"/>
      <c r="G773" s="122" t="s">
        <v>585</v>
      </c>
      <c r="H773" s="122">
        <v>0.0</v>
      </c>
      <c r="J773" s="133">
        <v>0.0</v>
      </c>
      <c r="K773" s="419"/>
      <c r="L773" s="122" t="s">
        <v>585</v>
      </c>
      <c r="N773" s="133" t="s">
        <v>585</v>
      </c>
      <c r="P773" s="122" t="s">
        <v>585</v>
      </c>
      <c r="R773" s="122" t="s">
        <v>585</v>
      </c>
      <c r="T773" s="122" t="s">
        <v>585</v>
      </c>
    </row>
    <row r="774">
      <c r="B774" s="122"/>
      <c r="C774" s="122"/>
      <c r="D774" s="345"/>
      <c r="E774" s="346"/>
      <c r="F774" s="346"/>
      <c r="G774" s="122" t="s">
        <v>585</v>
      </c>
      <c r="H774" s="122">
        <v>0.0</v>
      </c>
      <c r="J774" s="133">
        <v>0.0</v>
      </c>
      <c r="K774" s="419"/>
      <c r="L774" s="122" t="s">
        <v>585</v>
      </c>
      <c r="N774" s="133" t="s">
        <v>585</v>
      </c>
      <c r="P774" s="122" t="s">
        <v>585</v>
      </c>
      <c r="R774" s="122" t="s">
        <v>585</v>
      </c>
      <c r="T774" s="122" t="s">
        <v>585</v>
      </c>
    </row>
    <row r="775">
      <c r="B775" s="122"/>
      <c r="C775" s="122"/>
      <c r="D775" s="345"/>
      <c r="E775" s="346"/>
      <c r="F775" s="346"/>
      <c r="G775" s="122" t="s">
        <v>585</v>
      </c>
      <c r="H775" s="122">
        <v>0.0</v>
      </c>
      <c r="J775" s="133">
        <v>0.0</v>
      </c>
      <c r="K775" s="419"/>
      <c r="L775" s="122" t="s">
        <v>585</v>
      </c>
      <c r="N775" s="133" t="s">
        <v>585</v>
      </c>
      <c r="P775" s="122" t="s">
        <v>585</v>
      </c>
      <c r="R775" s="122" t="s">
        <v>585</v>
      </c>
      <c r="T775" s="122" t="s">
        <v>585</v>
      </c>
    </row>
    <row r="776">
      <c r="B776" s="122"/>
      <c r="C776" s="122"/>
      <c r="D776" s="345"/>
      <c r="E776" s="346"/>
      <c r="F776" s="346"/>
      <c r="G776" s="122" t="s">
        <v>585</v>
      </c>
      <c r="H776" s="122">
        <v>0.0</v>
      </c>
      <c r="J776" s="133">
        <v>0.0</v>
      </c>
      <c r="K776" s="419"/>
      <c r="L776" s="122" t="s">
        <v>585</v>
      </c>
      <c r="N776" s="133" t="s">
        <v>585</v>
      </c>
      <c r="P776" s="122" t="s">
        <v>585</v>
      </c>
      <c r="R776" s="122" t="s">
        <v>585</v>
      </c>
      <c r="T776" s="122" t="s">
        <v>585</v>
      </c>
    </row>
    <row r="777">
      <c r="B777" s="122"/>
      <c r="C777" s="122"/>
      <c r="D777" s="345"/>
      <c r="E777" s="346"/>
      <c r="F777" s="346"/>
      <c r="G777" s="122" t="s">
        <v>585</v>
      </c>
      <c r="H777" s="122">
        <v>0.0</v>
      </c>
      <c r="J777" s="133">
        <v>0.0</v>
      </c>
      <c r="K777" s="419"/>
      <c r="L777" s="122" t="s">
        <v>585</v>
      </c>
      <c r="N777" s="133" t="s">
        <v>585</v>
      </c>
      <c r="P777" s="122" t="s">
        <v>585</v>
      </c>
      <c r="R777" s="122" t="s">
        <v>585</v>
      </c>
      <c r="T777" s="122" t="s">
        <v>585</v>
      </c>
    </row>
    <row r="778">
      <c r="B778" s="122"/>
      <c r="C778" s="122"/>
      <c r="D778" s="345"/>
      <c r="E778" s="346"/>
      <c r="F778" s="346"/>
      <c r="G778" s="122" t="s">
        <v>585</v>
      </c>
      <c r="H778" s="122">
        <v>0.0</v>
      </c>
      <c r="J778" s="133">
        <v>0.0</v>
      </c>
      <c r="K778" s="419"/>
      <c r="L778" s="122" t="s">
        <v>585</v>
      </c>
      <c r="N778" s="133" t="s">
        <v>585</v>
      </c>
      <c r="P778" s="122" t="s">
        <v>585</v>
      </c>
      <c r="R778" s="122" t="s">
        <v>585</v>
      </c>
      <c r="T778" s="122" t="s">
        <v>585</v>
      </c>
    </row>
    <row r="779">
      <c r="B779" s="122"/>
      <c r="C779" s="122"/>
      <c r="D779" s="345"/>
      <c r="E779" s="346"/>
      <c r="F779" s="346"/>
      <c r="G779" s="122" t="s">
        <v>585</v>
      </c>
      <c r="H779" s="122">
        <v>0.0</v>
      </c>
      <c r="J779" s="133">
        <v>0.0</v>
      </c>
      <c r="K779" s="419"/>
      <c r="L779" s="122" t="s">
        <v>585</v>
      </c>
      <c r="N779" s="133" t="s">
        <v>585</v>
      </c>
      <c r="P779" s="122" t="s">
        <v>585</v>
      </c>
      <c r="R779" s="122" t="s">
        <v>585</v>
      </c>
      <c r="T779" s="122" t="s">
        <v>585</v>
      </c>
    </row>
    <row r="780">
      <c r="B780" s="122"/>
      <c r="C780" s="122"/>
      <c r="D780" s="345"/>
      <c r="E780" s="346"/>
      <c r="F780" s="346"/>
      <c r="G780" s="122" t="s">
        <v>585</v>
      </c>
      <c r="H780" s="122">
        <v>0.0</v>
      </c>
      <c r="J780" s="133">
        <v>0.0</v>
      </c>
      <c r="K780" s="419"/>
      <c r="L780" s="122" t="s">
        <v>585</v>
      </c>
      <c r="N780" s="133" t="s">
        <v>585</v>
      </c>
      <c r="P780" s="122" t="s">
        <v>585</v>
      </c>
      <c r="R780" s="122" t="s">
        <v>585</v>
      </c>
      <c r="T780" s="122" t="s">
        <v>585</v>
      </c>
    </row>
    <row r="781">
      <c r="B781" s="122"/>
      <c r="C781" s="122"/>
      <c r="D781" s="345"/>
      <c r="E781" s="346"/>
      <c r="F781" s="346"/>
      <c r="G781" s="122" t="s">
        <v>585</v>
      </c>
      <c r="H781" s="122">
        <v>0.0</v>
      </c>
      <c r="J781" s="133">
        <v>0.0</v>
      </c>
      <c r="K781" s="419"/>
      <c r="L781" s="122" t="s">
        <v>585</v>
      </c>
      <c r="N781" s="133" t="s">
        <v>585</v>
      </c>
      <c r="P781" s="122" t="s">
        <v>585</v>
      </c>
      <c r="R781" s="122" t="s">
        <v>585</v>
      </c>
      <c r="T781" s="122" t="s">
        <v>585</v>
      </c>
    </row>
    <row r="782">
      <c r="B782" s="122"/>
      <c r="C782" s="122"/>
      <c r="D782" s="345"/>
      <c r="E782" s="346"/>
      <c r="F782" s="346"/>
      <c r="G782" s="122" t="s">
        <v>585</v>
      </c>
      <c r="H782" s="122">
        <v>0.0</v>
      </c>
      <c r="J782" s="133">
        <v>0.0</v>
      </c>
      <c r="K782" s="419"/>
      <c r="L782" s="122" t="s">
        <v>585</v>
      </c>
      <c r="N782" s="133" t="s">
        <v>585</v>
      </c>
      <c r="P782" s="122" t="s">
        <v>585</v>
      </c>
      <c r="R782" s="122" t="s">
        <v>585</v>
      </c>
      <c r="T782" s="122" t="s">
        <v>585</v>
      </c>
    </row>
    <row r="783">
      <c r="B783" s="122"/>
      <c r="C783" s="122"/>
      <c r="D783" s="345"/>
      <c r="E783" s="346"/>
      <c r="F783" s="346"/>
      <c r="G783" s="122" t="s">
        <v>585</v>
      </c>
      <c r="H783" s="122">
        <v>0.0</v>
      </c>
      <c r="J783" s="133">
        <v>0.0</v>
      </c>
      <c r="K783" s="419"/>
      <c r="L783" s="122" t="s">
        <v>585</v>
      </c>
      <c r="N783" s="133" t="s">
        <v>585</v>
      </c>
      <c r="P783" s="122" t="s">
        <v>585</v>
      </c>
      <c r="R783" s="122" t="s">
        <v>585</v>
      </c>
      <c r="T783" s="122" t="s">
        <v>585</v>
      </c>
    </row>
    <row r="784">
      <c r="B784" s="122"/>
      <c r="C784" s="122"/>
      <c r="D784" s="345"/>
      <c r="E784" s="346"/>
      <c r="F784" s="346"/>
      <c r="G784" s="122" t="s">
        <v>585</v>
      </c>
      <c r="H784" s="122">
        <v>0.0</v>
      </c>
      <c r="J784" s="133">
        <v>0.0</v>
      </c>
      <c r="K784" s="419"/>
      <c r="L784" s="122" t="s">
        <v>585</v>
      </c>
      <c r="N784" s="133" t="s">
        <v>585</v>
      </c>
      <c r="P784" s="122" t="s">
        <v>585</v>
      </c>
      <c r="R784" s="122" t="s">
        <v>585</v>
      </c>
      <c r="T784" s="122" t="s">
        <v>585</v>
      </c>
    </row>
    <row r="785">
      <c r="B785" s="122"/>
      <c r="C785" s="122"/>
      <c r="D785" s="345"/>
      <c r="E785" s="346"/>
      <c r="F785" s="346"/>
      <c r="G785" s="122" t="s">
        <v>585</v>
      </c>
      <c r="H785" s="122">
        <v>0.0</v>
      </c>
      <c r="J785" s="133">
        <v>0.0</v>
      </c>
      <c r="K785" s="419"/>
      <c r="L785" s="122" t="s">
        <v>585</v>
      </c>
      <c r="N785" s="133" t="s">
        <v>585</v>
      </c>
      <c r="P785" s="122" t="s">
        <v>585</v>
      </c>
      <c r="R785" s="122" t="s">
        <v>585</v>
      </c>
      <c r="T785" s="122" t="s">
        <v>585</v>
      </c>
    </row>
    <row r="786">
      <c r="B786" s="122"/>
      <c r="C786" s="122"/>
      <c r="D786" s="345"/>
      <c r="E786" s="346"/>
      <c r="F786" s="346"/>
      <c r="G786" s="122" t="s">
        <v>585</v>
      </c>
      <c r="H786" s="122">
        <v>0.0</v>
      </c>
      <c r="J786" s="133">
        <v>0.0</v>
      </c>
      <c r="K786" s="419"/>
      <c r="L786" s="122" t="s">
        <v>585</v>
      </c>
      <c r="N786" s="133" t="s">
        <v>585</v>
      </c>
      <c r="P786" s="122" t="s">
        <v>585</v>
      </c>
      <c r="R786" s="122" t="s">
        <v>585</v>
      </c>
      <c r="T786" s="122" t="s">
        <v>585</v>
      </c>
    </row>
    <row r="787">
      <c r="B787" s="122"/>
      <c r="C787" s="122"/>
      <c r="D787" s="345"/>
      <c r="E787" s="346"/>
      <c r="F787" s="346"/>
      <c r="G787" s="122" t="s">
        <v>585</v>
      </c>
      <c r="H787" s="122">
        <v>0.0</v>
      </c>
      <c r="J787" s="133">
        <v>0.0</v>
      </c>
      <c r="K787" s="419"/>
      <c r="L787" s="122" t="s">
        <v>585</v>
      </c>
      <c r="N787" s="133" t="s">
        <v>585</v>
      </c>
      <c r="P787" s="122" t="s">
        <v>585</v>
      </c>
      <c r="R787" s="122" t="s">
        <v>585</v>
      </c>
      <c r="T787" s="122" t="s">
        <v>585</v>
      </c>
    </row>
    <row r="788">
      <c r="B788" s="122"/>
      <c r="C788" s="122"/>
      <c r="D788" s="345"/>
      <c r="E788" s="346"/>
      <c r="F788" s="346"/>
      <c r="G788" s="122" t="s">
        <v>585</v>
      </c>
      <c r="H788" s="122">
        <v>0.0</v>
      </c>
      <c r="J788" s="133">
        <v>0.0</v>
      </c>
      <c r="K788" s="419"/>
      <c r="L788" s="122" t="s">
        <v>585</v>
      </c>
      <c r="N788" s="133" t="s">
        <v>585</v>
      </c>
      <c r="P788" s="122" t="s">
        <v>585</v>
      </c>
      <c r="R788" s="122" t="s">
        <v>585</v>
      </c>
      <c r="T788" s="122" t="s">
        <v>585</v>
      </c>
    </row>
    <row r="789">
      <c r="B789" s="122"/>
      <c r="C789" s="122"/>
      <c r="D789" s="345"/>
      <c r="E789" s="346"/>
      <c r="F789" s="346"/>
      <c r="G789" s="122" t="s">
        <v>585</v>
      </c>
      <c r="H789" s="122">
        <v>0.0</v>
      </c>
      <c r="J789" s="133">
        <v>0.0</v>
      </c>
      <c r="K789" s="419"/>
      <c r="L789" s="122" t="s">
        <v>585</v>
      </c>
      <c r="N789" s="133" t="s">
        <v>585</v>
      </c>
      <c r="P789" s="122" t="s">
        <v>585</v>
      </c>
      <c r="R789" s="122" t="s">
        <v>585</v>
      </c>
      <c r="T789" s="122" t="s">
        <v>585</v>
      </c>
    </row>
    <row r="790">
      <c r="B790" s="122"/>
      <c r="C790" s="122"/>
      <c r="D790" s="345"/>
      <c r="E790" s="346"/>
      <c r="F790" s="346"/>
      <c r="G790" s="122" t="s">
        <v>585</v>
      </c>
      <c r="H790" s="122">
        <v>0.0</v>
      </c>
      <c r="J790" s="133">
        <v>0.0</v>
      </c>
      <c r="K790" s="419"/>
      <c r="L790" s="122" t="s">
        <v>585</v>
      </c>
      <c r="N790" s="133" t="s">
        <v>585</v>
      </c>
      <c r="P790" s="122" t="s">
        <v>585</v>
      </c>
      <c r="R790" s="122" t="s">
        <v>585</v>
      </c>
      <c r="T790" s="122" t="s">
        <v>585</v>
      </c>
    </row>
    <row r="791">
      <c r="B791" s="122"/>
      <c r="C791" s="122"/>
      <c r="D791" s="345"/>
      <c r="E791" s="346"/>
      <c r="F791" s="346"/>
      <c r="G791" s="122" t="s">
        <v>585</v>
      </c>
      <c r="H791" s="122">
        <v>0.0</v>
      </c>
      <c r="J791" s="133">
        <v>0.0</v>
      </c>
      <c r="K791" s="419"/>
      <c r="L791" s="122" t="s">
        <v>585</v>
      </c>
      <c r="N791" s="133" t="s">
        <v>585</v>
      </c>
      <c r="P791" s="122" t="s">
        <v>585</v>
      </c>
      <c r="R791" s="122" t="s">
        <v>585</v>
      </c>
      <c r="T791" s="122" t="s">
        <v>585</v>
      </c>
    </row>
    <row r="792">
      <c r="B792" s="122"/>
      <c r="C792" s="122"/>
      <c r="D792" s="345"/>
      <c r="E792" s="346"/>
      <c r="F792" s="346"/>
      <c r="G792" s="122" t="s">
        <v>585</v>
      </c>
      <c r="H792" s="122">
        <v>0.0</v>
      </c>
      <c r="J792" s="133">
        <v>0.0</v>
      </c>
      <c r="K792" s="419"/>
      <c r="L792" s="122" t="s">
        <v>585</v>
      </c>
      <c r="N792" s="133" t="s">
        <v>585</v>
      </c>
      <c r="P792" s="122" t="s">
        <v>585</v>
      </c>
      <c r="R792" s="122" t="s">
        <v>585</v>
      </c>
      <c r="T792" s="122" t="s">
        <v>585</v>
      </c>
    </row>
    <row r="793">
      <c r="B793" s="122"/>
      <c r="C793" s="122"/>
      <c r="D793" s="345"/>
      <c r="E793" s="346"/>
      <c r="F793" s="346"/>
      <c r="G793" s="122" t="s">
        <v>585</v>
      </c>
      <c r="H793" s="122">
        <v>0.0</v>
      </c>
      <c r="J793" s="133">
        <v>0.0</v>
      </c>
      <c r="K793" s="419"/>
      <c r="L793" s="122" t="s">
        <v>585</v>
      </c>
      <c r="N793" s="133" t="s">
        <v>585</v>
      </c>
      <c r="P793" s="122" t="s">
        <v>585</v>
      </c>
      <c r="R793" s="122" t="s">
        <v>585</v>
      </c>
      <c r="T793" s="122" t="s">
        <v>585</v>
      </c>
    </row>
    <row r="794">
      <c r="B794" s="122"/>
      <c r="C794" s="122"/>
      <c r="D794" s="345"/>
      <c r="E794" s="346"/>
      <c r="F794" s="346"/>
      <c r="G794" s="122" t="s">
        <v>585</v>
      </c>
      <c r="H794" s="122">
        <v>0.0</v>
      </c>
      <c r="J794" s="133">
        <v>0.0</v>
      </c>
      <c r="K794" s="419"/>
      <c r="L794" s="122" t="s">
        <v>585</v>
      </c>
      <c r="N794" s="133" t="s">
        <v>585</v>
      </c>
      <c r="P794" s="122" t="s">
        <v>585</v>
      </c>
      <c r="R794" s="122" t="s">
        <v>585</v>
      </c>
      <c r="T794" s="122" t="s">
        <v>585</v>
      </c>
    </row>
    <row r="795">
      <c r="B795" s="122"/>
      <c r="C795" s="122"/>
      <c r="D795" s="345"/>
      <c r="E795" s="346"/>
      <c r="F795" s="346"/>
      <c r="G795" s="122" t="s">
        <v>585</v>
      </c>
      <c r="H795" s="122">
        <v>0.0</v>
      </c>
      <c r="J795" s="133">
        <v>0.0</v>
      </c>
      <c r="K795" s="419"/>
      <c r="L795" s="122" t="s">
        <v>585</v>
      </c>
      <c r="N795" s="133" t="s">
        <v>585</v>
      </c>
      <c r="P795" s="122" t="s">
        <v>585</v>
      </c>
      <c r="R795" s="122" t="s">
        <v>585</v>
      </c>
      <c r="T795" s="122" t="s">
        <v>585</v>
      </c>
    </row>
    <row r="796">
      <c r="B796" s="122"/>
      <c r="C796" s="122"/>
      <c r="D796" s="345"/>
      <c r="E796" s="346"/>
      <c r="F796" s="346"/>
      <c r="G796" s="122" t="s">
        <v>585</v>
      </c>
      <c r="H796" s="122">
        <v>0.0</v>
      </c>
      <c r="J796" s="133">
        <v>0.0</v>
      </c>
      <c r="K796" s="419"/>
      <c r="L796" s="122" t="s">
        <v>585</v>
      </c>
      <c r="N796" s="133" t="s">
        <v>585</v>
      </c>
      <c r="P796" s="122" t="s">
        <v>585</v>
      </c>
      <c r="R796" s="122" t="s">
        <v>585</v>
      </c>
      <c r="T796" s="122" t="s">
        <v>585</v>
      </c>
    </row>
    <row r="797">
      <c r="B797" s="122"/>
      <c r="C797" s="122"/>
      <c r="D797" s="345"/>
      <c r="E797" s="346"/>
      <c r="F797" s="346"/>
      <c r="G797" s="122" t="s">
        <v>585</v>
      </c>
      <c r="H797" s="122">
        <v>0.0</v>
      </c>
      <c r="J797" s="133">
        <v>0.0</v>
      </c>
      <c r="K797" s="419"/>
      <c r="L797" s="122" t="s">
        <v>585</v>
      </c>
      <c r="N797" s="133" t="s">
        <v>585</v>
      </c>
      <c r="P797" s="122" t="s">
        <v>585</v>
      </c>
      <c r="R797" s="122" t="s">
        <v>585</v>
      </c>
      <c r="T797" s="122" t="s">
        <v>585</v>
      </c>
    </row>
    <row r="798">
      <c r="B798" s="122"/>
      <c r="C798" s="122"/>
      <c r="D798" s="345"/>
      <c r="E798" s="346"/>
      <c r="F798" s="346"/>
      <c r="G798" s="122" t="s">
        <v>585</v>
      </c>
      <c r="H798" s="122">
        <v>0.0</v>
      </c>
      <c r="J798" s="133">
        <v>0.0</v>
      </c>
      <c r="K798" s="419"/>
      <c r="L798" s="122" t="s">
        <v>585</v>
      </c>
      <c r="N798" s="133" t="s">
        <v>585</v>
      </c>
      <c r="P798" s="122" t="s">
        <v>585</v>
      </c>
      <c r="R798" s="122" t="s">
        <v>585</v>
      </c>
      <c r="T798" s="122" t="s">
        <v>585</v>
      </c>
    </row>
    <row r="799">
      <c r="B799" s="122"/>
      <c r="C799" s="122"/>
      <c r="D799" s="345"/>
      <c r="E799" s="346"/>
      <c r="F799" s="346"/>
      <c r="G799" s="122" t="s">
        <v>585</v>
      </c>
      <c r="H799" s="122">
        <v>0.0</v>
      </c>
      <c r="J799" s="133">
        <v>0.0</v>
      </c>
      <c r="K799" s="419"/>
      <c r="L799" s="122" t="s">
        <v>585</v>
      </c>
      <c r="N799" s="133" t="s">
        <v>585</v>
      </c>
      <c r="P799" s="122" t="s">
        <v>585</v>
      </c>
      <c r="R799" s="122" t="s">
        <v>585</v>
      </c>
      <c r="T799" s="122" t="s">
        <v>585</v>
      </c>
    </row>
    <row r="800">
      <c r="B800" s="122"/>
      <c r="C800" s="122"/>
      <c r="D800" s="345"/>
      <c r="E800" s="346"/>
      <c r="F800" s="346"/>
      <c r="G800" s="122" t="s">
        <v>585</v>
      </c>
      <c r="H800" s="122">
        <v>0.0</v>
      </c>
      <c r="J800" s="133">
        <v>0.0</v>
      </c>
      <c r="K800" s="419"/>
      <c r="L800" s="122" t="s">
        <v>585</v>
      </c>
      <c r="N800" s="133" t="s">
        <v>585</v>
      </c>
      <c r="P800" s="122" t="s">
        <v>585</v>
      </c>
      <c r="R800" s="122" t="s">
        <v>585</v>
      </c>
      <c r="T800" s="122" t="s">
        <v>585</v>
      </c>
    </row>
    <row r="801">
      <c r="B801" s="122"/>
      <c r="C801" s="122"/>
      <c r="D801" s="345"/>
      <c r="E801" s="346"/>
      <c r="F801" s="346"/>
      <c r="G801" s="122" t="s">
        <v>585</v>
      </c>
      <c r="H801" s="122">
        <v>0.0</v>
      </c>
      <c r="J801" s="133">
        <v>0.0</v>
      </c>
      <c r="K801" s="419"/>
      <c r="L801" s="122" t="s">
        <v>585</v>
      </c>
      <c r="N801" s="133" t="s">
        <v>585</v>
      </c>
      <c r="P801" s="122" t="s">
        <v>585</v>
      </c>
      <c r="R801" s="122" t="s">
        <v>585</v>
      </c>
      <c r="T801" s="122" t="s">
        <v>585</v>
      </c>
    </row>
    <row r="802">
      <c r="B802" s="122"/>
      <c r="C802" s="122"/>
      <c r="D802" s="345"/>
      <c r="E802" s="346"/>
      <c r="F802" s="346"/>
      <c r="G802" s="122" t="s">
        <v>585</v>
      </c>
      <c r="H802" s="122">
        <v>0.0</v>
      </c>
      <c r="J802" s="133">
        <v>0.0</v>
      </c>
      <c r="K802" s="419"/>
      <c r="L802" s="122" t="s">
        <v>585</v>
      </c>
      <c r="N802" s="133" t="s">
        <v>585</v>
      </c>
      <c r="P802" s="122" t="s">
        <v>585</v>
      </c>
      <c r="R802" s="122" t="s">
        <v>585</v>
      </c>
      <c r="T802" s="122" t="s">
        <v>585</v>
      </c>
    </row>
    <row r="803">
      <c r="B803" s="122"/>
      <c r="C803" s="122"/>
      <c r="D803" s="345"/>
      <c r="E803" s="346"/>
      <c r="F803" s="346"/>
      <c r="G803" s="122" t="s">
        <v>585</v>
      </c>
      <c r="H803" s="122">
        <v>0.0</v>
      </c>
      <c r="J803" s="133">
        <v>0.0</v>
      </c>
      <c r="K803" s="419"/>
      <c r="L803" s="122" t="s">
        <v>585</v>
      </c>
      <c r="N803" s="133" t="s">
        <v>585</v>
      </c>
      <c r="P803" s="122" t="s">
        <v>585</v>
      </c>
      <c r="R803" s="122" t="s">
        <v>585</v>
      </c>
      <c r="T803" s="122" t="s">
        <v>585</v>
      </c>
    </row>
    <row r="804">
      <c r="B804" s="122"/>
      <c r="C804" s="122"/>
      <c r="D804" s="345"/>
      <c r="E804" s="346"/>
      <c r="F804" s="346"/>
      <c r="G804" s="122" t="s">
        <v>585</v>
      </c>
      <c r="H804" s="122">
        <v>0.0</v>
      </c>
      <c r="J804" s="133">
        <v>0.0</v>
      </c>
      <c r="K804" s="419"/>
      <c r="L804" s="122" t="s">
        <v>585</v>
      </c>
      <c r="N804" s="133" t="s">
        <v>585</v>
      </c>
      <c r="P804" s="122" t="s">
        <v>585</v>
      </c>
      <c r="R804" s="122" t="s">
        <v>585</v>
      </c>
      <c r="T804" s="122" t="s">
        <v>585</v>
      </c>
    </row>
    <row r="805">
      <c r="B805" s="122"/>
      <c r="C805" s="122"/>
      <c r="D805" s="345"/>
      <c r="E805" s="346"/>
      <c r="F805" s="346"/>
      <c r="G805" s="122" t="s">
        <v>585</v>
      </c>
      <c r="H805" s="122">
        <v>0.0</v>
      </c>
      <c r="J805" s="133">
        <v>0.0</v>
      </c>
      <c r="K805" s="419"/>
      <c r="L805" s="122" t="s">
        <v>585</v>
      </c>
      <c r="N805" s="133" t="s">
        <v>585</v>
      </c>
      <c r="P805" s="122" t="s">
        <v>585</v>
      </c>
      <c r="R805" s="122" t="s">
        <v>585</v>
      </c>
      <c r="T805" s="122" t="s">
        <v>585</v>
      </c>
    </row>
    <row r="806">
      <c r="B806" s="122"/>
      <c r="C806" s="122"/>
      <c r="D806" s="345"/>
      <c r="E806" s="346"/>
      <c r="F806" s="346"/>
      <c r="G806" s="122" t="s">
        <v>585</v>
      </c>
      <c r="H806" s="122">
        <v>0.0</v>
      </c>
      <c r="J806" s="133">
        <v>0.0</v>
      </c>
      <c r="K806" s="419"/>
      <c r="L806" s="122" t="s">
        <v>585</v>
      </c>
      <c r="N806" s="133" t="s">
        <v>585</v>
      </c>
      <c r="P806" s="122" t="s">
        <v>585</v>
      </c>
      <c r="R806" s="122" t="s">
        <v>585</v>
      </c>
      <c r="T806" s="122" t="s">
        <v>585</v>
      </c>
    </row>
    <row r="807">
      <c r="B807" s="122"/>
      <c r="C807" s="122"/>
      <c r="D807" s="345"/>
      <c r="E807" s="346"/>
      <c r="F807" s="346"/>
      <c r="G807" s="122" t="s">
        <v>585</v>
      </c>
      <c r="H807" s="122">
        <v>0.0</v>
      </c>
      <c r="J807" s="133">
        <v>0.0</v>
      </c>
      <c r="K807" s="419"/>
      <c r="L807" s="122" t="s">
        <v>585</v>
      </c>
      <c r="N807" s="133" t="s">
        <v>585</v>
      </c>
      <c r="P807" s="122" t="s">
        <v>585</v>
      </c>
      <c r="R807" s="122" t="s">
        <v>585</v>
      </c>
      <c r="T807" s="122" t="s">
        <v>585</v>
      </c>
    </row>
    <row r="808">
      <c r="B808" s="122"/>
      <c r="C808" s="122"/>
      <c r="D808" s="345"/>
      <c r="E808" s="346"/>
      <c r="F808" s="346"/>
      <c r="G808" s="122" t="s">
        <v>585</v>
      </c>
      <c r="H808" s="122">
        <v>0.0</v>
      </c>
      <c r="J808" s="133">
        <v>0.0</v>
      </c>
      <c r="K808" s="419"/>
      <c r="L808" s="122" t="s">
        <v>585</v>
      </c>
      <c r="N808" s="133" t="s">
        <v>585</v>
      </c>
      <c r="P808" s="122" t="s">
        <v>585</v>
      </c>
      <c r="R808" s="122" t="s">
        <v>585</v>
      </c>
      <c r="T808" s="122" t="s">
        <v>585</v>
      </c>
    </row>
    <row r="809">
      <c r="B809" s="122"/>
      <c r="C809" s="122"/>
      <c r="D809" s="345"/>
      <c r="E809" s="346"/>
      <c r="F809" s="346"/>
      <c r="G809" s="122" t="s">
        <v>585</v>
      </c>
      <c r="H809" s="122">
        <v>0.0</v>
      </c>
      <c r="J809" s="133">
        <v>0.0</v>
      </c>
      <c r="K809" s="419"/>
      <c r="L809" s="122" t="s">
        <v>585</v>
      </c>
      <c r="N809" s="133" t="s">
        <v>585</v>
      </c>
      <c r="P809" s="122" t="s">
        <v>585</v>
      </c>
      <c r="R809" s="122" t="s">
        <v>585</v>
      </c>
      <c r="T809" s="122" t="s">
        <v>585</v>
      </c>
    </row>
    <row r="810">
      <c r="B810" s="122"/>
      <c r="C810" s="122"/>
      <c r="D810" s="345"/>
      <c r="E810" s="346"/>
      <c r="F810" s="346"/>
      <c r="G810" s="122" t="s">
        <v>585</v>
      </c>
      <c r="H810" s="122">
        <v>0.0</v>
      </c>
      <c r="J810" s="133">
        <v>0.0</v>
      </c>
      <c r="K810" s="419"/>
      <c r="L810" s="122" t="s">
        <v>585</v>
      </c>
      <c r="N810" s="133" t="s">
        <v>585</v>
      </c>
      <c r="P810" s="122" t="s">
        <v>585</v>
      </c>
      <c r="R810" s="122" t="s">
        <v>585</v>
      </c>
      <c r="T810" s="122" t="s">
        <v>585</v>
      </c>
    </row>
    <row r="811">
      <c r="B811" s="122"/>
      <c r="C811" s="122"/>
      <c r="D811" s="345"/>
      <c r="E811" s="346"/>
      <c r="F811" s="346"/>
      <c r="G811" s="122" t="s">
        <v>585</v>
      </c>
      <c r="H811" s="122">
        <v>0.0</v>
      </c>
      <c r="J811" s="133">
        <v>0.0</v>
      </c>
      <c r="K811" s="419"/>
      <c r="L811" s="122" t="s">
        <v>585</v>
      </c>
      <c r="N811" s="133" t="s">
        <v>585</v>
      </c>
      <c r="P811" s="122" t="s">
        <v>585</v>
      </c>
      <c r="R811" s="122" t="s">
        <v>585</v>
      </c>
      <c r="T811" s="122" t="s">
        <v>585</v>
      </c>
    </row>
    <row r="812">
      <c r="B812" s="122"/>
      <c r="C812" s="122"/>
      <c r="D812" s="345"/>
      <c r="E812" s="346"/>
      <c r="F812" s="346"/>
      <c r="G812" s="122" t="s">
        <v>585</v>
      </c>
      <c r="H812" s="122">
        <v>0.0</v>
      </c>
      <c r="J812" s="133">
        <v>0.0</v>
      </c>
      <c r="K812" s="419"/>
      <c r="L812" s="122" t="s">
        <v>585</v>
      </c>
      <c r="N812" s="133" t="s">
        <v>585</v>
      </c>
      <c r="P812" s="122" t="s">
        <v>585</v>
      </c>
      <c r="R812" s="122" t="s">
        <v>585</v>
      </c>
      <c r="T812" s="122" t="s">
        <v>585</v>
      </c>
    </row>
    <row r="813">
      <c r="B813" s="122"/>
      <c r="C813" s="122"/>
      <c r="D813" s="345"/>
      <c r="E813" s="346"/>
      <c r="F813" s="346"/>
      <c r="G813" s="122" t="s">
        <v>585</v>
      </c>
      <c r="H813" s="122">
        <v>0.0</v>
      </c>
      <c r="J813" s="133">
        <v>0.0</v>
      </c>
      <c r="K813" s="419"/>
      <c r="L813" s="122" t="s">
        <v>585</v>
      </c>
      <c r="N813" s="133" t="s">
        <v>585</v>
      </c>
      <c r="P813" s="122" t="s">
        <v>585</v>
      </c>
      <c r="R813" s="122" t="s">
        <v>585</v>
      </c>
      <c r="T813" s="122" t="s">
        <v>585</v>
      </c>
    </row>
    <row r="814">
      <c r="B814" s="122"/>
      <c r="C814" s="122"/>
      <c r="D814" s="345"/>
      <c r="E814" s="346"/>
      <c r="F814" s="346"/>
      <c r="G814" s="122" t="s">
        <v>585</v>
      </c>
      <c r="H814" s="122">
        <v>0.0</v>
      </c>
      <c r="J814" s="133">
        <v>0.0</v>
      </c>
      <c r="K814" s="419"/>
      <c r="L814" s="122" t="s">
        <v>585</v>
      </c>
      <c r="N814" s="133" t="s">
        <v>585</v>
      </c>
      <c r="P814" s="122" t="s">
        <v>585</v>
      </c>
      <c r="R814" s="122" t="s">
        <v>585</v>
      </c>
      <c r="T814" s="122" t="s">
        <v>585</v>
      </c>
    </row>
    <row r="815">
      <c r="B815" s="122"/>
      <c r="C815" s="122"/>
      <c r="D815" s="345"/>
      <c r="E815" s="346"/>
      <c r="F815" s="346"/>
      <c r="G815" s="122" t="s">
        <v>585</v>
      </c>
      <c r="H815" s="122">
        <v>0.0</v>
      </c>
      <c r="J815" s="133">
        <v>0.0</v>
      </c>
      <c r="K815" s="419"/>
      <c r="L815" s="122" t="s">
        <v>585</v>
      </c>
      <c r="N815" s="133" t="s">
        <v>585</v>
      </c>
      <c r="P815" s="122" t="s">
        <v>585</v>
      </c>
      <c r="R815" s="122" t="s">
        <v>585</v>
      </c>
      <c r="T815" s="122" t="s">
        <v>585</v>
      </c>
    </row>
    <row r="816">
      <c r="B816" s="122"/>
      <c r="C816" s="122"/>
      <c r="D816" s="345"/>
      <c r="E816" s="346"/>
      <c r="F816" s="346"/>
      <c r="G816" s="122" t="s">
        <v>585</v>
      </c>
      <c r="H816" s="122">
        <v>0.0</v>
      </c>
      <c r="J816" s="133">
        <v>0.0</v>
      </c>
      <c r="K816" s="419"/>
      <c r="L816" s="122" t="s">
        <v>585</v>
      </c>
      <c r="N816" s="133" t="s">
        <v>585</v>
      </c>
      <c r="P816" s="122" t="s">
        <v>585</v>
      </c>
      <c r="R816" s="122" t="s">
        <v>585</v>
      </c>
      <c r="T816" s="122" t="s">
        <v>585</v>
      </c>
    </row>
    <row r="817">
      <c r="B817" s="122"/>
      <c r="C817" s="122"/>
      <c r="D817" s="345"/>
      <c r="E817" s="346"/>
      <c r="F817" s="346"/>
      <c r="G817" s="122" t="s">
        <v>585</v>
      </c>
      <c r="H817" s="122">
        <v>0.0</v>
      </c>
      <c r="J817" s="133">
        <v>0.0</v>
      </c>
      <c r="K817" s="419"/>
      <c r="L817" s="122" t="s">
        <v>585</v>
      </c>
      <c r="N817" s="133" t="s">
        <v>585</v>
      </c>
      <c r="P817" s="122" t="s">
        <v>585</v>
      </c>
      <c r="R817" s="122" t="s">
        <v>585</v>
      </c>
      <c r="T817" s="122" t="s">
        <v>585</v>
      </c>
    </row>
    <row r="818">
      <c r="B818" s="122"/>
      <c r="C818" s="122"/>
      <c r="D818" s="345"/>
      <c r="E818" s="346"/>
      <c r="F818" s="346"/>
      <c r="G818" s="122" t="s">
        <v>585</v>
      </c>
      <c r="H818" s="122">
        <v>0.0</v>
      </c>
      <c r="J818" s="133">
        <v>0.0</v>
      </c>
      <c r="K818" s="419"/>
      <c r="L818" s="122" t="s">
        <v>585</v>
      </c>
      <c r="N818" s="133" t="s">
        <v>585</v>
      </c>
      <c r="P818" s="122" t="s">
        <v>585</v>
      </c>
      <c r="R818" s="122" t="s">
        <v>585</v>
      </c>
      <c r="T818" s="122" t="s">
        <v>585</v>
      </c>
    </row>
    <row r="819">
      <c r="B819" s="122"/>
      <c r="C819" s="122"/>
      <c r="D819" s="345"/>
      <c r="E819" s="346"/>
      <c r="F819" s="346"/>
      <c r="G819" s="122" t="s">
        <v>585</v>
      </c>
      <c r="H819" s="122">
        <v>0.0</v>
      </c>
      <c r="J819" s="133">
        <v>0.0</v>
      </c>
      <c r="K819" s="419"/>
      <c r="L819" s="122" t="s">
        <v>585</v>
      </c>
      <c r="N819" s="133" t="s">
        <v>585</v>
      </c>
      <c r="P819" s="122" t="s">
        <v>585</v>
      </c>
      <c r="R819" s="122" t="s">
        <v>585</v>
      </c>
      <c r="T819" s="122" t="s">
        <v>585</v>
      </c>
    </row>
    <row r="820">
      <c r="B820" s="122"/>
      <c r="C820" s="122"/>
      <c r="D820" s="345"/>
      <c r="E820" s="346"/>
      <c r="F820" s="346"/>
      <c r="G820" s="122" t="s">
        <v>585</v>
      </c>
      <c r="H820" s="122">
        <v>0.0</v>
      </c>
      <c r="J820" s="133">
        <v>0.0</v>
      </c>
      <c r="K820" s="419"/>
      <c r="L820" s="122" t="s">
        <v>585</v>
      </c>
      <c r="N820" s="133" t="s">
        <v>585</v>
      </c>
      <c r="P820" s="122" t="s">
        <v>585</v>
      </c>
      <c r="R820" s="122" t="s">
        <v>585</v>
      </c>
      <c r="T820" s="122" t="s">
        <v>585</v>
      </c>
    </row>
    <row r="821">
      <c r="B821" s="122"/>
      <c r="C821" s="122"/>
      <c r="D821" s="345"/>
      <c r="E821" s="346"/>
      <c r="F821" s="346"/>
      <c r="G821" s="122" t="s">
        <v>585</v>
      </c>
      <c r="H821" s="122">
        <v>0.0</v>
      </c>
      <c r="J821" s="133">
        <v>0.0</v>
      </c>
      <c r="K821" s="419"/>
      <c r="L821" s="122" t="s">
        <v>585</v>
      </c>
      <c r="N821" s="133" t="s">
        <v>585</v>
      </c>
      <c r="P821" s="122" t="s">
        <v>585</v>
      </c>
      <c r="R821" s="122" t="s">
        <v>585</v>
      </c>
      <c r="T821" s="122" t="s">
        <v>585</v>
      </c>
    </row>
    <row r="822">
      <c r="B822" s="122"/>
      <c r="C822" s="122"/>
      <c r="D822" s="345"/>
      <c r="E822" s="346"/>
      <c r="F822" s="346"/>
      <c r="G822" s="122" t="s">
        <v>585</v>
      </c>
      <c r="H822" s="122">
        <v>0.0</v>
      </c>
      <c r="J822" s="133">
        <v>0.0</v>
      </c>
      <c r="K822" s="419"/>
      <c r="L822" s="122" t="s">
        <v>585</v>
      </c>
      <c r="N822" s="133" t="s">
        <v>585</v>
      </c>
      <c r="P822" s="122" t="s">
        <v>585</v>
      </c>
      <c r="R822" s="122" t="s">
        <v>585</v>
      </c>
      <c r="T822" s="122" t="s">
        <v>585</v>
      </c>
    </row>
    <row r="823">
      <c r="B823" s="122"/>
      <c r="C823" s="122"/>
      <c r="D823" s="345"/>
      <c r="E823" s="346"/>
      <c r="F823" s="346"/>
      <c r="G823" s="122" t="s">
        <v>585</v>
      </c>
      <c r="H823" s="122">
        <v>0.0</v>
      </c>
      <c r="J823" s="133">
        <v>0.0</v>
      </c>
      <c r="K823" s="419"/>
      <c r="L823" s="122" t="s">
        <v>585</v>
      </c>
      <c r="N823" s="133" t="s">
        <v>585</v>
      </c>
      <c r="P823" s="122" t="s">
        <v>585</v>
      </c>
      <c r="R823" s="122" t="s">
        <v>585</v>
      </c>
      <c r="T823" s="122" t="s">
        <v>585</v>
      </c>
    </row>
    <row r="824">
      <c r="B824" s="122"/>
      <c r="C824" s="122"/>
      <c r="D824" s="345"/>
      <c r="E824" s="346"/>
      <c r="F824" s="346"/>
      <c r="G824" s="122" t="s">
        <v>585</v>
      </c>
      <c r="H824" s="122">
        <v>0.0</v>
      </c>
      <c r="J824" s="133">
        <v>0.0</v>
      </c>
      <c r="K824" s="419"/>
      <c r="L824" s="122" t="s">
        <v>585</v>
      </c>
      <c r="N824" s="133" t="s">
        <v>585</v>
      </c>
      <c r="P824" s="122" t="s">
        <v>585</v>
      </c>
      <c r="R824" s="122" t="s">
        <v>585</v>
      </c>
      <c r="T824" s="122" t="s">
        <v>585</v>
      </c>
    </row>
    <row r="825">
      <c r="B825" s="122"/>
      <c r="C825" s="122"/>
      <c r="D825" s="345"/>
      <c r="E825" s="346"/>
      <c r="F825" s="346"/>
      <c r="G825" s="122" t="s">
        <v>585</v>
      </c>
      <c r="H825" s="122">
        <v>0.0</v>
      </c>
      <c r="J825" s="133">
        <v>0.0</v>
      </c>
      <c r="K825" s="419"/>
      <c r="L825" s="122" t="s">
        <v>585</v>
      </c>
      <c r="N825" s="133" t="s">
        <v>585</v>
      </c>
      <c r="P825" s="122" t="s">
        <v>585</v>
      </c>
      <c r="R825" s="122" t="s">
        <v>585</v>
      </c>
      <c r="T825" s="122" t="s">
        <v>585</v>
      </c>
    </row>
    <row r="826">
      <c r="B826" s="122"/>
      <c r="C826" s="122"/>
      <c r="D826" s="345"/>
      <c r="E826" s="346"/>
      <c r="F826" s="346"/>
      <c r="G826" s="122" t="s">
        <v>585</v>
      </c>
      <c r="H826" s="122">
        <v>0.0</v>
      </c>
      <c r="J826" s="133">
        <v>0.0</v>
      </c>
      <c r="K826" s="419"/>
      <c r="L826" s="122" t="s">
        <v>585</v>
      </c>
      <c r="N826" s="133" t="s">
        <v>585</v>
      </c>
      <c r="P826" s="122" t="s">
        <v>585</v>
      </c>
      <c r="R826" s="122" t="s">
        <v>585</v>
      </c>
      <c r="T826" s="122" t="s">
        <v>585</v>
      </c>
    </row>
    <row r="827">
      <c r="B827" s="122"/>
      <c r="C827" s="122"/>
      <c r="D827" s="345"/>
      <c r="E827" s="346"/>
      <c r="F827" s="346"/>
      <c r="G827" s="122" t="s">
        <v>585</v>
      </c>
      <c r="H827" s="122">
        <v>0.0</v>
      </c>
      <c r="J827" s="133">
        <v>0.0</v>
      </c>
      <c r="K827" s="419"/>
      <c r="L827" s="122" t="s">
        <v>585</v>
      </c>
      <c r="N827" s="133" t="s">
        <v>585</v>
      </c>
      <c r="P827" s="122" t="s">
        <v>585</v>
      </c>
      <c r="R827" s="122" t="s">
        <v>585</v>
      </c>
      <c r="T827" s="122" t="s">
        <v>585</v>
      </c>
    </row>
    <row r="828">
      <c r="B828" s="122"/>
      <c r="C828" s="122"/>
      <c r="D828" s="345"/>
      <c r="E828" s="346"/>
      <c r="F828" s="346"/>
      <c r="G828" s="122" t="s">
        <v>585</v>
      </c>
      <c r="H828" s="122">
        <v>0.0</v>
      </c>
      <c r="J828" s="133">
        <v>0.0</v>
      </c>
      <c r="K828" s="419"/>
      <c r="L828" s="122" t="s">
        <v>585</v>
      </c>
      <c r="N828" s="133" t="s">
        <v>585</v>
      </c>
      <c r="P828" s="122" t="s">
        <v>585</v>
      </c>
      <c r="R828" s="122" t="s">
        <v>585</v>
      </c>
      <c r="T828" s="122" t="s">
        <v>585</v>
      </c>
    </row>
    <row r="829">
      <c r="B829" s="122"/>
      <c r="C829" s="122"/>
      <c r="D829" s="345"/>
      <c r="E829" s="346"/>
      <c r="F829" s="346"/>
      <c r="G829" s="122" t="s">
        <v>585</v>
      </c>
      <c r="H829" s="122">
        <v>0.0</v>
      </c>
      <c r="J829" s="133">
        <v>0.0</v>
      </c>
      <c r="K829" s="419"/>
      <c r="L829" s="122" t="s">
        <v>585</v>
      </c>
      <c r="N829" s="133" t="s">
        <v>585</v>
      </c>
      <c r="P829" s="122" t="s">
        <v>585</v>
      </c>
      <c r="R829" s="122" t="s">
        <v>585</v>
      </c>
      <c r="T829" s="122" t="s">
        <v>585</v>
      </c>
    </row>
    <row r="830">
      <c r="B830" s="122"/>
      <c r="C830" s="122"/>
      <c r="D830" s="345"/>
      <c r="E830" s="346"/>
      <c r="F830" s="346"/>
      <c r="G830" s="122" t="s">
        <v>585</v>
      </c>
      <c r="H830" s="122">
        <v>0.0</v>
      </c>
      <c r="J830" s="133">
        <v>0.0</v>
      </c>
      <c r="K830" s="419"/>
      <c r="L830" s="122" t="s">
        <v>585</v>
      </c>
      <c r="N830" s="133" t="s">
        <v>585</v>
      </c>
      <c r="P830" s="122" t="s">
        <v>585</v>
      </c>
      <c r="R830" s="122" t="s">
        <v>585</v>
      </c>
      <c r="T830" s="122" t="s">
        <v>585</v>
      </c>
    </row>
    <row r="831">
      <c r="B831" s="122"/>
      <c r="C831" s="122"/>
      <c r="D831" s="345"/>
      <c r="E831" s="346"/>
      <c r="F831" s="346"/>
      <c r="G831" s="122" t="s">
        <v>585</v>
      </c>
      <c r="H831" s="122">
        <v>0.0</v>
      </c>
      <c r="J831" s="133">
        <v>0.0</v>
      </c>
      <c r="K831" s="419"/>
      <c r="L831" s="122" t="s">
        <v>585</v>
      </c>
      <c r="N831" s="133" t="s">
        <v>585</v>
      </c>
      <c r="P831" s="122" t="s">
        <v>585</v>
      </c>
      <c r="R831" s="122" t="s">
        <v>585</v>
      </c>
      <c r="T831" s="122" t="s">
        <v>585</v>
      </c>
    </row>
    <row r="832">
      <c r="B832" s="122"/>
      <c r="C832" s="122"/>
      <c r="D832" s="345"/>
      <c r="E832" s="346"/>
      <c r="F832" s="346"/>
      <c r="G832" s="122" t="s">
        <v>585</v>
      </c>
      <c r="H832" s="122">
        <v>0.0</v>
      </c>
      <c r="J832" s="133">
        <v>0.0</v>
      </c>
      <c r="K832" s="419"/>
      <c r="L832" s="122" t="s">
        <v>585</v>
      </c>
      <c r="N832" s="133" t="s">
        <v>585</v>
      </c>
      <c r="P832" s="122" t="s">
        <v>585</v>
      </c>
      <c r="R832" s="122" t="s">
        <v>585</v>
      </c>
      <c r="T832" s="122" t="s">
        <v>585</v>
      </c>
    </row>
    <row r="833">
      <c r="B833" s="122"/>
      <c r="C833" s="122"/>
      <c r="D833" s="345"/>
      <c r="E833" s="346"/>
      <c r="F833" s="346"/>
      <c r="G833" s="122" t="s">
        <v>585</v>
      </c>
      <c r="H833" s="122">
        <v>0.0</v>
      </c>
      <c r="J833" s="133">
        <v>0.0</v>
      </c>
      <c r="K833" s="419"/>
      <c r="L833" s="122" t="s">
        <v>585</v>
      </c>
      <c r="N833" s="133" t="s">
        <v>585</v>
      </c>
      <c r="P833" s="122" t="s">
        <v>585</v>
      </c>
      <c r="R833" s="122" t="s">
        <v>585</v>
      </c>
      <c r="T833" s="122" t="s">
        <v>585</v>
      </c>
    </row>
    <row r="834">
      <c r="B834" s="122"/>
      <c r="C834" s="122"/>
      <c r="D834" s="345"/>
      <c r="E834" s="346"/>
      <c r="F834" s="346"/>
      <c r="G834" s="122" t="s">
        <v>585</v>
      </c>
      <c r="H834" s="122">
        <v>0.0</v>
      </c>
      <c r="J834" s="133">
        <v>0.0</v>
      </c>
      <c r="K834" s="419"/>
      <c r="L834" s="122" t="s">
        <v>585</v>
      </c>
      <c r="N834" s="133" t="s">
        <v>585</v>
      </c>
      <c r="P834" s="122" t="s">
        <v>585</v>
      </c>
      <c r="R834" s="122" t="s">
        <v>585</v>
      </c>
      <c r="T834" s="122" t="s">
        <v>585</v>
      </c>
    </row>
    <row r="835">
      <c r="B835" s="122"/>
      <c r="C835" s="122"/>
      <c r="D835" s="345"/>
      <c r="E835" s="346"/>
      <c r="F835" s="346"/>
      <c r="G835" s="122" t="s">
        <v>585</v>
      </c>
      <c r="H835" s="122">
        <v>0.0</v>
      </c>
      <c r="J835" s="133">
        <v>0.0</v>
      </c>
      <c r="K835" s="419"/>
      <c r="L835" s="122" t="s">
        <v>585</v>
      </c>
      <c r="N835" s="133" t="s">
        <v>585</v>
      </c>
      <c r="P835" s="122" t="s">
        <v>585</v>
      </c>
      <c r="R835" s="122" t="s">
        <v>585</v>
      </c>
      <c r="T835" s="122" t="s">
        <v>585</v>
      </c>
    </row>
    <row r="836">
      <c r="B836" s="122"/>
      <c r="C836" s="122"/>
      <c r="D836" s="345"/>
      <c r="E836" s="346"/>
      <c r="F836" s="346"/>
      <c r="G836" s="122" t="s">
        <v>585</v>
      </c>
      <c r="H836" s="122">
        <v>0.0</v>
      </c>
      <c r="J836" s="133">
        <v>0.0</v>
      </c>
      <c r="K836" s="419"/>
      <c r="L836" s="122" t="s">
        <v>585</v>
      </c>
      <c r="N836" s="133" t="s">
        <v>585</v>
      </c>
      <c r="P836" s="122" t="s">
        <v>585</v>
      </c>
      <c r="R836" s="122" t="s">
        <v>585</v>
      </c>
      <c r="T836" s="122" t="s">
        <v>585</v>
      </c>
    </row>
    <row r="837">
      <c r="B837" s="122"/>
      <c r="C837" s="122"/>
      <c r="D837" s="345"/>
      <c r="E837" s="346"/>
      <c r="F837" s="346"/>
      <c r="G837" s="122" t="s">
        <v>585</v>
      </c>
      <c r="H837" s="122">
        <v>0.0</v>
      </c>
      <c r="J837" s="133">
        <v>0.0</v>
      </c>
      <c r="K837" s="419"/>
      <c r="L837" s="122" t="s">
        <v>585</v>
      </c>
      <c r="N837" s="133" t="s">
        <v>585</v>
      </c>
      <c r="P837" s="122" t="s">
        <v>585</v>
      </c>
      <c r="R837" s="122" t="s">
        <v>585</v>
      </c>
      <c r="T837" s="122" t="s">
        <v>585</v>
      </c>
    </row>
    <row r="838">
      <c r="B838" s="122"/>
      <c r="C838" s="122"/>
      <c r="D838" s="345"/>
      <c r="E838" s="346"/>
      <c r="F838" s="346"/>
      <c r="G838" s="122" t="s">
        <v>585</v>
      </c>
      <c r="H838" s="122">
        <v>0.0</v>
      </c>
      <c r="J838" s="133">
        <v>0.0</v>
      </c>
      <c r="K838" s="419"/>
      <c r="L838" s="122" t="s">
        <v>585</v>
      </c>
      <c r="N838" s="133" t="s">
        <v>585</v>
      </c>
      <c r="P838" s="122" t="s">
        <v>585</v>
      </c>
      <c r="R838" s="122" t="s">
        <v>585</v>
      </c>
      <c r="T838" s="122" t="s">
        <v>585</v>
      </c>
    </row>
    <row r="839">
      <c r="B839" s="122"/>
      <c r="C839" s="122"/>
      <c r="D839" s="345"/>
      <c r="E839" s="346"/>
      <c r="F839" s="346"/>
      <c r="G839" s="122" t="s">
        <v>585</v>
      </c>
      <c r="H839" s="122">
        <v>0.0</v>
      </c>
      <c r="J839" s="133">
        <v>0.0</v>
      </c>
      <c r="K839" s="419"/>
      <c r="L839" s="122" t="s">
        <v>585</v>
      </c>
      <c r="N839" s="133" t="s">
        <v>585</v>
      </c>
      <c r="P839" s="122" t="s">
        <v>585</v>
      </c>
      <c r="R839" s="122" t="s">
        <v>585</v>
      </c>
      <c r="T839" s="122" t="s">
        <v>585</v>
      </c>
    </row>
    <row r="840">
      <c r="B840" s="122"/>
      <c r="C840" s="122"/>
      <c r="D840" s="345"/>
      <c r="E840" s="346"/>
      <c r="F840" s="346"/>
      <c r="G840" s="122" t="s">
        <v>585</v>
      </c>
      <c r="H840" s="122">
        <v>0.0</v>
      </c>
      <c r="J840" s="133">
        <v>0.0</v>
      </c>
      <c r="K840" s="419"/>
      <c r="L840" s="122" t="s">
        <v>585</v>
      </c>
      <c r="N840" s="133" t="s">
        <v>585</v>
      </c>
      <c r="P840" s="122" t="s">
        <v>585</v>
      </c>
      <c r="R840" s="122" t="s">
        <v>585</v>
      </c>
      <c r="T840" s="122" t="s">
        <v>585</v>
      </c>
    </row>
    <row r="841">
      <c r="B841" s="122"/>
      <c r="C841" s="122"/>
      <c r="D841" s="345"/>
      <c r="E841" s="346"/>
      <c r="F841" s="346"/>
      <c r="G841" s="122" t="s">
        <v>585</v>
      </c>
      <c r="H841" s="122">
        <v>0.0</v>
      </c>
      <c r="J841" s="133">
        <v>0.0</v>
      </c>
      <c r="K841" s="419"/>
      <c r="L841" s="122" t="s">
        <v>585</v>
      </c>
      <c r="N841" s="133" t="s">
        <v>585</v>
      </c>
      <c r="P841" s="122" t="s">
        <v>585</v>
      </c>
      <c r="R841" s="122" t="s">
        <v>585</v>
      </c>
      <c r="T841" s="122" t="s">
        <v>585</v>
      </c>
    </row>
    <row r="842">
      <c r="B842" s="122"/>
      <c r="C842" s="122"/>
      <c r="D842" s="345"/>
      <c r="E842" s="346"/>
      <c r="F842" s="346"/>
      <c r="G842" s="122" t="s">
        <v>585</v>
      </c>
      <c r="H842" s="122">
        <v>0.0</v>
      </c>
      <c r="J842" s="133">
        <v>0.0</v>
      </c>
      <c r="K842" s="419"/>
      <c r="L842" s="122" t="s">
        <v>585</v>
      </c>
      <c r="N842" s="133" t="s">
        <v>585</v>
      </c>
      <c r="P842" s="122" t="s">
        <v>585</v>
      </c>
      <c r="R842" s="122" t="s">
        <v>585</v>
      </c>
      <c r="T842" s="122" t="s">
        <v>585</v>
      </c>
    </row>
    <row r="843">
      <c r="B843" s="122"/>
      <c r="C843" s="122"/>
      <c r="D843" s="345"/>
      <c r="E843" s="346"/>
      <c r="F843" s="346"/>
      <c r="G843" s="122" t="s">
        <v>585</v>
      </c>
      <c r="H843" s="122">
        <v>0.0</v>
      </c>
      <c r="J843" s="133">
        <v>0.0</v>
      </c>
      <c r="K843" s="419"/>
      <c r="L843" s="122" t="s">
        <v>585</v>
      </c>
      <c r="N843" s="133" t="s">
        <v>585</v>
      </c>
      <c r="P843" s="122" t="s">
        <v>585</v>
      </c>
      <c r="R843" s="122" t="s">
        <v>585</v>
      </c>
      <c r="T843" s="122" t="s">
        <v>585</v>
      </c>
    </row>
    <row r="844">
      <c r="B844" s="122"/>
      <c r="C844" s="122"/>
      <c r="D844" s="345"/>
      <c r="E844" s="346"/>
      <c r="F844" s="346"/>
      <c r="G844" s="122" t="s">
        <v>585</v>
      </c>
      <c r="H844" s="122">
        <v>0.0</v>
      </c>
      <c r="J844" s="133">
        <v>0.0</v>
      </c>
      <c r="K844" s="419"/>
      <c r="L844" s="122" t="s">
        <v>585</v>
      </c>
      <c r="N844" s="133" t="s">
        <v>585</v>
      </c>
      <c r="P844" s="122" t="s">
        <v>585</v>
      </c>
      <c r="R844" s="122" t="s">
        <v>585</v>
      </c>
      <c r="T844" s="122" t="s">
        <v>585</v>
      </c>
    </row>
    <row r="845">
      <c r="B845" s="122"/>
      <c r="C845" s="122"/>
      <c r="D845" s="345"/>
      <c r="E845" s="346"/>
      <c r="F845" s="346"/>
      <c r="G845" s="122" t="s">
        <v>585</v>
      </c>
      <c r="H845" s="122">
        <v>0.0</v>
      </c>
      <c r="J845" s="133">
        <v>0.0</v>
      </c>
      <c r="K845" s="419"/>
      <c r="L845" s="122" t="s">
        <v>585</v>
      </c>
      <c r="N845" s="133" t="s">
        <v>585</v>
      </c>
      <c r="P845" s="122" t="s">
        <v>585</v>
      </c>
      <c r="R845" s="122" t="s">
        <v>585</v>
      </c>
      <c r="T845" s="122" t="s">
        <v>585</v>
      </c>
    </row>
    <row r="846">
      <c r="B846" s="122"/>
      <c r="C846" s="122"/>
      <c r="D846" s="345"/>
      <c r="E846" s="346"/>
      <c r="F846" s="346"/>
      <c r="G846" s="122" t="s">
        <v>585</v>
      </c>
      <c r="H846" s="122">
        <v>0.0</v>
      </c>
      <c r="J846" s="133">
        <v>0.0</v>
      </c>
      <c r="K846" s="419"/>
      <c r="L846" s="122" t="s">
        <v>585</v>
      </c>
      <c r="N846" s="133" t="s">
        <v>585</v>
      </c>
      <c r="P846" s="122" t="s">
        <v>585</v>
      </c>
      <c r="R846" s="122" t="s">
        <v>585</v>
      </c>
      <c r="T846" s="122" t="s">
        <v>585</v>
      </c>
    </row>
    <row r="847">
      <c r="B847" s="122"/>
      <c r="C847" s="122"/>
      <c r="D847" s="345"/>
      <c r="E847" s="346"/>
      <c r="F847" s="346"/>
      <c r="G847" s="122" t="s">
        <v>585</v>
      </c>
      <c r="H847" s="122">
        <v>0.0</v>
      </c>
      <c r="J847" s="133">
        <v>0.0</v>
      </c>
      <c r="K847" s="419"/>
      <c r="L847" s="122" t="s">
        <v>585</v>
      </c>
      <c r="N847" s="133" t="s">
        <v>585</v>
      </c>
      <c r="P847" s="122" t="s">
        <v>585</v>
      </c>
      <c r="R847" s="122" t="s">
        <v>585</v>
      </c>
      <c r="T847" s="122" t="s">
        <v>585</v>
      </c>
    </row>
    <row r="848">
      <c r="B848" s="122"/>
      <c r="C848" s="122"/>
      <c r="D848" s="345"/>
      <c r="E848" s="346"/>
      <c r="F848" s="346"/>
      <c r="G848" s="122" t="s">
        <v>585</v>
      </c>
      <c r="H848" s="122">
        <v>0.0</v>
      </c>
      <c r="J848" s="133">
        <v>0.0</v>
      </c>
      <c r="K848" s="419"/>
      <c r="L848" s="122" t="s">
        <v>585</v>
      </c>
      <c r="N848" s="133" t="s">
        <v>585</v>
      </c>
      <c r="P848" s="122" t="s">
        <v>585</v>
      </c>
      <c r="R848" s="122" t="s">
        <v>585</v>
      </c>
      <c r="T848" s="122" t="s">
        <v>585</v>
      </c>
    </row>
    <row r="849">
      <c r="B849" s="122"/>
      <c r="C849" s="122"/>
      <c r="D849" s="345"/>
      <c r="E849" s="346"/>
      <c r="F849" s="346"/>
      <c r="G849" s="122" t="s">
        <v>585</v>
      </c>
      <c r="H849" s="122">
        <v>0.0</v>
      </c>
      <c r="J849" s="133">
        <v>0.0</v>
      </c>
      <c r="K849" s="419"/>
      <c r="L849" s="122" t="s">
        <v>585</v>
      </c>
      <c r="N849" s="133" t="s">
        <v>585</v>
      </c>
      <c r="P849" s="122" t="s">
        <v>585</v>
      </c>
      <c r="R849" s="122" t="s">
        <v>585</v>
      </c>
      <c r="T849" s="122" t="s">
        <v>585</v>
      </c>
    </row>
    <row r="850">
      <c r="B850" s="122"/>
      <c r="C850" s="122"/>
      <c r="D850" s="345"/>
      <c r="E850" s="346"/>
      <c r="F850" s="346"/>
      <c r="G850" s="122" t="s">
        <v>585</v>
      </c>
      <c r="H850" s="122">
        <v>0.0</v>
      </c>
      <c r="J850" s="133">
        <v>0.0</v>
      </c>
      <c r="K850" s="419"/>
      <c r="L850" s="122" t="s">
        <v>585</v>
      </c>
      <c r="N850" s="133" t="s">
        <v>585</v>
      </c>
      <c r="P850" s="122" t="s">
        <v>585</v>
      </c>
      <c r="R850" s="122" t="s">
        <v>585</v>
      </c>
      <c r="T850" s="122" t="s">
        <v>585</v>
      </c>
    </row>
    <row r="851">
      <c r="B851" s="122"/>
      <c r="C851" s="122"/>
      <c r="D851" s="345"/>
      <c r="E851" s="346"/>
      <c r="F851" s="346"/>
      <c r="G851" s="122" t="s">
        <v>585</v>
      </c>
      <c r="H851" s="122">
        <v>0.0</v>
      </c>
      <c r="J851" s="133">
        <v>0.0</v>
      </c>
      <c r="K851" s="419"/>
      <c r="L851" s="122" t="s">
        <v>585</v>
      </c>
      <c r="N851" s="133" t="s">
        <v>585</v>
      </c>
      <c r="P851" s="122" t="s">
        <v>585</v>
      </c>
      <c r="R851" s="122" t="s">
        <v>585</v>
      </c>
      <c r="T851" s="122" t="s">
        <v>585</v>
      </c>
    </row>
    <row r="852">
      <c r="B852" s="122"/>
      <c r="C852" s="122"/>
      <c r="D852" s="345"/>
      <c r="E852" s="346"/>
      <c r="F852" s="346"/>
      <c r="G852" s="122" t="s">
        <v>585</v>
      </c>
      <c r="H852" s="122">
        <v>0.0</v>
      </c>
      <c r="J852" s="133">
        <v>0.0</v>
      </c>
      <c r="K852" s="419"/>
      <c r="L852" s="122" t="s">
        <v>585</v>
      </c>
      <c r="N852" s="133" t="s">
        <v>585</v>
      </c>
      <c r="P852" s="122" t="s">
        <v>585</v>
      </c>
      <c r="R852" s="122" t="s">
        <v>585</v>
      </c>
      <c r="T852" s="122" t="s">
        <v>585</v>
      </c>
    </row>
    <row r="853">
      <c r="B853" s="122"/>
      <c r="C853" s="122"/>
      <c r="D853" s="345"/>
      <c r="E853" s="346"/>
      <c r="F853" s="346"/>
      <c r="G853" s="122" t="s">
        <v>585</v>
      </c>
      <c r="H853" s="122">
        <v>0.0</v>
      </c>
      <c r="J853" s="133">
        <v>0.0</v>
      </c>
      <c r="K853" s="419"/>
      <c r="L853" s="122" t="s">
        <v>585</v>
      </c>
      <c r="N853" s="133" t="s">
        <v>585</v>
      </c>
      <c r="P853" s="122" t="s">
        <v>585</v>
      </c>
      <c r="R853" s="122" t="s">
        <v>585</v>
      </c>
      <c r="T853" s="122" t="s">
        <v>585</v>
      </c>
    </row>
    <row r="854">
      <c r="B854" s="122"/>
      <c r="C854" s="122"/>
      <c r="D854" s="345"/>
      <c r="E854" s="346"/>
      <c r="F854" s="346"/>
      <c r="G854" s="122" t="s">
        <v>585</v>
      </c>
      <c r="H854" s="122">
        <v>0.0</v>
      </c>
      <c r="J854" s="133">
        <v>0.0</v>
      </c>
      <c r="K854" s="419"/>
      <c r="L854" s="122" t="s">
        <v>585</v>
      </c>
      <c r="N854" s="133" t="s">
        <v>585</v>
      </c>
      <c r="P854" s="122" t="s">
        <v>585</v>
      </c>
      <c r="R854" s="122" t="s">
        <v>585</v>
      </c>
      <c r="T854" s="122" t="s">
        <v>585</v>
      </c>
    </row>
    <row r="855">
      <c r="B855" s="122"/>
      <c r="C855" s="122"/>
      <c r="D855" s="345"/>
      <c r="E855" s="346"/>
      <c r="F855" s="346"/>
      <c r="G855" s="122" t="s">
        <v>585</v>
      </c>
      <c r="H855" s="122">
        <v>0.0</v>
      </c>
      <c r="J855" s="133">
        <v>0.0</v>
      </c>
      <c r="K855" s="419"/>
      <c r="L855" s="122" t="s">
        <v>585</v>
      </c>
      <c r="N855" s="133" t="s">
        <v>585</v>
      </c>
      <c r="P855" s="122" t="s">
        <v>585</v>
      </c>
      <c r="R855" s="122" t="s">
        <v>585</v>
      </c>
      <c r="T855" s="122" t="s">
        <v>585</v>
      </c>
    </row>
    <row r="856">
      <c r="B856" s="122"/>
      <c r="C856" s="122"/>
      <c r="D856" s="345"/>
      <c r="E856" s="346"/>
      <c r="F856" s="346"/>
      <c r="G856" s="122" t="s">
        <v>585</v>
      </c>
      <c r="H856" s="122">
        <v>0.0</v>
      </c>
      <c r="J856" s="133">
        <v>0.0</v>
      </c>
      <c r="K856" s="419"/>
      <c r="L856" s="122" t="s">
        <v>585</v>
      </c>
      <c r="N856" s="133" t="s">
        <v>585</v>
      </c>
      <c r="P856" s="122" t="s">
        <v>585</v>
      </c>
      <c r="R856" s="122" t="s">
        <v>585</v>
      </c>
      <c r="T856" s="122" t="s">
        <v>585</v>
      </c>
    </row>
    <row r="857">
      <c r="B857" s="122"/>
      <c r="C857" s="122"/>
      <c r="D857" s="345"/>
      <c r="E857" s="346"/>
      <c r="F857" s="346"/>
      <c r="G857" s="122" t="s">
        <v>585</v>
      </c>
      <c r="H857" s="122">
        <v>0.0</v>
      </c>
      <c r="J857" s="133">
        <v>0.0</v>
      </c>
      <c r="K857" s="419"/>
      <c r="L857" s="122" t="s">
        <v>585</v>
      </c>
      <c r="N857" s="133" t="s">
        <v>585</v>
      </c>
      <c r="P857" s="122" t="s">
        <v>585</v>
      </c>
      <c r="R857" s="122" t="s">
        <v>585</v>
      </c>
      <c r="T857" s="122" t="s">
        <v>585</v>
      </c>
    </row>
    <row r="858">
      <c r="B858" s="122"/>
      <c r="C858" s="122"/>
      <c r="D858" s="345"/>
      <c r="E858" s="346"/>
      <c r="F858" s="346"/>
      <c r="G858" s="122" t="s">
        <v>585</v>
      </c>
      <c r="H858" s="122">
        <v>0.0</v>
      </c>
      <c r="J858" s="133">
        <v>0.0</v>
      </c>
      <c r="K858" s="419"/>
      <c r="L858" s="122" t="s">
        <v>585</v>
      </c>
      <c r="N858" s="133" t="s">
        <v>585</v>
      </c>
      <c r="P858" s="122" t="s">
        <v>585</v>
      </c>
      <c r="R858" s="122" t="s">
        <v>585</v>
      </c>
      <c r="T858" s="122" t="s">
        <v>585</v>
      </c>
    </row>
    <row r="859">
      <c r="B859" s="122"/>
      <c r="C859" s="122"/>
      <c r="D859" s="345"/>
      <c r="E859" s="346"/>
      <c r="F859" s="346"/>
      <c r="G859" s="122" t="s">
        <v>585</v>
      </c>
      <c r="H859" s="122">
        <v>0.0</v>
      </c>
      <c r="J859" s="133">
        <v>0.0</v>
      </c>
      <c r="K859" s="419"/>
      <c r="L859" s="122" t="s">
        <v>585</v>
      </c>
      <c r="N859" s="133" t="s">
        <v>585</v>
      </c>
      <c r="P859" s="122" t="s">
        <v>585</v>
      </c>
      <c r="R859" s="122" t="s">
        <v>585</v>
      </c>
      <c r="T859" s="122" t="s">
        <v>585</v>
      </c>
    </row>
    <row r="860">
      <c r="B860" s="122"/>
      <c r="C860" s="122"/>
      <c r="D860" s="345"/>
      <c r="E860" s="346"/>
      <c r="F860" s="346"/>
      <c r="G860" s="122" t="s">
        <v>585</v>
      </c>
      <c r="H860" s="122">
        <v>0.0</v>
      </c>
      <c r="J860" s="133">
        <v>0.0</v>
      </c>
      <c r="K860" s="419"/>
      <c r="L860" s="122" t="s">
        <v>585</v>
      </c>
      <c r="N860" s="133" t="s">
        <v>585</v>
      </c>
      <c r="P860" s="122" t="s">
        <v>585</v>
      </c>
      <c r="R860" s="122" t="s">
        <v>585</v>
      </c>
      <c r="T860" s="122" t="s">
        <v>585</v>
      </c>
    </row>
    <row r="861">
      <c r="B861" s="122"/>
      <c r="C861" s="122"/>
      <c r="D861" s="345"/>
      <c r="E861" s="346"/>
      <c r="F861" s="346"/>
      <c r="G861" s="122" t="s">
        <v>585</v>
      </c>
      <c r="H861" s="122">
        <v>0.0</v>
      </c>
      <c r="J861" s="133">
        <v>0.0</v>
      </c>
      <c r="K861" s="419"/>
      <c r="L861" s="122" t="s">
        <v>585</v>
      </c>
      <c r="N861" s="133" t="s">
        <v>585</v>
      </c>
      <c r="P861" s="122" t="s">
        <v>585</v>
      </c>
      <c r="R861" s="122" t="s">
        <v>585</v>
      </c>
      <c r="T861" s="122" t="s">
        <v>585</v>
      </c>
    </row>
    <row r="862">
      <c r="B862" s="122"/>
      <c r="C862" s="122"/>
      <c r="D862" s="345"/>
      <c r="E862" s="346"/>
      <c r="F862" s="346"/>
      <c r="G862" s="122" t="s">
        <v>585</v>
      </c>
      <c r="H862" s="122">
        <v>0.0</v>
      </c>
      <c r="J862" s="133">
        <v>0.0</v>
      </c>
      <c r="K862" s="419"/>
      <c r="L862" s="122" t="s">
        <v>585</v>
      </c>
      <c r="N862" s="133" t="s">
        <v>585</v>
      </c>
      <c r="P862" s="122" t="s">
        <v>585</v>
      </c>
      <c r="R862" s="122" t="s">
        <v>585</v>
      </c>
      <c r="T862" s="122" t="s">
        <v>585</v>
      </c>
    </row>
    <row r="863">
      <c r="B863" s="122"/>
      <c r="C863" s="122"/>
      <c r="D863" s="345"/>
      <c r="E863" s="346"/>
      <c r="F863" s="346"/>
      <c r="G863" s="122" t="s">
        <v>585</v>
      </c>
      <c r="H863" s="122">
        <v>0.0</v>
      </c>
      <c r="J863" s="133">
        <v>0.0</v>
      </c>
      <c r="K863" s="419"/>
      <c r="L863" s="122" t="s">
        <v>585</v>
      </c>
      <c r="N863" s="133" t="s">
        <v>585</v>
      </c>
      <c r="P863" s="122" t="s">
        <v>585</v>
      </c>
      <c r="R863" s="122" t="s">
        <v>585</v>
      </c>
      <c r="T863" s="122" t="s">
        <v>585</v>
      </c>
    </row>
    <row r="864">
      <c r="B864" s="122"/>
      <c r="C864" s="122"/>
      <c r="D864" s="345"/>
      <c r="E864" s="346"/>
      <c r="F864" s="346"/>
      <c r="G864" s="122" t="s">
        <v>585</v>
      </c>
      <c r="H864" s="122">
        <v>0.0</v>
      </c>
      <c r="J864" s="133">
        <v>0.0</v>
      </c>
      <c r="K864" s="419"/>
      <c r="L864" s="122" t="s">
        <v>585</v>
      </c>
      <c r="N864" s="133" t="s">
        <v>585</v>
      </c>
      <c r="P864" s="122" t="s">
        <v>585</v>
      </c>
      <c r="R864" s="122" t="s">
        <v>585</v>
      </c>
      <c r="T864" s="122" t="s">
        <v>585</v>
      </c>
    </row>
    <row r="865">
      <c r="B865" s="122"/>
      <c r="C865" s="122"/>
      <c r="D865" s="345"/>
      <c r="E865" s="346"/>
      <c r="F865" s="346"/>
      <c r="G865" s="122" t="s">
        <v>585</v>
      </c>
      <c r="H865" s="122">
        <v>0.0</v>
      </c>
      <c r="J865" s="133">
        <v>0.0</v>
      </c>
      <c r="K865" s="419"/>
      <c r="L865" s="122" t="s">
        <v>585</v>
      </c>
      <c r="N865" s="133" t="s">
        <v>585</v>
      </c>
      <c r="P865" s="122" t="s">
        <v>585</v>
      </c>
      <c r="R865" s="122" t="s">
        <v>585</v>
      </c>
      <c r="T865" s="122" t="s">
        <v>585</v>
      </c>
    </row>
    <row r="866">
      <c r="B866" s="122"/>
      <c r="C866" s="122"/>
      <c r="D866" s="345"/>
      <c r="E866" s="346"/>
      <c r="F866" s="346"/>
      <c r="G866" s="122" t="s">
        <v>585</v>
      </c>
      <c r="H866" s="122">
        <v>0.0</v>
      </c>
      <c r="J866" s="133">
        <v>0.0</v>
      </c>
      <c r="K866" s="419"/>
      <c r="L866" s="122" t="s">
        <v>585</v>
      </c>
      <c r="N866" s="133" t="s">
        <v>585</v>
      </c>
      <c r="P866" s="122" t="s">
        <v>585</v>
      </c>
      <c r="R866" s="122" t="s">
        <v>585</v>
      </c>
      <c r="T866" s="122" t="s">
        <v>585</v>
      </c>
    </row>
    <row r="867">
      <c r="B867" s="122"/>
      <c r="C867" s="122"/>
      <c r="D867" s="345"/>
      <c r="E867" s="346"/>
      <c r="F867" s="346"/>
      <c r="G867" s="122" t="s">
        <v>585</v>
      </c>
      <c r="H867" s="122">
        <v>0.0</v>
      </c>
      <c r="J867" s="133">
        <v>0.0</v>
      </c>
      <c r="K867" s="419"/>
      <c r="L867" s="122" t="s">
        <v>585</v>
      </c>
      <c r="N867" s="133" t="s">
        <v>585</v>
      </c>
      <c r="P867" s="122" t="s">
        <v>585</v>
      </c>
      <c r="R867" s="122" t="s">
        <v>585</v>
      </c>
      <c r="T867" s="122" t="s">
        <v>585</v>
      </c>
    </row>
    <row r="868">
      <c r="B868" s="122"/>
      <c r="C868" s="122"/>
      <c r="D868" s="345"/>
      <c r="E868" s="346"/>
      <c r="F868" s="346"/>
      <c r="G868" s="122" t="s">
        <v>585</v>
      </c>
      <c r="H868" s="122">
        <v>0.0</v>
      </c>
      <c r="J868" s="133">
        <v>0.0</v>
      </c>
      <c r="K868" s="419"/>
      <c r="L868" s="122" t="s">
        <v>585</v>
      </c>
      <c r="N868" s="133" t="s">
        <v>585</v>
      </c>
      <c r="P868" s="122" t="s">
        <v>585</v>
      </c>
      <c r="R868" s="122" t="s">
        <v>585</v>
      </c>
      <c r="T868" s="122" t="s">
        <v>585</v>
      </c>
    </row>
    <row r="869">
      <c r="B869" s="122"/>
      <c r="C869" s="122"/>
      <c r="D869" s="345"/>
      <c r="E869" s="346"/>
      <c r="F869" s="346"/>
      <c r="G869" s="122" t="s">
        <v>585</v>
      </c>
      <c r="H869" s="122">
        <v>0.0</v>
      </c>
      <c r="J869" s="133">
        <v>0.0</v>
      </c>
      <c r="K869" s="419"/>
      <c r="L869" s="122" t="s">
        <v>585</v>
      </c>
      <c r="N869" s="133" t="s">
        <v>585</v>
      </c>
      <c r="P869" s="122" t="s">
        <v>585</v>
      </c>
      <c r="R869" s="122" t="s">
        <v>585</v>
      </c>
      <c r="T869" s="122" t="s">
        <v>585</v>
      </c>
    </row>
    <row r="870">
      <c r="B870" s="122"/>
      <c r="C870" s="122"/>
      <c r="D870" s="345"/>
      <c r="E870" s="346"/>
      <c r="F870" s="346"/>
      <c r="G870" s="122" t="s">
        <v>585</v>
      </c>
      <c r="H870" s="122">
        <v>0.0</v>
      </c>
      <c r="J870" s="133">
        <v>0.0</v>
      </c>
      <c r="K870" s="419"/>
      <c r="L870" s="122" t="s">
        <v>585</v>
      </c>
      <c r="N870" s="133" t="s">
        <v>585</v>
      </c>
      <c r="P870" s="122" t="s">
        <v>585</v>
      </c>
      <c r="R870" s="122" t="s">
        <v>585</v>
      </c>
      <c r="T870" s="122" t="s">
        <v>585</v>
      </c>
    </row>
    <row r="871">
      <c r="B871" s="122"/>
      <c r="C871" s="122"/>
      <c r="D871" s="345"/>
      <c r="E871" s="346"/>
      <c r="F871" s="346"/>
      <c r="G871" s="122" t="s">
        <v>585</v>
      </c>
      <c r="H871" s="122">
        <v>0.0</v>
      </c>
      <c r="J871" s="133">
        <v>0.0</v>
      </c>
      <c r="K871" s="419"/>
      <c r="L871" s="122" t="s">
        <v>585</v>
      </c>
      <c r="N871" s="133" t="s">
        <v>585</v>
      </c>
      <c r="P871" s="122" t="s">
        <v>585</v>
      </c>
      <c r="R871" s="122" t="s">
        <v>585</v>
      </c>
      <c r="T871" s="122" t="s">
        <v>585</v>
      </c>
    </row>
    <row r="872">
      <c r="B872" s="122"/>
      <c r="C872" s="122"/>
      <c r="D872" s="345"/>
      <c r="E872" s="346"/>
      <c r="F872" s="346"/>
      <c r="G872" s="122" t="s">
        <v>585</v>
      </c>
      <c r="H872" s="122">
        <v>0.0</v>
      </c>
      <c r="J872" s="133">
        <v>0.0</v>
      </c>
      <c r="K872" s="419"/>
      <c r="L872" s="122" t="s">
        <v>585</v>
      </c>
      <c r="N872" s="133" t="s">
        <v>585</v>
      </c>
      <c r="P872" s="122" t="s">
        <v>585</v>
      </c>
      <c r="R872" s="122" t="s">
        <v>585</v>
      </c>
      <c r="T872" s="122" t="s">
        <v>585</v>
      </c>
    </row>
    <row r="873">
      <c r="B873" s="122"/>
      <c r="C873" s="122"/>
      <c r="D873" s="345"/>
      <c r="E873" s="346"/>
      <c r="F873" s="346"/>
      <c r="G873" s="122" t="s">
        <v>585</v>
      </c>
      <c r="H873" s="122">
        <v>0.0</v>
      </c>
      <c r="J873" s="133">
        <v>0.0</v>
      </c>
      <c r="K873" s="419"/>
      <c r="L873" s="122" t="s">
        <v>585</v>
      </c>
      <c r="N873" s="133" t="s">
        <v>585</v>
      </c>
      <c r="P873" s="122" t="s">
        <v>585</v>
      </c>
      <c r="R873" s="122" t="s">
        <v>585</v>
      </c>
      <c r="T873" s="122" t="s">
        <v>585</v>
      </c>
    </row>
    <row r="874">
      <c r="B874" s="122"/>
      <c r="C874" s="122"/>
      <c r="D874" s="345"/>
      <c r="E874" s="346"/>
      <c r="F874" s="346"/>
      <c r="G874" s="122" t="s">
        <v>585</v>
      </c>
      <c r="H874" s="122">
        <v>0.0</v>
      </c>
      <c r="J874" s="133">
        <v>0.0</v>
      </c>
      <c r="K874" s="419"/>
      <c r="L874" s="122" t="s">
        <v>585</v>
      </c>
      <c r="N874" s="133" t="s">
        <v>585</v>
      </c>
      <c r="P874" s="122" t="s">
        <v>585</v>
      </c>
      <c r="R874" s="122" t="s">
        <v>585</v>
      </c>
      <c r="T874" s="122" t="s">
        <v>585</v>
      </c>
    </row>
    <row r="875">
      <c r="B875" s="122"/>
      <c r="C875" s="122"/>
      <c r="D875" s="345"/>
      <c r="E875" s="346"/>
      <c r="F875" s="346"/>
      <c r="G875" s="122" t="s">
        <v>585</v>
      </c>
      <c r="H875" s="122">
        <v>0.0</v>
      </c>
      <c r="J875" s="133">
        <v>0.0</v>
      </c>
      <c r="K875" s="419"/>
      <c r="L875" s="122" t="s">
        <v>585</v>
      </c>
      <c r="N875" s="133" t="s">
        <v>585</v>
      </c>
      <c r="P875" s="122" t="s">
        <v>585</v>
      </c>
      <c r="R875" s="122" t="s">
        <v>585</v>
      </c>
      <c r="T875" s="122" t="s">
        <v>585</v>
      </c>
    </row>
    <row r="876">
      <c r="B876" s="122"/>
      <c r="C876" s="122"/>
      <c r="D876" s="345"/>
      <c r="E876" s="346"/>
      <c r="F876" s="346"/>
      <c r="G876" s="122" t="s">
        <v>585</v>
      </c>
      <c r="H876" s="122">
        <v>0.0</v>
      </c>
      <c r="J876" s="133">
        <v>0.0</v>
      </c>
      <c r="K876" s="419"/>
      <c r="L876" s="122" t="s">
        <v>585</v>
      </c>
      <c r="N876" s="133" t="s">
        <v>585</v>
      </c>
      <c r="P876" s="122" t="s">
        <v>585</v>
      </c>
      <c r="R876" s="122" t="s">
        <v>585</v>
      </c>
      <c r="T876" s="122" t="s">
        <v>585</v>
      </c>
    </row>
    <row r="877">
      <c r="B877" s="122"/>
      <c r="C877" s="122"/>
      <c r="D877" s="345"/>
      <c r="E877" s="346"/>
      <c r="F877" s="346"/>
      <c r="G877" s="122" t="s">
        <v>585</v>
      </c>
      <c r="H877" s="122">
        <v>0.0</v>
      </c>
      <c r="J877" s="133">
        <v>0.0</v>
      </c>
      <c r="K877" s="419"/>
      <c r="L877" s="122" t="s">
        <v>585</v>
      </c>
      <c r="N877" s="133" t="s">
        <v>585</v>
      </c>
      <c r="P877" s="122" t="s">
        <v>585</v>
      </c>
      <c r="R877" s="122" t="s">
        <v>585</v>
      </c>
      <c r="T877" s="122" t="s">
        <v>585</v>
      </c>
    </row>
    <row r="878">
      <c r="B878" s="122"/>
      <c r="C878" s="122"/>
      <c r="D878" s="345"/>
      <c r="E878" s="346"/>
      <c r="F878" s="346"/>
      <c r="G878" s="122" t="s">
        <v>585</v>
      </c>
      <c r="H878" s="122">
        <v>0.0</v>
      </c>
      <c r="J878" s="133">
        <v>0.0</v>
      </c>
      <c r="K878" s="419"/>
      <c r="L878" s="122" t="s">
        <v>585</v>
      </c>
      <c r="N878" s="133" t="s">
        <v>585</v>
      </c>
      <c r="P878" s="122" t="s">
        <v>585</v>
      </c>
      <c r="R878" s="122" t="s">
        <v>585</v>
      </c>
      <c r="T878" s="122" t="s">
        <v>585</v>
      </c>
    </row>
    <row r="879">
      <c r="B879" s="122"/>
      <c r="C879" s="122"/>
      <c r="D879" s="345"/>
      <c r="E879" s="346"/>
      <c r="F879" s="346"/>
      <c r="G879" s="122" t="s">
        <v>585</v>
      </c>
      <c r="H879" s="122">
        <v>0.0</v>
      </c>
      <c r="J879" s="133">
        <v>0.0</v>
      </c>
      <c r="K879" s="419"/>
      <c r="L879" s="122" t="s">
        <v>585</v>
      </c>
      <c r="N879" s="133" t="s">
        <v>585</v>
      </c>
      <c r="P879" s="122" t="s">
        <v>585</v>
      </c>
      <c r="R879" s="122" t="s">
        <v>585</v>
      </c>
      <c r="T879" s="122" t="s">
        <v>585</v>
      </c>
    </row>
    <row r="880">
      <c r="B880" s="122"/>
      <c r="C880" s="122"/>
      <c r="D880" s="345"/>
      <c r="E880" s="346"/>
      <c r="F880" s="346"/>
      <c r="G880" s="122" t="s">
        <v>585</v>
      </c>
      <c r="H880" s="122">
        <v>0.0</v>
      </c>
      <c r="J880" s="133">
        <v>0.0</v>
      </c>
      <c r="K880" s="419"/>
      <c r="L880" s="122" t="s">
        <v>585</v>
      </c>
      <c r="N880" s="133" t="s">
        <v>585</v>
      </c>
      <c r="P880" s="122" t="s">
        <v>585</v>
      </c>
      <c r="R880" s="122" t="s">
        <v>585</v>
      </c>
      <c r="T880" s="122" t="s">
        <v>585</v>
      </c>
    </row>
    <row r="881">
      <c r="B881" s="122"/>
      <c r="C881" s="122"/>
      <c r="D881" s="345"/>
      <c r="E881" s="346"/>
      <c r="F881" s="346"/>
      <c r="G881" s="122" t="s">
        <v>585</v>
      </c>
      <c r="H881" s="122">
        <v>0.0</v>
      </c>
      <c r="J881" s="133">
        <v>0.0</v>
      </c>
      <c r="K881" s="419"/>
      <c r="L881" s="122" t="s">
        <v>585</v>
      </c>
      <c r="N881" s="133" t="s">
        <v>585</v>
      </c>
      <c r="P881" s="122" t="s">
        <v>585</v>
      </c>
      <c r="R881" s="122" t="s">
        <v>585</v>
      </c>
      <c r="T881" s="122" t="s">
        <v>585</v>
      </c>
    </row>
    <row r="882">
      <c r="B882" s="122"/>
      <c r="C882" s="122"/>
      <c r="D882" s="345"/>
      <c r="E882" s="346"/>
      <c r="F882" s="346"/>
      <c r="G882" s="122" t="s">
        <v>585</v>
      </c>
      <c r="H882" s="122">
        <v>0.0</v>
      </c>
      <c r="J882" s="133">
        <v>0.0</v>
      </c>
      <c r="K882" s="419"/>
      <c r="L882" s="122" t="s">
        <v>585</v>
      </c>
      <c r="N882" s="133" t="s">
        <v>585</v>
      </c>
      <c r="P882" s="122" t="s">
        <v>585</v>
      </c>
      <c r="R882" s="122" t="s">
        <v>585</v>
      </c>
      <c r="T882" s="122" t="s">
        <v>585</v>
      </c>
    </row>
    <row r="883">
      <c r="B883" s="122"/>
      <c r="C883" s="122"/>
      <c r="D883" s="345"/>
      <c r="E883" s="346"/>
      <c r="F883" s="346"/>
      <c r="G883" s="122" t="s">
        <v>585</v>
      </c>
      <c r="H883" s="122">
        <v>0.0</v>
      </c>
      <c r="J883" s="133">
        <v>0.0</v>
      </c>
      <c r="K883" s="419"/>
      <c r="L883" s="122" t="s">
        <v>585</v>
      </c>
      <c r="N883" s="133" t="s">
        <v>585</v>
      </c>
      <c r="P883" s="122" t="s">
        <v>585</v>
      </c>
      <c r="R883" s="122" t="s">
        <v>585</v>
      </c>
      <c r="T883" s="122" t="s">
        <v>585</v>
      </c>
    </row>
    <row r="884">
      <c r="B884" s="122"/>
      <c r="C884" s="122"/>
      <c r="D884" s="345"/>
      <c r="E884" s="346"/>
      <c r="F884" s="346"/>
      <c r="G884" s="122" t="s">
        <v>585</v>
      </c>
      <c r="H884" s="122">
        <v>0.0</v>
      </c>
      <c r="J884" s="133">
        <v>0.0</v>
      </c>
      <c r="K884" s="419"/>
      <c r="L884" s="122" t="s">
        <v>585</v>
      </c>
      <c r="N884" s="133" t="s">
        <v>585</v>
      </c>
      <c r="P884" s="122" t="s">
        <v>585</v>
      </c>
      <c r="R884" s="122" t="s">
        <v>585</v>
      </c>
      <c r="T884" s="122" t="s">
        <v>585</v>
      </c>
    </row>
    <row r="885">
      <c r="B885" s="122"/>
      <c r="C885" s="122"/>
      <c r="D885" s="345"/>
      <c r="E885" s="346"/>
      <c r="F885" s="346"/>
      <c r="G885" s="122" t="s">
        <v>585</v>
      </c>
      <c r="H885" s="122">
        <v>0.0</v>
      </c>
      <c r="J885" s="133">
        <v>0.0</v>
      </c>
      <c r="K885" s="419"/>
      <c r="L885" s="122" t="s">
        <v>585</v>
      </c>
      <c r="N885" s="133" t="s">
        <v>585</v>
      </c>
      <c r="P885" s="122" t="s">
        <v>585</v>
      </c>
      <c r="R885" s="122" t="s">
        <v>585</v>
      </c>
      <c r="T885" s="122" t="s">
        <v>585</v>
      </c>
    </row>
    <row r="886">
      <c r="B886" s="122"/>
      <c r="C886" s="122"/>
      <c r="D886" s="345"/>
      <c r="E886" s="346"/>
      <c r="F886" s="346"/>
      <c r="G886" s="122" t="s">
        <v>585</v>
      </c>
      <c r="H886" s="122">
        <v>0.0</v>
      </c>
      <c r="J886" s="133">
        <v>0.0</v>
      </c>
      <c r="K886" s="419"/>
      <c r="L886" s="122" t="s">
        <v>585</v>
      </c>
      <c r="N886" s="133" t="s">
        <v>585</v>
      </c>
      <c r="P886" s="122" t="s">
        <v>585</v>
      </c>
      <c r="R886" s="122" t="s">
        <v>585</v>
      </c>
      <c r="T886" s="122" t="s">
        <v>585</v>
      </c>
    </row>
    <row r="887">
      <c r="B887" s="122"/>
      <c r="C887" s="122"/>
      <c r="D887" s="345"/>
      <c r="E887" s="346"/>
      <c r="F887" s="346"/>
      <c r="G887" s="122" t="s">
        <v>585</v>
      </c>
      <c r="H887" s="122">
        <v>0.0</v>
      </c>
      <c r="J887" s="133">
        <v>0.0</v>
      </c>
      <c r="K887" s="419"/>
      <c r="L887" s="122" t="s">
        <v>585</v>
      </c>
      <c r="N887" s="133" t="s">
        <v>585</v>
      </c>
      <c r="P887" s="122" t="s">
        <v>585</v>
      </c>
      <c r="R887" s="122" t="s">
        <v>585</v>
      </c>
      <c r="T887" s="122" t="s">
        <v>585</v>
      </c>
    </row>
    <row r="888">
      <c r="B888" s="122"/>
      <c r="C888" s="122"/>
      <c r="D888" s="345"/>
      <c r="E888" s="346"/>
      <c r="F888" s="346"/>
      <c r="G888" s="122" t="s">
        <v>585</v>
      </c>
      <c r="H888" s="122">
        <v>0.0</v>
      </c>
      <c r="J888" s="133">
        <v>0.0</v>
      </c>
      <c r="K888" s="419"/>
      <c r="L888" s="122" t="s">
        <v>585</v>
      </c>
      <c r="N888" s="133" t="s">
        <v>585</v>
      </c>
      <c r="P888" s="122" t="s">
        <v>585</v>
      </c>
      <c r="R888" s="122" t="s">
        <v>585</v>
      </c>
      <c r="T888" s="122" t="s">
        <v>585</v>
      </c>
    </row>
    <row r="889">
      <c r="B889" s="122"/>
      <c r="C889" s="122"/>
      <c r="D889" s="345"/>
      <c r="E889" s="346"/>
      <c r="F889" s="346"/>
      <c r="G889" s="122" t="s">
        <v>585</v>
      </c>
      <c r="H889" s="122">
        <v>0.0</v>
      </c>
      <c r="J889" s="133">
        <v>0.0</v>
      </c>
      <c r="K889" s="419"/>
      <c r="L889" s="122" t="s">
        <v>585</v>
      </c>
      <c r="N889" s="133" t="s">
        <v>585</v>
      </c>
      <c r="P889" s="122" t="s">
        <v>585</v>
      </c>
      <c r="R889" s="122" t="s">
        <v>585</v>
      </c>
      <c r="T889" s="122" t="s">
        <v>585</v>
      </c>
    </row>
    <row r="890">
      <c r="B890" s="122"/>
      <c r="C890" s="122"/>
      <c r="D890" s="345"/>
      <c r="E890" s="346"/>
      <c r="F890" s="346"/>
      <c r="G890" s="122" t="s">
        <v>585</v>
      </c>
      <c r="H890" s="122">
        <v>0.0</v>
      </c>
      <c r="J890" s="133">
        <v>0.0</v>
      </c>
      <c r="K890" s="419"/>
      <c r="L890" s="122" t="s">
        <v>585</v>
      </c>
      <c r="N890" s="133" t="s">
        <v>585</v>
      </c>
      <c r="P890" s="122" t="s">
        <v>585</v>
      </c>
      <c r="R890" s="122" t="s">
        <v>585</v>
      </c>
      <c r="T890" s="122" t="s">
        <v>585</v>
      </c>
    </row>
    <row r="891">
      <c r="B891" s="122"/>
      <c r="C891" s="122"/>
      <c r="D891" s="345"/>
      <c r="E891" s="346"/>
      <c r="F891" s="346"/>
      <c r="G891" s="122" t="s">
        <v>585</v>
      </c>
      <c r="H891" s="122">
        <v>0.0</v>
      </c>
      <c r="J891" s="133">
        <v>0.0</v>
      </c>
      <c r="K891" s="419"/>
      <c r="L891" s="122" t="s">
        <v>585</v>
      </c>
      <c r="N891" s="133" t="s">
        <v>585</v>
      </c>
      <c r="P891" s="122" t="s">
        <v>585</v>
      </c>
      <c r="R891" s="122" t="s">
        <v>585</v>
      </c>
      <c r="T891" s="122" t="s">
        <v>585</v>
      </c>
    </row>
    <row r="892">
      <c r="B892" s="122"/>
      <c r="C892" s="122"/>
      <c r="D892" s="345"/>
      <c r="E892" s="346"/>
      <c r="F892" s="346"/>
      <c r="G892" s="122" t="s">
        <v>585</v>
      </c>
      <c r="H892" s="122">
        <v>0.0</v>
      </c>
      <c r="J892" s="133">
        <v>0.0</v>
      </c>
      <c r="K892" s="419"/>
      <c r="L892" s="122" t="s">
        <v>585</v>
      </c>
      <c r="N892" s="133" t="s">
        <v>585</v>
      </c>
      <c r="P892" s="122" t="s">
        <v>585</v>
      </c>
      <c r="R892" s="122" t="s">
        <v>585</v>
      </c>
      <c r="T892" s="122" t="s">
        <v>585</v>
      </c>
    </row>
    <row r="893">
      <c r="B893" s="122"/>
      <c r="C893" s="122"/>
      <c r="D893" s="345"/>
      <c r="E893" s="346"/>
      <c r="F893" s="346"/>
      <c r="G893" s="122" t="s">
        <v>585</v>
      </c>
      <c r="H893" s="122">
        <v>0.0</v>
      </c>
      <c r="J893" s="133">
        <v>0.0</v>
      </c>
      <c r="K893" s="419"/>
      <c r="L893" s="122" t="s">
        <v>585</v>
      </c>
      <c r="N893" s="133" t="s">
        <v>585</v>
      </c>
      <c r="P893" s="122" t="s">
        <v>585</v>
      </c>
      <c r="R893" s="122" t="s">
        <v>585</v>
      </c>
      <c r="T893" s="122" t="s">
        <v>585</v>
      </c>
    </row>
    <row r="894">
      <c r="B894" s="122"/>
      <c r="C894" s="122"/>
      <c r="D894" s="345"/>
      <c r="E894" s="346"/>
      <c r="F894" s="346"/>
      <c r="G894" s="122" t="s">
        <v>585</v>
      </c>
      <c r="H894" s="122">
        <v>0.0</v>
      </c>
      <c r="J894" s="133">
        <v>0.0</v>
      </c>
      <c r="K894" s="419"/>
      <c r="L894" s="122" t="s">
        <v>585</v>
      </c>
      <c r="N894" s="133" t="s">
        <v>585</v>
      </c>
      <c r="P894" s="122" t="s">
        <v>585</v>
      </c>
      <c r="R894" s="122" t="s">
        <v>585</v>
      </c>
      <c r="T894" s="122" t="s">
        <v>585</v>
      </c>
    </row>
    <row r="895">
      <c r="B895" s="122"/>
      <c r="C895" s="122"/>
      <c r="D895" s="345"/>
      <c r="E895" s="346"/>
      <c r="F895" s="346"/>
      <c r="G895" s="122" t="s">
        <v>585</v>
      </c>
      <c r="H895" s="122">
        <v>0.0</v>
      </c>
      <c r="J895" s="133">
        <v>0.0</v>
      </c>
      <c r="K895" s="419"/>
      <c r="L895" s="122" t="s">
        <v>585</v>
      </c>
      <c r="N895" s="133" t="s">
        <v>585</v>
      </c>
      <c r="P895" s="122" t="s">
        <v>585</v>
      </c>
      <c r="R895" s="122" t="s">
        <v>585</v>
      </c>
      <c r="T895" s="122" t="s">
        <v>585</v>
      </c>
    </row>
    <row r="896">
      <c r="B896" s="122"/>
      <c r="C896" s="122"/>
      <c r="D896" s="345"/>
      <c r="E896" s="346"/>
      <c r="F896" s="346"/>
      <c r="G896" s="122" t="s">
        <v>585</v>
      </c>
      <c r="H896" s="122">
        <v>0.0</v>
      </c>
      <c r="J896" s="133">
        <v>0.0</v>
      </c>
      <c r="K896" s="419"/>
      <c r="L896" s="122" t="s">
        <v>585</v>
      </c>
      <c r="N896" s="133" t="s">
        <v>585</v>
      </c>
      <c r="P896" s="122" t="s">
        <v>585</v>
      </c>
      <c r="R896" s="122" t="s">
        <v>585</v>
      </c>
      <c r="T896" s="122" t="s">
        <v>585</v>
      </c>
    </row>
    <row r="897">
      <c r="B897" s="122"/>
      <c r="C897" s="122"/>
      <c r="D897" s="345"/>
      <c r="E897" s="346"/>
      <c r="F897" s="346"/>
      <c r="G897" s="122" t="s">
        <v>585</v>
      </c>
      <c r="H897" s="122">
        <v>0.0</v>
      </c>
      <c r="J897" s="133">
        <v>0.0</v>
      </c>
      <c r="K897" s="419"/>
      <c r="L897" s="122" t="s">
        <v>585</v>
      </c>
      <c r="N897" s="133" t="s">
        <v>585</v>
      </c>
      <c r="P897" s="122" t="s">
        <v>585</v>
      </c>
      <c r="R897" s="122" t="s">
        <v>585</v>
      </c>
      <c r="T897" s="122" t="s">
        <v>585</v>
      </c>
    </row>
    <row r="898">
      <c r="B898" s="122"/>
      <c r="C898" s="122"/>
      <c r="D898" s="345"/>
      <c r="E898" s="346"/>
      <c r="F898" s="346"/>
      <c r="G898" s="122" t="s">
        <v>585</v>
      </c>
      <c r="H898" s="122">
        <v>0.0</v>
      </c>
      <c r="J898" s="133">
        <v>0.0</v>
      </c>
      <c r="K898" s="419"/>
      <c r="L898" s="122" t="s">
        <v>585</v>
      </c>
      <c r="N898" s="133" t="s">
        <v>585</v>
      </c>
      <c r="P898" s="122" t="s">
        <v>585</v>
      </c>
      <c r="R898" s="122" t="s">
        <v>585</v>
      </c>
      <c r="T898" s="122" t="s">
        <v>585</v>
      </c>
    </row>
    <row r="899">
      <c r="B899" s="122"/>
      <c r="C899" s="122"/>
      <c r="D899" s="345"/>
      <c r="E899" s="346"/>
      <c r="F899" s="346"/>
      <c r="G899" s="122" t="s">
        <v>585</v>
      </c>
      <c r="H899" s="122">
        <v>0.0</v>
      </c>
      <c r="J899" s="133">
        <v>0.0</v>
      </c>
      <c r="K899" s="419"/>
      <c r="L899" s="122" t="s">
        <v>585</v>
      </c>
      <c r="N899" s="133" t="s">
        <v>585</v>
      </c>
      <c r="P899" s="122" t="s">
        <v>585</v>
      </c>
      <c r="R899" s="122" t="s">
        <v>585</v>
      </c>
      <c r="T899" s="122" t="s">
        <v>585</v>
      </c>
    </row>
    <row r="900">
      <c r="B900" s="122"/>
      <c r="C900" s="122"/>
      <c r="D900" s="345"/>
      <c r="E900" s="346"/>
      <c r="F900" s="346"/>
      <c r="G900" s="122" t="s">
        <v>585</v>
      </c>
      <c r="H900" s="122">
        <v>0.0</v>
      </c>
      <c r="J900" s="133">
        <v>0.0</v>
      </c>
      <c r="K900" s="419"/>
      <c r="L900" s="122" t="s">
        <v>585</v>
      </c>
      <c r="N900" s="133" t="s">
        <v>585</v>
      </c>
      <c r="P900" s="122" t="s">
        <v>585</v>
      </c>
      <c r="R900" s="122" t="s">
        <v>585</v>
      </c>
      <c r="T900" s="122" t="s">
        <v>585</v>
      </c>
    </row>
    <row r="901">
      <c r="B901" s="122"/>
      <c r="C901" s="122"/>
      <c r="D901" s="345"/>
      <c r="E901" s="346"/>
      <c r="F901" s="346"/>
      <c r="G901" s="122" t="s">
        <v>585</v>
      </c>
      <c r="H901" s="122">
        <v>0.0</v>
      </c>
      <c r="J901" s="133">
        <v>0.0</v>
      </c>
      <c r="K901" s="419"/>
      <c r="L901" s="122" t="s">
        <v>585</v>
      </c>
      <c r="N901" s="133" t="s">
        <v>585</v>
      </c>
      <c r="P901" s="122" t="s">
        <v>585</v>
      </c>
      <c r="R901" s="122" t="s">
        <v>585</v>
      </c>
      <c r="T901" s="122" t="s">
        <v>585</v>
      </c>
    </row>
    <row r="902">
      <c r="B902" s="122"/>
      <c r="C902" s="122"/>
      <c r="D902" s="345"/>
      <c r="E902" s="346"/>
      <c r="F902" s="346"/>
      <c r="G902" s="122" t="s">
        <v>585</v>
      </c>
      <c r="H902" s="122">
        <v>0.0</v>
      </c>
      <c r="J902" s="133">
        <v>0.0</v>
      </c>
      <c r="K902" s="419"/>
      <c r="L902" s="122" t="s">
        <v>585</v>
      </c>
      <c r="N902" s="133" t="s">
        <v>585</v>
      </c>
      <c r="P902" s="122" t="s">
        <v>585</v>
      </c>
      <c r="R902" s="122" t="s">
        <v>585</v>
      </c>
      <c r="T902" s="122" t="s">
        <v>585</v>
      </c>
    </row>
    <row r="903">
      <c r="B903" s="122"/>
      <c r="C903" s="122"/>
      <c r="D903" s="345"/>
      <c r="E903" s="346"/>
      <c r="F903" s="346"/>
      <c r="G903" s="122" t="s">
        <v>585</v>
      </c>
      <c r="H903" s="122">
        <v>0.0</v>
      </c>
      <c r="J903" s="133">
        <v>0.0</v>
      </c>
      <c r="K903" s="419"/>
      <c r="L903" s="122" t="s">
        <v>585</v>
      </c>
      <c r="N903" s="133" t="s">
        <v>585</v>
      </c>
      <c r="P903" s="122" t="s">
        <v>585</v>
      </c>
      <c r="R903" s="122" t="s">
        <v>585</v>
      </c>
      <c r="T903" s="122" t="s">
        <v>585</v>
      </c>
    </row>
    <row r="904">
      <c r="B904" s="122"/>
      <c r="C904" s="122"/>
      <c r="D904" s="345"/>
      <c r="E904" s="346"/>
      <c r="F904" s="346"/>
      <c r="G904" s="122" t="s">
        <v>585</v>
      </c>
      <c r="H904" s="122">
        <v>0.0</v>
      </c>
      <c r="J904" s="133">
        <v>0.0</v>
      </c>
      <c r="K904" s="419"/>
      <c r="L904" s="122" t="s">
        <v>585</v>
      </c>
      <c r="N904" s="133" t="s">
        <v>585</v>
      </c>
      <c r="P904" s="122" t="s">
        <v>585</v>
      </c>
      <c r="R904" s="122" t="s">
        <v>585</v>
      </c>
      <c r="T904" s="122" t="s">
        <v>585</v>
      </c>
    </row>
    <row r="905">
      <c r="B905" s="122"/>
      <c r="C905" s="122"/>
      <c r="D905" s="345"/>
      <c r="E905" s="346"/>
      <c r="F905" s="346"/>
      <c r="G905" s="122" t="s">
        <v>585</v>
      </c>
      <c r="H905" s="122">
        <v>0.0</v>
      </c>
      <c r="J905" s="133">
        <v>0.0</v>
      </c>
      <c r="K905" s="419"/>
      <c r="L905" s="122" t="s">
        <v>585</v>
      </c>
      <c r="N905" s="133" t="s">
        <v>585</v>
      </c>
      <c r="P905" s="122" t="s">
        <v>585</v>
      </c>
      <c r="R905" s="122" t="s">
        <v>585</v>
      </c>
      <c r="T905" s="122" t="s">
        <v>585</v>
      </c>
    </row>
    <row r="906">
      <c r="B906" s="122"/>
      <c r="C906" s="122"/>
      <c r="D906" s="345"/>
      <c r="E906" s="346"/>
      <c r="F906" s="346"/>
      <c r="G906" s="122" t="s">
        <v>585</v>
      </c>
      <c r="H906" s="122">
        <v>0.0</v>
      </c>
      <c r="J906" s="133">
        <v>0.0</v>
      </c>
      <c r="K906" s="419"/>
      <c r="L906" s="122" t="s">
        <v>585</v>
      </c>
      <c r="N906" s="133" t="s">
        <v>585</v>
      </c>
      <c r="P906" s="122" t="s">
        <v>585</v>
      </c>
      <c r="R906" s="122" t="s">
        <v>585</v>
      </c>
      <c r="T906" s="122" t="s">
        <v>585</v>
      </c>
    </row>
    <row r="907">
      <c r="B907" s="122"/>
      <c r="C907" s="122"/>
      <c r="D907" s="345"/>
      <c r="E907" s="346"/>
      <c r="F907" s="346"/>
      <c r="G907" s="122" t="s">
        <v>585</v>
      </c>
      <c r="H907" s="122">
        <v>0.0</v>
      </c>
      <c r="J907" s="133">
        <v>0.0</v>
      </c>
      <c r="K907" s="419"/>
      <c r="L907" s="122" t="s">
        <v>585</v>
      </c>
      <c r="N907" s="133" t="s">
        <v>585</v>
      </c>
      <c r="P907" s="122" t="s">
        <v>585</v>
      </c>
      <c r="R907" s="122" t="s">
        <v>585</v>
      </c>
      <c r="T907" s="122" t="s">
        <v>585</v>
      </c>
    </row>
    <row r="908">
      <c r="B908" s="122"/>
      <c r="C908" s="122"/>
      <c r="D908" s="345"/>
      <c r="E908" s="346"/>
      <c r="F908" s="346"/>
      <c r="G908" s="122" t="s">
        <v>585</v>
      </c>
      <c r="H908" s="122">
        <v>0.0</v>
      </c>
      <c r="J908" s="133">
        <v>0.0</v>
      </c>
      <c r="K908" s="419"/>
      <c r="L908" s="122" t="s">
        <v>585</v>
      </c>
      <c r="N908" s="133" t="s">
        <v>585</v>
      </c>
      <c r="P908" s="122" t="s">
        <v>585</v>
      </c>
      <c r="R908" s="122" t="s">
        <v>585</v>
      </c>
      <c r="T908" s="122" t="s">
        <v>585</v>
      </c>
    </row>
    <row r="909">
      <c r="B909" s="122"/>
      <c r="C909" s="122"/>
      <c r="D909" s="345"/>
      <c r="E909" s="346"/>
      <c r="F909" s="346"/>
      <c r="G909" s="122" t="s">
        <v>585</v>
      </c>
      <c r="H909" s="122">
        <v>0.0</v>
      </c>
      <c r="J909" s="133">
        <v>0.0</v>
      </c>
      <c r="K909" s="419"/>
      <c r="L909" s="122" t="s">
        <v>585</v>
      </c>
      <c r="N909" s="133" t="s">
        <v>585</v>
      </c>
      <c r="P909" s="122" t="s">
        <v>585</v>
      </c>
      <c r="R909" s="122" t="s">
        <v>585</v>
      </c>
      <c r="T909" s="122" t="s">
        <v>585</v>
      </c>
    </row>
    <row r="910">
      <c r="B910" s="122"/>
      <c r="C910" s="122"/>
      <c r="D910" s="345"/>
      <c r="E910" s="346"/>
      <c r="F910" s="346"/>
      <c r="G910" s="122" t="s">
        <v>585</v>
      </c>
      <c r="H910" s="122">
        <v>0.0</v>
      </c>
      <c r="J910" s="133">
        <v>0.0</v>
      </c>
      <c r="K910" s="419"/>
      <c r="L910" s="122" t="s">
        <v>585</v>
      </c>
      <c r="N910" s="133" t="s">
        <v>585</v>
      </c>
      <c r="P910" s="122" t="s">
        <v>585</v>
      </c>
      <c r="R910" s="122" t="s">
        <v>585</v>
      </c>
      <c r="T910" s="122" t="s">
        <v>585</v>
      </c>
    </row>
    <row r="911">
      <c r="B911" s="122"/>
      <c r="C911" s="122"/>
      <c r="D911" s="345"/>
      <c r="E911" s="346"/>
      <c r="F911" s="346"/>
      <c r="G911" s="122" t="s">
        <v>585</v>
      </c>
      <c r="H911" s="122">
        <v>0.0</v>
      </c>
      <c r="J911" s="133">
        <v>0.0</v>
      </c>
      <c r="K911" s="419"/>
      <c r="L911" s="122" t="s">
        <v>585</v>
      </c>
      <c r="N911" s="133" t="s">
        <v>585</v>
      </c>
      <c r="P911" s="122" t="s">
        <v>585</v>
      </c>
      <c r="R911" s="122" t="s">
        <v>585</v>
      </c>
      <c r="T911" s="122" t="s">
        <v>585</v>
      </c>
    </row>
    <row r="912">
      <c r="B912" s="122"/>
      <c r="C912" s="122"/>
      <c r="D912" s="345"/>
      <c r="E912" s="346"/>
      <c r="F912" s="346"/>
      <c r="G912" s="122" t="s">
        <v>585</v>
      </c>
      <c r="H912" s="122">
        <v>0.0</v>
      </c>
      <c r="J912" s="133">
        <v>0.0</v>
      </c>
      <c r="K912" s="419"/>
      <c r="L912" s="122" t="s">
        <v>585</v>
      </c>
      <c r="N912" s="133" t="s">
        <v>585</v>
      </c>
      <c r="P912" s="122" t="s">
        <v>585</v>
      </c>
      <c r="R912" s="122" t="s">
        <v>585</v>
      </c>
      <c r="T912" s="122" t="s">
        <v>585</v>
      </c>
    </row>
    <row r="913">
      <c r="B913" s="122"/>
      <c r="C913" s="122"/>
      <c r="D913" s="345"/>
      <c r="E913" s="346"/>
      <c r="F913" s="346"/>
      <c r="G913" s="122" t="s">
        <v>585</v>
      </c>
      <c r="H913" s="122">
        <v>0.0</v>
      </c>
      <c r="J913" s="133">
        <v>0.0</v>
      </c>
      <c r="K913" s="419"/>
      <c r="L913" s="122" t="s">
        <v>585</v>
      </c>
      <c r="N913" s="133" t="s">
        <v>585</v>
      </c>
      <c r="P913" s="122" t="s">
        <v>585</v>
      </c>
      <c r="R913" s="122" t="s">
        <v>585</v>
      </c>
      <c r="T913" s="122" t="s">
        <v>585</v>
      </c>
    </row>
    <row r="914">
      <c r="B914" s="122"/>
      <c r="C914" s="122"/>
      <c r="D914" s="345"/>
      <c r="E914" s="346"/>
      <c r="F914" s="346"/>
      <c r="G914" s="122" t="s">
        <v>585</v>
      </c>
      <c r="H914" s="122">
        <v>0.0</v>
      </c>
      <c r="J914" s="133">
        <v>0.0</v>
      </c>
      <c r="K914" s="419"/>
      <c r="L914" s="122" t="s">
        <v>585</v>
      </c>
      <c r="N914" s="133" t="s">
        <v>585</v>
      </c>
      <c r="P914" s="122" t="s">
        <v>585</v>
      </c>
      <c r="R914" s="122" t="s">
        <v>585</v>
      </c>
      <c r="T914" s="122" t="s">
        <v>585</v>
      </c>
    </row>
    <row r="915">
      <c r="B915" s="122"/>
      <c r="C915" s="122"/>
      <c r="D915" s="345"/>
      <c r="E915" s="346"/>
      <c r="F915" s="346"/>
      <c r="G915" s="122" t="s">
        <v>585</v>
      </c>
      <c r="H915" s="122">
        <v>0.0</v>
      </c>
      <c r="J915" s="133">
        <v>0.0</v>
      </c>
      <c r="K915" s="419"/>
      <c r="L915" s="122" t="s">
        <v>585</v>
      </c>
      <c r="N915" s="133" t="s">
        <v>585</v>
      </c>
      <c r="P915" s="122" t="s">
        <v>585</v>
      </c>
      <c r="R915" s="122" t="s">
        <v>585</v>
      </c>
      <c r="T915" s="122" t="s">
        <v>585</v>
      </c>
    </row>
    <row r="916">
      <c r="B916" s="122"/>
      <c r="C916" s="122"/>
      <c r="D916" s="345"/>
      <c r="E916" s="346"/>
      <c r="F916" s="346"/>
      <c r="G916" s="122" t="s">
        <v>585</v>
      </c>
      <c r="H916" s="122">
        <v>0.0</v>
      </c>
      <c r="J916" s="133">
        <v>0.0</v>
      </c>
      <c r="K916" s="419"/>
      <c r="L916" s="122" t="s">
        <v>585</v>
      </c>
      <c r="N916" s="133" t="s">
        <v>585</v>
      </c>
      <c r="P916" s="122" t="s">
        <v>585</v>
      </c>
      <c r="R916" s="122" t="s">
        <v>585</v>
      </c>
      <c r="T916" s="122" t="s">
        <v>585</v>
      </c>
    </row>
    <row r="917">
      <c r="B917" s="122"/>
      <c r="C917" s="122"/>
      <c r="D917" s="345"/>
      <c r="E917" s="346"/>
      <c r="F917" s="346"/>
      <c r="G917" s="122" t="s">
        <v>585</v>
      </c>
      <c r="H917" s="122">
        <v>0.0</v>
      </c>
      <c r="J917" s="133">
        <v>0.0</v>
      </c>
      <c r="K917" s="419"/>
      <c r="L917" s="122" t="s">
        <v>585</v>
      </c>
      <c r="N917" s="133" t="s">
        <v>585</v>
      </c>
      <c r="P917" s="122" t="s">
        <v>585</v>
      </c>
      <c r="R917" s="122" t="s">
        <v>585</v>
      </c>
      <c r="T917" s="122" t="s">
        <v>585</v>
      </c>
    </row>
    <row r="918">
      <c r="B918" s="122"/>
      <c r="C918" s="122"/>
      <c r="D918" s="345"/>
      <c r="E918" s="346"/>
      <c r="F918" s="346"/>
      <c r="G918" s="122" t="s">
        <v>585</v>
      </c>
      <c r="H918" s="122">
        <v>0.0</v>
      </c>
      <c r="J918" s="133">
        <v>0.0</v>
      </c>
      <c r="K918" s="419"/>
      <c r="L918" s="122" t="s">
        <v>585</v>
      </c>
      <c r="N918" s="133" t="s">
        <v>585</v>
      </c>
      <c r="P918" s="122" t="s">
        <v>585</v>
      </c>
      <c r="R918" s="122" t="s">
        <v>585</v>
      </c>
      <c r="T918" s="122" t="s">
        <v>585</v>
      </c>
    </row>
    <row r="919">
      <c r="B919" s="122"/>
      <c r="C919" s="122"/>
      <c r="D919" s="345"/>
      <c r="E919" s="346"/>
      <c r="F919" s="346"/>
      <c r="G919" s="122" t="s">
        <v>585</v>
      </c>
      <c r="H919" s="122">
        <v>0.0</v>
      </c>
      <c r="J919" s="133">
        <v>0.0</v>
      </c>
      <c r="K919" s="419"/>
      <c r="L919" s="122" t="s">
        <v>585</v>
      </c>
      <c r="N919" s="133" t="s">
        <v>585</v>
      </c>
      <c r="P919" s="122" t="s">
        <v>585</v>
      </c>
      <c r="R919" s="122" t="s">
        <v>585</v>
      </c>
      <c r="T919" s="122" t="s">
        <v>585</v>
      </c>
    </row>
    <row r="920">
      <c r="B920" s="122"/>
      <c r="C920" s="122"/>
      <c r="D920" s="345"/>
      <c r="E920" s="346"/>
      <c r="F920" s="346"/>
      <c r="G920" s="122" t="s">
        <v>585</v>
      </c>
      <c r="H920" s="122">
        <v>0.0</v>
      </c>
      <c r="J920" s="133">
        <v>0.0</v>
      </c>
      <c r="K920" s="419"/>
      <c r="L920" s="122" t="s">
        <v>585</v>
      </c>
      <c r="N920" s="133" t="s">
        <v>585</v>
      </c>
      <c r="P920" s="122" t="s">
        <v>585</v>
      </c>
      <c r="R920" s="122" t="s">
        <v>585</v>
      </c>
      <c r="T920" s="122" t="s">
        <v>585</v>
      </c>
    </row>
    <row r="921">
      <c r="B921" s="122"/>
      <c r="C921" s="122"/>
      <c r="D921" s="345"/>
      <c r="E921" s="346"/>
      <c r="F921" s="346"/>
      <c r="G921" s="122" t="s">
        <v>585</v>
      </c>
      <c r="H921" s="122">
        <v>0.0</v>
      </c>
      <c r="J921" s="133">
        <v>0.0</v>
      </c>
      <c r="K921" s="419"/>
      <c r="L921" s="122" t="s">
        <v>585</v>
      </c>
      <c r="N921" s="133" t="s">
        <v>585</v>
      </c>
      <c r="P921" s="122" t="s">
        <v>585</v>
      </c>
      <c r="R921" s="122" t="s">
        <v>585</v>
      </c>
      <c r="T921" s="122" t="s">
        <v>585</v>
      </c>
    </row>
    <row r="922">
      <c r="B922" s="122"/>
      <c r="C922" s="122"/>
      <c r="D922" s="345"/>
      <c r="E922" s="346"/>
      <c r="F922" s="346"/>
      <c r="G922" s="122" t="s">
        <v>585</v>
      </c>
      <c r="H922" s="122">
        <v>0.0</v>
      </c>
      <c r="J922" s="133">
        <v>0.0</v>
      </c>
      <c r="K922" s="419"/>
      <c r="L922" s="122" t="s">
        <v>585</v>
      </c>
      <c r="N922" s="133" t="s">
        <v>585</v>
      </c>
      <c r="P922" s="122" t="s">
        <v>585</v>
      </c>
      <c r="R922" s="122" t="s">
        <v>585</v>
      </c>
      <c r="T922" s="122" t="s">
        <v>585</v>
      </c>
    </row>
    <row r="923">
      <c r="B923" s="122"/>
      <c r="C923" s="122"/>
      <c r="D923" s="345"/>
      <c r="E923" s="346"/>
      <c r="F923" s="346"/>
      <c r="G923" s="122" t="s">
        <v>585</v>
      </c>
      <c r="H923" s="122">
        <v>0.0</v>
      </c>
      <c r="J923" s="133">
        <v>0.0</v>
      </c>
      <c r="K923" s="419"/>
      <c r="L923" s="122" t="s">
        <v>585</v>
      </c>
      <c r="N923" s="133" t="s">
        <v>585</v>
      </c>
      <c r="P923" s="122" t="s">
        <v>585</v>
      </c>
      <c r="R923" s="122" t="s">
        <v>585</v>
      </c>
      <c r="T923" s="122" t="s">
        <v>585</v>
      </c>
    </row>
    <row r="924">
      <c r="B924" s="122"/>
      <c r="C924" s="122"/>
      <c r="D924" s="345"/>
      <c r="E924" s="346"/>
      <c r="F924" s="346"/>
      <c r="G924" s="122" t="s">
        <v>585</v>
      </c>
      <c r="H924" s="122">
        <v>0.0</v>
      </c>
      <c r="J924" s="133">
        <v>0.0</v>
      </c>
      <c r="K924" s="419"/>
      <c r="L924" s="122" t="s">
        <v>585</v>
      </c>
      <c r="N924" s="133" t="s">
        <v>585</v>
      </c>
      <c r="P924" s="122" t="s">
        <v>585</v>
      </c>
      <c r="R924" s="122" t="s">
        <v>585</v>
      </c>
      <c r="T924" s="122" t="s">
        <v>585</v>
      </c>
    </row>
    <row r="925">
      <c r="B925" s="122"/>
      <c r="C925" s="122"/>
      <c r="D925" s="345"/>
      <c r="E925" s="346"/>
      <c r="F925" s="346"/>
      <c r="G925" s="122" t="s">
        <v>585</v>
      </c>
      <c r="H925" s="122">
        <v>0.0</v>
      </c>
      <c r="J925" s="133">
        <v>0.0</v>
      </c>
      <c r="K925" s="419"/>
      <c r="L925" s="122" t="s">
        <v>585</v>
      </c>
      <c r="N925" s="133" t="s">
        <v>585</v>
      </c>
      <c r="P925" s="122" t="s">
        <v>585</v>
      </c>
      <c r="R925" s="122" t="s">
        <v>585</v>
      </c>
      <c r="T925" s="122" t="s">
        <v>585</v>
      </c>
    </row>
    <row r="926">
      <c r="B926" s="122"/>
      <c r="C926" s="122"/>
      <c r="D926" s="345"/>
      <c r="E926" s="346"/>
      <c r="F926" s="346"/>
      <c r="G926" s="122" t="s">
        <v>585</v>
      </c>
      <c r="H926" s="122">
        <v>0.0</v>
      </c>
      <c r="J926" s="133">
        <v>0.0</v>
      </c>
      <c r="K926" s="419"/>
      <c r="L926" s="122" t="s">
        <v>585</v>
      </c>
      <c r="N926" s="133" t="s">
        <v>585</v>
      </c>
      <c r="P926" s="122" t="s">
        <v>585</v>
      </c>
      <c r="R926" s="122" t="s">
        <v>585</v>
      </c>
      <c r="T926" s="122" t="s">
        <v>585</v>
      </c>
    </row>
    <row r="927">
      <c r="B927" s="122"/>
      <c r="C927" s="122"/>
      <c r="D927" s="345"/>
      <c r="E927" s="346"/>
      <c r="F927" s="346"/>
      <c r="G927" s="122" t="s">
        <v>585</v>
      </c>
      <c r="H927" s="122">
        <v>0.0</v>
      </c>
      <c r="J927" s="133">
        <v>0.0</v>
      </c>
      <c r="K927" s="419"/>
      <c r="L927" s="122" t="s">
        <v>585</v>
      </c>
      <c r="N927" s="133" t="s">
        <v>585</v>
      </c>
      <c r="P927" s="122" t="s">
        <v>585</v>
      </c>
      <c r="R927" s="122" t="s">
        <v>585</v>
      </c>
      <c r="T927" s="122" t="s">
        <v>585</v>
      </c>
    </row>
    <row r="928">
      <c r="B928" s="122"/>
      <c r="C928" s="122"/>
      <c r="D928" s="345"/>
      <c r="E928" s="346"/>
      <c r="F928" s="346"/>
      <c r="G928" s="122" t="s">
        <v>585</v>
      </c>
      <c r="H928" s="122">
        <v>0.0</v>
      </c>
      <c r="J928" s="133">
        <v>0.0</v>
      </c>
      <c r="K928" s="419"/>
      <c r="L928" s="122" t="s">
        <v>585</v>
      </c>
      <c r="N928" s="133" t="s">
        <v>585</v>
      </c>
      <c r="P928" s="122" t="s">
        <v>585</v>
      </c>
      <c r="R928" s="122" t="s">
        <v>585</v>
      </c>
      <c r="T928" s="122" t="s">
        <v>585</v>
      </c>
    </row>
    <row r="929">
      <c r="B929" s="122"/>
      <c r="C929" s="122"/>
      <c r="D929" s="345"/>
      <c r="E929" s="346"/>
      <c r="F929" s="346"/>
      <c r="G929" s="122" t="s">
        <v>585</v>
      </c>
      <c r="H929" s="122">
        <v>0.0</v>
      </c>
      <c r="J929" s="133">
        <v>0.0</v>
      </c>
      <c r="K929" s="419"/>
      <c r="L929" s="122" t="s">
        <v>585</v>
      </c>
      <c r="N929" s="133" t="s">
        <v>585</v>
      </c>
      <c r="P929" s="122" t="s">
        <v>585</v>
      </c>
      <c r="R929" s="122" t="s">
        <v>585</v>
      </c>
      <c r="T929" s="122" t="s">
        <v>585</v>
      </c>
    </row>
    <row r="930">
      <c r="B930" s="122"/>
      <c r="C930" s="122"/>
      <c r="D930" s="345"/>
      <c r="E930" s="346"/>
      <c r="F930" s="346"/>
      <c r="G930" s="122" t="s">
        <v>585</v>
      </c>
      <c r="H930" s="122">
        <v>0.0</v>
      </c>
      <c r="J930" s="133">
        <v>0.0</v>
      </c>
      <c r="K930" s="419"/>
      <c r="L930" s="122" t="s">
        <v>585</v>
      </c>
      <c r="N930" s="133" t="s">
        <v>585</v>
      </c>
      <c r="P930" s="122" t="s">
        <v>585</v>
      </c>
      <c r="R930" s="122" t="s">
        <v>585</v>
      </c>
      <c r="T930" s="122" t="s">
        <v>585</v>
      </c>
    </row>
    <row r="931">
      <c r="B931" s="122"/>
      <c r="C931" s="122"/>
      <c r="D931" s="345"/>
      <c r="E931" s="346"/>
      <c r="F931" s="346"/>
      <c r="G931" s="122" t="s">
        <v>585</v>
      </c>
      <c r="H931" s="122">
        <v>0.0</v>
      </c>
      <c r="J931" s="133">
        <v>0.0</v>
      </c>
      <c r="K931" s="419"/>
      <c r="L931" s="122" t="s">
        <v>585</v>
      </c>
      <c r="N931" s="133" t="s">
        <v>585</v>
      </c>
      <c r="P931" s="122" t="s">
        <v>585</v>
      </c>
      <c r="R931" s="122" t="s">
        <v>585</v>
      </c>
      <c r="T931" s="122" t="s">
        <v>585</v>
      </c>
    </row>
    <row r="932">
      <c r="B932" s="122"/>
      <c r="C932" s="122"/>
      <c r="D932" s="345"/>
      <c r="E932" s="346"/>
      <c r="F932" s="346"/>
      <c r="G932" s="122" t="s">
        <v>585</v>
      </c>
      <c r="H932" s="122">
        <v>0.0</v>
      </c>
      <c r="J932" s="133">
        <v>0.0</v>
      </c>
      <c r="K932" s="419"/>
      <c r="L932" s="122" t="s">
        <v>585</v>
      </c>
      <c r="N932" s="133" t="s">
        <v>585</v>
      </c>
      <c r="P932" s="122" t="s">
        <v>585</v>
      </c>
      <c r="R932" s="122" t="s">
        <v>585</v>
      </c>
      <c r="T932" s="122" t="s">
        <v>585</v>
      </c>
    </row>
    <row r="933">
      <c r="B933" s="122"/>
      <c r="C933" s="122"/>
      <c r="D933" s="345"/>
      <c r="E933" s="346"/>
      <c r="F933" s="346"/>
      <c r="G933" s="122" t="s">
        <v>585</v>
      </c>
      <c r="H933" s="122">
        <v>0.0</v>
      </c>
      <c r="J933" s="133">
        <v>0.0</v>
      </c>
      <c r="K933" s="419"/>
      <c r="L933" s="122" t="s">
        <v>585</v>
      </c>
      <c r="N933" s="133" t="s">
        <v>585</v>
      </c>
      <c r="P933" s="122" t="s">
        <v>585</v>
      </c>
      <c r="R933" s="122" t="s">
        <v>585</v>
      </c>
      <c r="T933" s="122" t="s">
        <v>585</v>
      </c>
    </row>
    <row r="934">
      <c r="B934" s="122"/>
      <c r="C934" s="122"/>
      <c r="D934" s="345"/>
      <c r="E934" s="346"/>
      <c r="F934" s="346"/>
      <c r="G934" s="122" t="s">
        <v>585</v>
      </c>
      <c r="H934" s="122">
        <v>0.0</v>
      </c>
      <c r="J934" s="133">
        <v>0.0</v>
      </c>
      <c r="K934" s="419"/>
      <c r="L934" s="122" t="s">
        <v>585</v>
      </c>
      <c r="N934" s="133" t="s">
        <v>585</v>
      </c>
      <c r="P934" s="122" t="s">
        <v>585</v>
      </c>
      <c r="R934" s="122" t="s">
        <v>585</v>
      </c>
      <c r="T934" s="122" t="s">
        <v>585</v>
      </c>
    </row>
    <row r="935">
      <c r="B935" s="122"/>
      <c r="C935" s="122"/>
      <c r="D935" s="345"/>
      <c r="E935" s="346"/>
      <c r="F935" s="346"/>
      <c r="G935" s="122" t="s">
        <v>585</v>
      </c>
      <c r="H935" s="122">
        <v>0.0</v>
      </c>
      <c r="J935" s="133">
        <v>0.0</v>
      </c>
      <c r="K935" s="419"/>
      <c r="L935" s="122" t="s">
        <v>585</v>
      </c>
      <c r="N935" s="133" t="s">
        <v>585</v>
      </c>
      <c r="P935" s="122" t="s">
        <v>585</v>
      </c>
      <c r="R935" s="122" t="s">
        <v>585</v>
      </c>
      <c r="T935" s="122" t="s">
        <v>585</v>
      </c>
    </row>
    <row r="936">
      <c r="B936" s="122"/>
      <c r="C936" s="122"/>
      <c r="D936" s="345"/>
      <c r="E936" s="346"/>
      <c r="F936" s="346"/>
      <c r="G936" s="122" t="s">
        <v>585</v>
      </c>
      <c r="H936" s="122">
        <v>0.0</v>
      </c>
      <c r="J936" s="133">
        <v>0.0</v>
      </c>
      <c r="K936" s="419"/>
      <c r="L936" s="122" t="s">
        <v>585</v>
      </c>
      <c r="N936" s="133" t="s">
        <v>585</v>
      </c>
      <c r="P936" s="122" t="s">
        <v>585</v>
      </c>
      <c r="R936" s="122" t="s">
        <v>585</v>
      </c>
      <c r="T936" s="122" t="s">
        <v>585</v>
      </c>
    </row>
    <row r="937">
      <c r="B937" s="122"/>
      <c r="C937" s="122"/>
      <c r="D937" s="345"/>
      <c r="E937" s="346"/>
      <c r="F937" s="346"/>
      <c r="G937" s="122" t="s">
        <v>585</v>
      </c>
      <c r="H937" s="122">
        <v>0.0</v>
      </c>
      <c r="J937" s="133">
        <v>0.0</v>
      </c>
      <c r="K937" s="419"/>
      <c r="L937" s="122" t="s">
        <v>585</v>
      </c>
      <c r="N937" s="133" t="s">
        <v>585</v>
      </c>
      <c r="P937" s="122" t="s">
        <v>585</v>
      </c>
      <c r="R937" s="122" t="s">
        <v>585</v>
      </c>
      <c r="T937" s="122" t="s">
        <v>585</v>
      </c>
    </row>
    <row r="938">
      <c r="B938" s="122"/>
      <c r="C938" s="122"/>
      <c r="D938" s="345"/>
      <c r="E938" s="346"/>
      <c r="F938" s="346"/>
      <c r="G938" s="122" t="s">
        <v>585</v>
      </c>
      <c r="H938" s="122">
        <v>0.0</v>
      </c>
      <c r="J938" s="133">
        <v>0.0</v>
      </c>
      <c r="K938" s="419"/>
      <c r="L938" s="122" t="s">
        <v>585</v>
      </c>
      <c r="N938" s="133" t="s">
        <v>585</v>
      </c>
      <c r="P938" s="122" t="s">
        <v>585</v>
      </c>
      <c r="R938" s="122" t="s">
        <v>585</v>
      </c>
      <c r="T938" s="122" t="s">
        <v>585</v>
      </c>
    </row>
    <row r="939">
      <c r="B939" s="122"/>
      <c r="C939" s="122"/>
      <c r="D939" s="345"/>
      <c r="E939" s="346"/>
      <c r="F939" s="346"/>
      <c r="G939" s="122" t="s">
        <v>585</v>
      </c>
      <c r="H939" s="122">
        <v>0.0</v>
      </c>
      <c r="J939" s="133">
        <v>0.0</v>
      </c>
      <c r="K939" s="419"/>
      <c r="L939" s="122" t="s">
        <v>585</v>
      </c>
      <c r="N939" s="133" t="s">
        <v>585</v>
      </c>
      <c r="P939" s="122" t="s">
        <v>585</v>
      </c>
      <c r="R939" s="122" t="s">
        <v>585</v>
      </c>
      <c r="T939" s="122" t="s">
        <v>585</v>
      </c>
    </row>
    <row r="940">
      <c r="B940" s="122"/>
      <c r="C940" s="122"/>
      <c r="D940" s="345"/>
      <c r="E940" s="346"/>
      <c r="F940" s="346"/>
      <c r="G940" s="122" t="s">
        <v>585</v>
      </c>
      <c r="H940" s="122">
        <v>0.0</v>
      </c>
      <c r="J940" s="133">
        <v>0.0</v>
      </c>
      <c r="K940" s="419"/>
      <c r="L940" s="122" t="s">
        <v>585</v>
      </c>
      <c r="N940" s="133" t="s">
        <v>585</v>
      </c>
      <c r="P940" s="122" t="s">
        <v>585</v>
      </c>
      <c r="R940" s="122" t="s">
        <v>585</v>
      </c>
      <c r="T940" s="122" t="s">
        <v>585</v>
      </c>
    </row>
    <row r="941">
      <c r="B941" s="122"/>
      <c r="C941" s="122"/>
      <c r="D941" s="345"/>
      <c r="E941" s="346"/>
      <c r="F941" s="346"/>
      <c r="G941" s="122" t="s">
        <v>585</v>
      </c>
      <c r="H941" s="122">
        <v>0.0</v>
      </c>
      <c r="J941" s="133">
        <v>0.0</v>
      </c>
      <c r="K941" s="419"/>
      <c r="L941" s="122" t="s">
        <v>585</v>
      </c>
      <c r="N941" s="133" t="s">
        <v>585</v>
      </c>
      <c r="P941" s="122" t="s">
        <v>585</v>
      </c>
      <c r="R941" s="122" t="s">
        <v>585</v>
      </c>
      <c r="T941" s="122" t="s">
        <v>585</v>
      </c>
    </row>
    <row r="942">
      <c r="B942" s="122"/>
      <c r="C942" s="122"/>
      <c r="D942" s="345"/>
      <c r="E942" s="346"/>
      <c r="F942" s="346"/>
      <c r="G942" s="122" t="s">
        <v>585</v>
      </c>
      <c r="H942" s="122">
        <v>0.0</v>
      </c>
      <c r="J942" s="133">
        <v>0.0</v>
      </c>
      <c r="K942" s="419"/>
      <c r="L942" s="122" t="s">
        <v>585</v>
      </c>
      <c r="N942" s="133" t="s">
        <v>585</v>
      </c>
      <c r="P942" s="122" t="s">
        <v>585</v>
      </c>
      <c r="R942" s="122" t="s">
        <v>585</v>
      </c>
      <c r="T942" s="122" t="s">
        <v>585</v>
      </c>
    </row>
    <row r="943">
      <c r="B943" s="122"/>
      <c r="C943" s="122"/>
      <c r="D943" s="345"/>
      <c r="E943" s="346"/>
      <c r="F943" s="346"/>
      <c r="G943" s="122" t="s">
        <v>585</v>
      </c>
      <c r="H943" s="122">
        <v>0.0</v>
      </c>
      <c r="J943" s="133">
        <v>0.0</v>
      </c>
      <c r="K943" s="419"/>
      <c r="L943" s="122" t="s">
        <v>585</v>
      </c>
      <c r="N943" s="133" t="s">
        <v>585</v>
      </c>
      <c r="P943" s="122" t="s">
        <v>585</v>
      </c>
      <c r="R943" s="122" t="s">
        <v>585</v>
      </c>
      <c r="T943" s="122" t="s">
        <v>585</v>
      </c>
    </row>
    <row r="944">
      <c r="B944" s="122"/>
      <c r="C944" s="122"/>
      <c r="D944" s="345"/>
      <c r="E944" s="346"/>
      <c r="F944" s="346"/>
      <c r="G944" s="122" t="s">
        <v>585</v>
      </c>
      <c r="H944" s="122">
        <v>0.0</v>
      </c>
      <c r="J944" s="133">
        <v>0.0</v>
      </c>
      <c r="K944" s="419"/>
      <c r="L944" s="122" t="s">
        <v>585</v>
      </c>
      <c r="N944" s="133" t="s">
        <v>585</v>
      </c>
      <c r="P944" s="122" t="s">
        <v>585</v>
      </c>
      <c r="R944" s="122" t="s">
        <v>585</v>
      </c>
      <c r="T944" s="122" t="s">
        <v>585</v>
      </c>
    </row>
    <row r="945">
      <c r="B945" s="122"/>
      <c r="C945" s="122"/>
      <c r="D945" s="345"/>
      <c r="E945" s="346"/>
      <c r="F945" s="346"/>
      <c r="G945" s="122" t="s">
        <v>585</v>
      </c>
      <c r="H945" s="122">
        <v>0.0</v>
      </c>
      <c r="J945" s="133">
        <v>0.0</v>
      </c>
      <c r="K945" s="419"/>
      <c r="L945" s="122" t="s">
        <v>585</v>
      </c>
      <c r="N945" s="133" t="s">
        <v>585</v>
      </c>
      <c r="P945" s="122" t="s">
        <v>585</v>
      </c>
      <c r="R945" s="122" t="s">
        <v>585</v>
      </c>
      <c r="T945" s="122" t="s">
        <v>585</v>
      </c>
    </row>
    <row r="946">
      <c r="B946" s="122"/>
      <c r="C946" s="122"/>
      <c r="D946" s="345"/>
      <c r="E946" s="346"/>
      <c r="F946" s="346"/>
      <c r="G946" s="122" t="s">
        <v>585</v>
      </c>
      <c r="H946" s="122">
        <v>0.0</v>
      </c>
      <c r="J946" s="133">
        <v>0.0</v>
      </c>
      <c r="K946" s="419"/>
      <c r="L946" s="122" t="s">
        <v>585</v>
      </c>
      <c r="N946" s="133" t="s">
        <v>585</v>
      </c>
      <c r="P946" s="122" t="s">
        <v>585</v>
      </c>
      <c r="R946" s="122" t="s">
        <v>585</v>
      </c>
      <c r="T946" s="122" t="s">
        <v>585</v>
      </c>
    </row>
    <row r="947">
      <c r="B947" s="122"/>
      <c r="C947" s="122"/>
      <c r="D947" s="345"/>
      <c r="E947" s="346"/>
      <c r="F947" s="346"/>
      <c r="G947" s="122" t="s">
        <v>585</v>
      </c>
      <c r="H947" s="122">
        <v>0.0</v>
      </c>
      <c r="J947" s="133">
        <v>0.0</v>
      </c>
      <c r="K947" s="419"/>
      <c r="L947" s="122" t="s">
        <v>585</v>
      </c>
      <c r="N947" s="133" t="s">
        <v>585</v>
      </c>
      <c r="P947" s="122" t="s">
        <v>585</v>
      </c>
      <c r="R947" s="122" t="s">
        <v>585</v>
      </c>
      <c r="T947" s="122" t="s">
        <v>585</v>
      </c>
    </row>
    <row r="948">
      <c r="B948" s="122"/>
      <c r="C948" s="122"/>
      <c r="D948" s="345"/>
      <c r="E948" s="346"/>
      <c r="F948" s="346"/>
      <c r="G948" s="122" t="s">
        <v>585</v>
      </c>
      <c r="H948" s="122">
        <v>0.0</v>
      </c>
      <c r="J948" s="133">
        <v>0.0</v>
      </c>
      <c r="K948" s="419"/>
      <c r="L948" s="122" t="s">
        <v>585</v>
      </c>
      <c r="N948" s="133" t="s">
        <v>585</v>
      </c>
      <c r="P948" s="122" t="s">
        <v>585</v>
      </c>
      <c r="R948" s="122" t="s">
        <v>585</v>
      </c>
      <c r="T948" s="122" t="s">
        <v>585</v>
      </c>
    </row>
    <row r="949">
      <c r="B949" s="122"/>
      <c r="C949" s="122"/>
      <c r="D949" s="345"/>
      <c r="E949" s="346"/>
      <c r="F949" s="346"/>
      <c r="G949" s="122" t="s">
        <v>585</v>
      </c>
      <c r="H949" s="122">
        <v>0.0</v>
      </c>
      <c r="J949" s="133">
        <v>0.0</v>
      </c>
      <c r="K949" s="419"/>
      <c r="L949" s="122" t="s">
        <v>585</v>
      </c>
      <c r="N949" s="133" t="s">
        <v>585</v>
      </c>
      <c r="P949" s="122" t="s">
        <v>585</v>
      </c>
      <c r="R949" s="122" t="s">
        <v>585</v>
      </c>
      <c r="T949" s="122" t="s">
        <v>585</v>
      </c>
    </row>
    <row r="950">
      <c r="B950" s="122"/>
      <c r="C950" s="122"/>
      <c r="D950" s="345"/>
      <c r="E950" s="346"/>
      <c r="F950" s="346"/>
      <c r="G950" s="122" t="s">
        <v>585</v>
      </c>
      <c r="H950" s="122">
        <v>0.0</v>
      </c>
      <c r="J950" s="133">
        <v>0.0</v>
      </c>
      <c r="K950" s="419"/>
      <c r="L950" s="122" t="s">
        <v>585</v>
      </c>
      <c r="N950" s="133" t="s">
        <v>585</v>
      </c>
      <c r="P950" s="122" t="s">
        <v>585</v>
      </c>
      <c r="R950" s="122" t="s">
        <v>585</v>
      </c>
      <c r="T950" s="122" t="s">
        <v>585</v>
      </c>
    </row>
    <row r="951">
      <c r="B951" s="122"/>
      <c r="C951" s="122"/>
      <c r="D951" s="345"/>
      <c r="E951" s="346"/>
      <c r="F951" s="346"/>
      <c r="G951" s="122" t="s">
        <v>585</v>
      </c>
      <c r="H951" s="122">
        <v>0.0</v>
      </c>
      <c r="J951" s="133">
        <v>0.0</v>
      </c>
      <c r="K951" s="419"/>
      <c r="L951" s="122" t="s">
        <v>585</v>
      </c>
      <c r="N951" s="133" t="s">
        <v>585</v>
      </c>
      <c r="P951" s="122" t="s">
        <v>585</v>
      </c>
      <c r="R951" s="122" t="s">
        <v>585</v>
      </c>
      <c r="T951" s="122" t="s">
        <v>585</v>
      </c>
    </row>
    <row r="952">
      <c r="B952" s="122"/>
      <c r="C952" s="122"/>
      <c r="D952" s="345"/>
      <c r="E952" s="346"/>
      <c r="F952" s="346"/>
      <c r="G952" s="122" t="s">
        <v>585</v>
      </c>
      <c r="H952" s="122">
        <v>0.0</v>
      </c>
      <c r="J952" s="133">
        <v>0.0</v>
      </c>
      <c r="K952" s="419"/>
      <c r="L952" s="122" t="s">
        <v>585</v>
      </c>
      <c r="N952" s="133" t="s">
        <v>585</v>
      </c>
      <c r="P952" s="122" t="s">
        <v>585</v>
      </c>
      <c r="R952" s="122" t="s">
        <v>585</v>
      </c>
      <c r="T952" s="122" t="s">
        <v>585</v>
      </c>
    </row>
    <row r="953">
      <c r="B953" s="122"/>
      <c r="C953" s="122"/>
      <c r="D953" s="345"/>
      <c r="E953" s="346"/>
      <c r="F953" s="346"/>
      <c r="G953" s="122" t="s">
        <v>585</v>
      </c>
      <c r="H953" s="122">
        <v>0.0</v>
      </c>
      <c r="J953" s="133">
        <v>0.0</v>
      </c>
      <c r="K953" s="419"/>
      <c r="L953" s="122" t="s">
        <v>585</v>
      </c>
      <c r="N953" s="133" t="s">
        <v>585</v>
      </c>
      <c r="P953" s="122" t="s">
        <v>585</v>
      </c>
      <c r="R953" s="122" t="s">
        <v>585</v>
      </c>
      <c r="T953" s="122" t="s">
        <v>585</v>
      </c>
    </row>
    <row r="954">
      <c r="B954" s="122"/>
      <c r="C954" s="122"/>
      <c r="D954" s="345"/>
      <c r="E954" s="346"/>
      <c r="F954" s="346"/>
      <c r="G954" s="122" t="s">
        <v>585</v>
      </c>
      <c r="H954" s="122">
        <v>0.0</v>
      </c>
      <c r="J954" s="133">
        <v>0.0</v>
      </c>
      <c r="K954" s="419"/>
      <c r="L954" s="122" t="s">
        <v>585</v>
      </c>
      <c r="N954" s="133" t="s">
        <v>585</v>
      </c>
      <c r="P954" s="122" t="s">
        <v>585</v>
      </c>
      <c r="R954" s="122" t="s">
        <v>585</v>
      </c>
      <c r="T954" s="122" t="s">
        <v>585</v>
      </c>
    </row>
    <row r="955">
      <c r="B955" s="122"/>
      <c r="C955" s="122"/>
      <c r="D955" s="345"/>
      <c r="E955" s="346"/>
      <c r="F955" s="346"/>
      <c r="G955" s="122" t="s">
        <v>585</v>
      </c>
      <c r="H955" s="122">
        <v>0.0</v>
      </c>
      <c r="J955" s="133">
        <v>0.0</v>
      </c>
      <c r="K955" s="419"/>
      <c r="L955" s="122" t="s">
        <v>585</v>
      </c>
      <c r="N955" s="133" t="s">
        <v>585</v>
      </c>
      <c r="P955" s="122" t="s">
        <v>585</v>
      </c>
      <c r="R955" s="122" t="s">
        <v>585</v>
      </c>
      <c r="T955" s="122" t="s">
        <v>585</v>
      </c>
    </row>
    <row r="956">
      <c r="B956" s="122"/>
      <c r="C956" s="122"/>
      <c r="D956" s="345"/>
      <c r="E956" s="346"/>
      <c r="F956" s="346"/>
      <c r="G956" s="122" t="s">
        <v>585</v>
      </c>
      <c r="H956" s="122">
        <v>0.0</v>
      </c>
      <c r="J956" s="133">
        <v>0.0</v>
      </c>
      <c r="K956" s="419"/>
      <c r="L956" s="122" t="s">
        <v>585</v>
      </c>
      <c r="N956" s="133" t="s">
        <v>585</v>
      </c>
      <c r="P956" s="122" t="s">
        <v>585</v>
      </c>
      <c r="R956" s="122" t="s">
        <v>585</v>
      </c>
      <c r="T956" s="122" t="s">
        <v>585</v>
      </c>
    </row>
    <row r="957">
      <c r="B957" s="122"/>
      <c r="C957" s="122"/>
      <c r="D957" s="345"/>
      <c r="E957" s="346"/>
      <c r="F957" s="346"/>
      <c r="G957" s="122" t="s">
        <v>585</v>
      </c>
      <c r="H957" s="122">
        <v>0.0</v>
      </c>
      <c r="J957" s="133">
        <v>0.0</v>
      </c>
      <c r="K957" s="419"/>
      <c r="L957" s="122" t="s">
        <v>585</v>
      </c>
      <c r="N957" s="133" t="s">
        <v>585</v>
      </c>
      <c r="P957" s="122" t="s">
        <v>585</v>
      </c>
      <c r="R957" s="122" t="s">
        <v>585</v>
      </c>
      <c r="T957" s="122" t="s">
        <v>585</v>
      </c>
    </row>
    <row r="958">
      <c r="B958" s="122"/>
      <c r="C958" s="122"/>
      <c r="D958" s="345"/>
      <c r="E958" s="346"/>
      <c r="F958" s="346"/>
      <c r="G958" s="122" t="s">
        <v>585</v>
      </c>
      <c r="H958" s="122">
        <v>0.0</v>
      </c>
      <c r="J958" s="133">
        <v>0.0</v>
      </c>
      <c r="K958" s="419"/>
      <c r="L958" s="122" t="s">
        <v>585</v>
      </c>
      <c r="N958" s="133" t="s">
        <v>585</v>
      </c>
      <c r="P958" s="122" t="s">
        <v>585</v>
      </c>
      <c r="R958" s="122" t="s">
        <v>585</v>
      </c>
      <c r="T958" s="122" t="s">
        <v>585</v>
      </c>
    </row>
    <row r="959">
      <c r="B959" s="122"/>
      <c r="C959" s="122"/>
      <c r="D959" s="345"/>
      <c r="E959" s="346"/>
      <c r="F959" s="346"/>
      <c r="G959" s="122" t="s">
        <v>585</v>
      </c>
      <c r="H959" s="122">
        <v>0.0</v>
      </c>
      <c r="J959" s="133">
        <v>0.0</v>
      </c>
      <c r="K959" s="419"/>
      <c r="L959" s="122" t="s">
        <v>585</v>
      </c>
      <c r="N959" s="133" t="s">
        <v>585</v>
      </c>
      <c r="P959" s="122" t="s">
        <v>585</v>
      </c>
      <c r="R959" s="122" t="s">
        <v>585</v>
      </c>
      <c r="T959" s="122" t="s">
        <v>585</v>
      </c>
    </row>
    <row r="960">
      <c r="B960" s="122"/>
      <c r="C960" s="122"/>
      <c r="D960" s="345"/>
      <c r="E960" s="346"/>
      <c r="F960" s="346"/>
      <c r="G960" s="122" t="s">
        <v>585</v>
      </c>
      <c r="H960" s="122">
        <v>0.0</v>
      </c>
      <c r="J960" s="133">
        <v>0.0</v>
      </c>
      <c r="K960" s="419"/>
      <c r="L960" s="122" t="s">
        <v>585</v>
      </c>
      <c r="N960" s="133" t="s">
        <v>585</v>
      </c>
      <c r="P960" s="122" t="s">
        <v>585</v>
      </c>
      <c r="R960" s="122" t="s">
        <v>585</v>
      </c>
      <c r="T960" s="122" t="s">
        <v>585</v>
      </c>
    </row>
    <row r="961">
      <c r="B961" s="122"/>
      <c r="C961" s="122"/>
      <c r="D961" s="345"/>
      <c r="E961" s="346"/>
      <c r="F961" s="346"/>
      <c r="G961" s="122" t="s">
        <v>585</v>
      </c>
      <c r="H961" s="122">
        <v>0.0</v>
      </c>
      <c r="J961" s="133">
        <v>0.0</v>
      </c>
      <c r="K961" s="419"/>
      <c r="L961" s="122" t="s">
        <v>585</v>
      </c>
      <c r="N961" s="133" t="s">
        <v>585</v>
      </c>
      <c r="P961" s="122" t="s">
        <v>585</v>
      </c>
      <c r="R961" s="122" t="s">
        <v>585</v>
      </c>
      <c r="T961" s="122" t="s">
        <v>585</v>
      </c>
    </row>
    <row r="962">
      <c r="B962" s="122"/>
      <c r="C962" s="122"/>
      <c r="D962" s="345"/>
      <c r="E962" s="346"/>
      <c r="F962" s="346"/>
      <c r="G962" s="122" t="s">
        <v>585</v>
      </c>
      <c r="H962" s="122">
        <v>0.0</v>
      </c>
      <c r="J962" s="133">
        <v>0.0</v>
      </c>
      <c r="K962" s="419"/>
      <c r="L962" s="122" t="s">
        <v>585</v>
      </c>
      <c r="N962" s="133" t="s">
        <v>585</v>
      </c>
      <c r="P962" s="122" t="s">
        <v>585</v>
      </c>
      <c r="R962" s="122" t="s">
        <v>585</v>
      </c>
      <c r="T962" s="122" t="s">
        <v>585</v>
      </c>
    </row>
    <row r="963">
      <c r="B963" s="122"/>
      <c r="C963" s="122"/>
      <c r="D963" s="345"/>
      <c r="E963" s="346"/>
      <c r="F963" s="346"/>
      <c r="G963" s="122" t="s">
        <v>585</v>
      </c>
      <c r="H963" s="122">
        <v>0.0</v>
      </c>
      <c r="J963" s="133">
        <v>0.0</v>
      </c>
      <c r="K963" s="419"/>
      <c r="L963" s="122" t="s">
        <v>585</v>
      </c>
      <c r="N963" s="133" t="s">
        <v>585</v>
      </c>
      <c r="P963" s="122" t="s">
        <v>585</v>
      </c>
      <c r="R963" s="122" t="s">
        <v>585</v>
      </c>
      <c r="T963" s="122" t="s">
        <v>585</v>
      </c>
    </row>
    <row r="964">
      <c r="B964" s="122"/>
      <c r="C964" s="122"/>
      <c r="D964" s="345"/>
      <c r="E964" s="346"/>
      <c r="F964" s="346"/>
      <c r="G964" s="122" t="s">
        <v>585</v>
      </c>
      <c r="H964" s="122">
        <v>0.0</v>
      </c>
      <c r="J964" s="133">
        <v>0.0</v>
      </c>
      <c r="K964" s="419"/>
      <c r="L964" s="122" t="s">
        <v>585</v>
      </c>
      <c r="N964" s="133" t="s">
        <v>585</v>
      </c>
      <c r="P964" s="122" t="s">
        <v>585</v>
      </c>
      <c r="R964" s="122" t="s">
        <v>585</v>
      </c>
      <c r="T964" s="122" t="s">
        <v>585</v>
      </c>
    </row>
    <row r="965">
      <c r="B965" s="122"/>
      <c r="C965" s="122"/>
      <c r="D965" s="345"/>
      <c r="E965" s="346"/>
      <c r="F965" s="346"/>
      <c r="G965" s="122" t="s">
        <v>585</v>
      </c>
      <c r="H965" s="122">
        <v>0.0</v>
      </c>
      <c r="J965" s="133">
        <v>0.0</v>
      </c>
      <c r="K965" s="419"/>
      <c r="L965" s="122" t="s">
        <v>585</v>
      </c>
      <c r="N965" s="133" t="s">
        <v>585</v>
      </c>
      <c r="P965" s="122" t="s">
        <v>585</v>
      </c>
      <c r="R965" s="122" t="s">
        <v>585</v>
      </c>
      <c r="T965" s="122" t="s">
        <v>585</v>
      </c>
    </row>
    <row r="966">
      <c r="B966" s="122"/>
      <c r="C966" s="122"/>
      <c r="D966" s="345"/>
      <c r="E966" s="346"/>
      <c r="F966" s="346"/>
      <c r="G966" s="122" t="s">
        <v>585</v>
      </c>
      <c r="H966" s="122">
        <v>0.0</v>
      </c>
      <c r="J966" s="133">
        <v>0.0</v>
      </c>
      <c r="K966" s="419"/>
      <c r="L966" s="122" t="s">
        <v>585</v>
      </c>
      <c r="N966" s="133" t="s">
        <v>585</v>
      </c>
      <c r="P966" s="122" t="s">
        <v>585</v>
      </c>
      <c r="R966" s="122" t="s">
        <v>585</v>
      </c>
      <c r="T966" s="122" t="s">
        <v>585</v>
      </c>
    </row>
    <row r="967">
      <c r="B967" s="122"/>
      <c r="C967" s="122"/>
      <c r="D967" s="345"/>
      <c r="E967" s="346"/>
      <c r="F967" s="346"/>
      <c r="G967" s="122" t="s">
        <v>585</v>
      </c>
      <c r="H967" s="122">
        <v>0.0</v>
      </c>
      <c r="J967" s="133">
        <v>0.0</v>
      </c>
      <c r="K967" s="419"/>
      <c r="L967" s="122" t="s">
        <v>585</v>
      </c>
      <c r="N967" s="133" t="s">
        <v>585</v>
      </c>
      <c r="P967" s="122" t="s">
        <v>585</v>
      </c>
      <c r="R967" s="122" t="s">
        <v>585</v>
      </c>
      <c r="T967" s="122" t="s">
        <v>585</v>
      </c>
    </row>
    <row r="968">
      <c r="B968" s="122"/>
      <c r="C968" s="122"/>
      <c r="D968" s="345"/>
      <c r="E968" s="346"/>
      <c r="F968" s="346"/>
      <c r="G968" s="122" t="s">
        <v>585</v>
      </c>
      <c r="H968" s="122">
        <v>0.0</v>
      </c>
      <c r="J968" s="133">
        <v>0.0</v>
      </c>
      <c r="K968" s="419"/>
      <c r="L968" s="122" t="s">
        <v>585</v>
      </c>
      <c r="N968" s="133" t="s">
        <v>585</v>
      </c>
      <c r="P968" s="122" t="s">
        <v>585</v>
      </c>
      <c r="R968" s="122" t="s">
        <v>585</v>
      </c>
      <c r="T968" s="122" t="s">
        <v>585</v>
      </c>
    </row>
    <row r="969">
      <c r="B969" s="122"/>
      <c r="C969" s="122"/>
      <c r="D969" s="345"/>
      <c r="E969" s="346"/>
      <c r="F969" s="346"/>
      <c r="G969" s="122" t="s">
        <v>585</v>
      </c>
      <c r="H969" s="122">
        <v>0.0</v>
      </c>
      <c r="J969" s="133">
        <v>0.0</v>
      </c>
      <c r="K969" s="419"/>
      <c r="L969" s="122" t="s">
        <v>585</v>
      </c>
      <c r="N969" s="133" t="s">
        <v>585</v>
      </c>
      <c r="P969" s="122" t="s">
        <v>585</v>
      </c>
      <c r="R969" s="122" t="s">
        <v>585</v>
      </c>
      <c r="T969" s="122" t="s">
        <v>585</v>
      </c>
    </row>
    <row r="970">
      <c r="B970" s="122"/>
      <c r="C970" s="122"/>
      <c r="D970" s="345"/>
      <c r="E970" s="346"/>
      <c r="F970" s="346"/>
      <c r="G970" s="122" t="s">
        <v>585</v>
      </c>
      <c r="H970" s="122">
        <v>0.0</v>
      </c>
      <c r="J970" s="133">
        <v>0.0</v>
      </c>
      <c r="K970" s="419"/>
      <c r="L970" s="122" t="s">
        <v>585</v>
      </c>
      <c r="N970" s="133" t="s">
        <v>585</v>
      </c>
      <c r="P970" s="122" t="s">
        <v>585</v>
      </c>
      <c r="R970" s="122" t="s">
        <v>585</v>
      </c>
      <c r="T970" s="122" t="s">
        <v>585</v>
      </c>
    </row>
    <row r="971">
      <c r="B971" s="122"/>
      <c r="C971" s="122"/>
      <c r="D971" s="345"/>
      <c r="E971" s="346"/>
      <c r="F971" s="346"/>
      <c r="G971" s="122" t="s">
        <v>585</v>
      </c>
      <c r="H971" s="122">
        <v>0.0</v>
      </c>
      <c r="J971" s="133">
        <v>0.0</v>
      </c>
      <c r="K971" s="419"/>
      <c r="L971" s="122" t="s">
        <v>585</v>
      </c>
      <c r="N971" s="133" t="s">
        <v>585</v>
      </c>
      <c r="P971" s="122" t="s">
        <v>585</v>
      </c>
      <c r="R971" s="122" t="s">
        <v>585</v>
      </c>
      <c r="T971" s="122" t="s">
        <v>585</v>
      </c>
    </row>
    <row r="972">
      <c r="B972" s="122"/>
      <c r="C972" s="122"/>
      <c r="D972" s="345"/>
      <c r="E972" s="346"/>
      <c r="F972" s="346"/>
      <c r="G972" s="122" t="s">
        <v>585</v>
      </c>
      <c r="H972" s="122">
        <v>0.0</v>
      </c>
      <c r="J972" s="133">
        <v>0.0</v>
      </c>
      <c r="K972" s="419"/>
      <c r="L972" s="122" t="s">
        <v>585</v>
      </c>
      <c r="N972" s="133" t="s">
        <v>585</v>
      </c>
      <c r="P972" s="122" t="s">
        <v>585</v>
      </c>
      <c r="R972" s="122" t="s">
        <v>585</v>
      </c>
      <c r="T972" s="122" t="s">
        <v>585</v>
      </c>
    </row>
    <row r="973">
      <c r="B973" s="122"/>
      <c r="C973" s="122"/>
      <c r="D973" s="345"/>
      <c r="E973" s="346"/>
      <c r="F973" s="346"/>
      <c r="G973" s="122" t="s">
        <v>585</v>
      </c>
      <c r="H973" s="122">
        <v>0.0</v>
      </c>
      <c r="J973" s="133">
        <v>0.0</v>
      </c>
      <c r="K973" s="419"/>
      <c r="L973" s="122" t="s">
        <v>585</v>
      </c>
      <c r="N973" s="133" t="s">
        <v>585</v>
      </c>
      <c r="P973" s="122" t="s">
        <v>585</v>
      </c>
      <c r="R973" s="122" t="s">
        <v>585</v>
      </c>
      <c r="T973" s="122" t="s">
        <v>585</v>
      </c>
    </row>
    <row r="974">
      <c r="B974" s="122"/>
      <c r="C974" s="122"/>
      <c r="D974" s="345"/>
      <c r="E974" s="346"/>
      <c r="F974" s="346"/>
      <c r="G974" s="122" t="s">
        <v>585</v>
      </c>
      <c r="H974" s="122">
        <v>0.0</v>
      </c>
      <c r="J974" s="133">
        <v>0.0</v>
      </c>
      <c r="K974" s="419"/>
      <c r="L974" s="122" t="s">
        <v>585</v>
      </c>
      <c r="N974" s="133" t="s">
        <v>585</v>
      </c>
      <c r="P974" s="122" t="s">
        <v>585</v>
      </c>
      <c r="R974" s="122" t="s">
        <v>585</v>
      </c>
      <c r="T974" s="122" t="s">
        <v>585</v>
      </c>
    </row>
    <row r="975">
      <c r="B975" s="122"/>
      <c r="C975" s="122"/>
      <c r="D975" s="345"/>
      <c r="E975" s="346"/>
      <c r="F975" s="346"/>
      <c r="G975" s="122" t="s">
        <v>585</v>
      </c>
      <c r="H975" s="122">
        <v>0.0</v>
      </c>
      <c r="J975" s="133">
        <v>0.0</v>
      </c>
      <c r="K975" s="419"/>
      <c r="L975" s="122" t="s">
        <v>585</v>
      </c>
      <c r="N975" s="133" t="s">
        <v>585</v>
      </c>
      <c r="P975" s="122" t="s">
        <v>585</v>
      </c>
      <c r="R975" s="122" t="s">
        <v>585</v>
      </c>
      <c r="T975" s="122" t="s">
        <v>585</v>
      </c>
    </row>
    <row r="976">
      <c r="B976" s="122"/>
      <c r="C976" s="122"/>
      <c r="D976" s="345"/>
      <c r="E976" s="346"/>
      <c r="F976" s="346"/>
      <c r="G976" s="122" t="s">
        <v>585</v>
      </c>
      <c r="H976" s="122">
        <v>0.0</v>
      </c>
      <c r="J976" s="133">
        <v>0.0</v>
      </c>
      <c r="K976" s="419"/>
      <c r="L976" s="122" t="s">
        <v>585</v>
      </c>
      <c r="N976" s="133" t="s">
        <v>585</v>
      </c>
      <c r="P976" s="122" t="s">
        <v>585</v>
      </c>
      <c r="R976" s="122" t="s">
        <v>585</v>
      </c>
      <c r="T976" s="122" t="s">
        <v>585</v>
      </c>
    </row>
    <row r="977">
      <c r="B977" s="122"/>
      <c r="C977" s="122"/>
      <c r="D977" s="345"/>
      <c r="E977" s="346"/>
      <c r="F977" s="346"/>
      <c r="G977" s="122" t="s">
        <v>585</v>
      </c>
      <c r="H977" s="122">
        <v>0.0</v>
      </c>
      <c r="J977" s="133">
        <v>0.0</v>
      </c>
      <c r="K977" s="419"/>
      <c r="L977" s="122" t="s">
        <v>585</v>
      </c>
      <c r="N977" s="133" t="s">
        <v>585</v>
      </c>
      <c r="P977" s="122" t="s">
        <v>585</v>
      </c>
      <c r="R977" s="122" t="s">
        <v>585</v>
      </c>
      <c r="T977" s="122" t="s">
        <v>585</v>
      </c>
    </row>
    <row r="978">
      <c r="B978" s="122"/>
      <c r="C978" s="122"/>
      <c r="D978" s="345"/>
      <c r="E978" s="346"/>
      <c r="F978" s="346"/>
      <c r="G978" s="122" t="s">
        <v>585</v>
      </c>
      <c r="H978" s="122">
        <v>0.0</v>
      </c>
      <c r="J978" s="133">
        <v>0.0</v>
      </c>
      <c r="K978" s="419"/>
      <c r="L978" s="122" t="s">
        <v>585</v>
      </c>
      <c r="N978" s="133" t="s">
        <v>585</v>
      </c>
      <c r="P978" s="122" t="s">
        <v>585</v>
      </c>
      <c r="R978" s="122" t="s">
        <v>585</v>
      </c>
      <c r="T978" s="122" t="s">
        <v>585</v>
      </c>
    </row>
    <row r="979">
      <c r="B979" s="122"/>
      <c r="C979" s="122"/>
      <c r="D979" s="345"/>
      <c r="E979" s="346"/>
      <c r="F979" s="346"/>
      <c r="G979" s="122" t="s">
        <v>585</v>
      </c>
      <c r="H979" s="122">
        <v>0.0</v>
      </c>
      <c r="J979" s="133">
        <v>0.0</v>
      </c>
      <c r="K979" s="419"/>
      <c r="L979" s="122" t="s">
        <v>585</v>
      </c>
      <c r="N979" s="133" t="s">
        <v>585</v>
      </c>
      <c r="P979" s="122" t="s">
        <v>585</v>
      </c>
      <c r="R979" s="122" t="s">
        <v>585</v>
      </c>
      <c r="T979" s="122" t="s">
        <v>585</v>
      </c>
    </row>
    <row r="980">
      <c r="B980" s="122"/>
      <c r="C980" s="122"/>
      <c r="D980" s="345"/>
      <c r="E980" s="346"/>
      <c r="F980" s="346"/>
      <c r="G980" s="122" t="s">
        <v>585</v>
      </c>
      <c r="H980" s="122">
        <v>0.0</v>
      </c>
      <c r="J980" s="133">
        <v>0.0</v>
      </c>
      <c r="K980" s="419"/>
      <c r="L980" s="122" t="s">
        <v>585</v>
      </c>
      <c r="N980" s="133" t="s">
        <v>585</v>
      </c>
      <c r="P980" s="122" t="s">
        <v>585</v>
      </c>
      <c r="R980" s="122" t="s">
        <v>585</v>
      </c>
      <c r="T980" s="122" t="s">
        <v>585</v>
      </c>
    </row>
    <row r="981">
      <c r="B981" s="122"/>
      <c r="C981" s="122"/>
      <c r="D981" s="345"/>
      <c r="E981" s="346"/>
      <c r="F981" s="346"/>
      <c r="G981" s="122" t="s">
        <v>585</v>
      </c>
      <c r="H981" s="122">
        <v>0.0</v>
      </c>
      <c r="J981" s="133">
        <v>0.0</v>
      </c>
      <c r="K981" s="419"/>
      <c r="L981" s="122" t="s">
        <v>585</v>
      </c>
      <c r="N981" s="133" t="s">
        <v>585</v>
      </c>
      <c r="P981" s="122" t="s">
        <v>585</v>
      </c>
      <c r="R981" s="122" t="s">
        <v>585</v>
      </c>
      <c r="T981" s="122" t="s">
        <v>585</v>
      </c>
    </row>
    <row r="982">
      <c r="B982" s="122"/>
      <c r="C982" s="122"/>
      <c r="D982" s="345"/>
      <c r="E982" s="346"/>
      <c r="F982" s="346"/>
      <c r="G982" s="122" t="s">
        <v>585</v>
      </c>
      <c r="H982" s="122">
        <v>0.0</v>
      </c>
      <c r="J982" s="133">
        <v>0.0</v>
      </c>
      <c r="K982" s="419"/>
      <c r="L982" s="122" t="s">
        <v>585</v>
      </c>
      <c r="N982" s="133" t="s">
        <v>585</v>
      </c>
      <c r="P982" s="122" t="s">
        <v>585</v>
      </c>
      <c r="R982" s="122" t="s">
        <v>585</v>
      </c>
      <c r="T982" s="122" t="s">
        <v>585</v>
      </c>
    </row>
    <row r="983">
      <c r="B983" s="122"/>
      <c r="C983" s="122"/>
      <c r="D983" s="345"/>
      <c r="E983" s="346"/>
      <c r="F983" s="346"/>
      <c r="G983" s="122" t="s">
        <v>585</v>
      </c>
      <c r="H983" s="122">
        <v>0.0</v>
      </c>
      <c r="J983" s="133">
        <v>0.0</v>
      </c>
      <c r="K983" s="419"/>
      <c r="L983" s="122" t="s">
        <v>585</v>
      </c>
      <c r="N983" s="133" t="s">
        <v>585</v>
      </c>
      <c r="P983" s="122" t="s">
        <v>585</v>
      </c>
      <c r="R983" s="122" t="s">
        <v>585</v>
      </c>
      <c r="T983" s="122" t="s">
        <v>585</v>
      </c>
    </row>
    <row r="984">
      <c r="B984" s="122"/>
      <c r="C984" s="122"/>
      <c r="D984" s="345"/>
      <c r="E984" s="346"/>
      <c r="F984" s="346"/>
      <c r="G984" s="122" t="s">
        <v>585</v>
      </c>
      <c r="H984" s="122">
        <v>0.0</v>
      </c>
      <c r="J984" s="133">
        <v>0.0</v>
      </c>
      <c r="K984" s="419"/>
      <c r="L984" s="122" t="s">
        <v>585</v>
      </c>
      <c r="N984" s="133" t="s">
        <v>585</v>
      </c>
      <c r="P984" s="122" t="s">
        <v>585</v>
      </c>
      <c r="R984" s="122" t="s">
        <v>585</v>
      </c>
      <c r="T984" s="122" t="s">
        <v>585</v>
      </c>
    </row>
    <row r="985">
      <c r="B985" s="122"/>
      <c r="C985" s="122"/>
      <c r="D985" s="345"/>
      <c r="E985" s="346"/>
      <c r="F985" s="346"/>
      <c r="G985" s="122" t="s">
        <v>585</v>
      </c>
      <c r="H985" s="122">
        <v>0.0</v>
      </c>
      <c r="J985" s="133">
        <v>0.0</v>
      </c>
      <c r="K985" s="419"/>
      <c r="L985" s="122" t="s">
        <v>585</v>
      </c>
      <c r="N985" s="133" t="s">
        <v>585</v>
      </c>
      <c r="P985" s="122" t="s">
        <v>585</v>
      </c>
      <c r="R985" s="122" t="s">
        <v>585</v>
      </c>
      <c r="T985" s="122" t="s">
        <v>585</v>
      </c>
    </row>
    <row r="986">
      <c r="B986" s="122"/>
      <c r="C986" s="122"/>
      <c r="D986" s="345"/>
      <c r="E986" s="346"/>
      <c r="F986" s="346"/>
      <c r="G986" s="122" t="s">
        <v>585</v>
      </c>
      <c r="H986" s="122">
        <v>0.0</v>
      </c>
      <c r="J986" s="133">
        <v>0.0</v>
      </c>
      <c r="K986" s="419"/>
      <c r="L986" s="122" t="s">
        <v>585</v>
      </c>
      <c r="N986" s="133" t="s">
        <v>585</v>
      </c>
      <c r="P986" s="122" t="s">
        <v>585</v>
      </c>
      <c r="R986" s="122" t="s">
        <v>585</v>
      </c>
      <c r="T986" s="122" t="s">
        <v>585</v>
      </c>
    </row>
    <row r="987">
      <c r="B987" s="122"/>
      <c r="C987" s="122"/>
      <c r="D987" s="345"/>
      <c r="E987" s="346"/>
      <c r="F987" s="346"/>
      <c r="G987" s="122" t="s">
        <v>585</v>
      </c>
      <c r="H987" s="122">
        <v>0.0</v>
      </c>
      <c r="J987" s="133">
        <v>0.0</v>
      </c>
      <c r="K987" s="419"/>
      <c r="L987" s="122" t="s">
        <v>585</v>
      </c>
      <c r="N987" s="133" t="s">
        <v>585</v>
      </c>
      <c r="P987" s="122" t="s">
        <v>585</v>
      </c>
      <c r="R987" s="122" t="s">
        <v>585</v>
      </c>
      <c r="T987" s="122" t="s">
        <v>585</v>
      </c>
    </row>
    <row r="988">
      <c r="B988" s="122"/>
      <c r="C988" s="122"/>
      <c r="D988" s="345"/>
      <c r="E988" s="346"/>
      <c r="F988" s="346"/>
      <c r="G988" s="122" t="s">
        <v>585</v>
      </c>
      <c r="H988" s="122">
        <v>0.0</v>
      </c>
      <c r="J988" s="133">
        <v>0.0</v>
      </c>
      <c r="K988" s="419"/>
      <c r="L988" s="122" t="s">
        <v>585</v>
      </c>
      <c r="N988" s="133" t="s">
        <v>585</v>
      </c>
      <c r="P988" s="122" t="s">
        <v>585</v>
      </c>
      <c r="R988" s="122" t="s">
        <v>585</v>
      </c>
      <c r="T988" s="122" t="s">
        <v>585</v>
      </c>
    </row>
    <row r="989">
      <c r="B989" s="122"/>
      <c r="C989" s="122"/>
      <c r="D989" s="345"/>
      <c r="E989" s="346"/>
      <c r="F989" s="346"/>
      <c r="G989" s="122" t="s">
        <v>585</v>
      </c>
      <c r="H989" s="122">
        <v>0.0</v>
      </c>
      <c r="J989" s="133">
        <v>0.0</v>
      </c>
      <c r="K989" s="419"/>
      <c r="L989" s="122" t="s">
        <v>585</v>
      </c>
      <c r="N989" s="133" t="s">
        <v>585</v>
      </c>
      <c r="P989" s="122" t="s">
        <v>585</v>
      </c>
      <c r="R989" s="122" t="s">
        <v>585</v>
      </c>
      <c r="T989" s="122" t="s">
        <v>585</v>
      </c>
    </row>
    <row r="990">
      <c r="B990" s="122"/>
      <c r="C990" s="122"/>
      <c r="D990" s="345"/>
      <c r="E990" s="346"/>
      <c r="F990" s="346"/>
      <c r="G990" s="122" t="s">
        <v>585</v>
      </c>
      <c r="H990" s="122">
        <v>0.0</v>
      </c>
      <c r="J990" s="133">
        <v>0.0</v>
      </c>
      <c r="K990" s="419"/>
      <c r="L990" s="122" t="s">
        <v>585</v>
      </c>
      <c r="N990" s="133" t="s">
        <v>585</v>
      </c>
      <c r="P990" s="122" t="s">
        <v>585</v>
      </c>
      <c r="R990" s="122" t="s">
        <v>585</v>
      </c>
      <c r="T990" s="122" t="s">
        <v>585</v>
      </c>
    </row>
    <row r="991">
      <c r="B991" s="122"/>
      <c r="C991" s="122"/>
      <c r="D991" s="345"/>
      <c r="E991" s="346"/>
      <c r="F991" s="346"/>
      <c r="G991" s="122" t="s">
        <v>585</v>
      </c>
      <c r="H991" s="122">
        <v>0.0</v>
      </c>
      <c r="J991" s="133">
        <v>0.0</v>
      </c>
      <c r="K991" s="419"/>
      <c r="L991" s="122" t="s">
        <v>585</v>
      </c>
      <c r="N991" s="133" t="s">
        <v>585</v>
      </c>
      <c r="P991" s="122" t="s">
        <v>585</v>
      </c>
      <c r="R991" s="122" t="s">
        <v>585</v>
      </c>
      <c r="T991" s="122" t="s">
        <v>585</v>
      </c>
    </row>
    <row r="992">
      <c r="B992" s="122"/>
      <c r="C992" s="122"/>
      <c r="D992" s="345"/>
      <c r="E992" s="346"/>
      <c r="F992" s="346"/>
      <c r="G992" s="122" t="s">
        <v>585</v>
      </c>
      <c r="H992" s="122">
        <v>0.0</v>
      </c>
      <c r="J992" s="133">
        <v>0.0</v>
      </c>
      <c r="K992" s="419"/>
      <c r="L992" s="122" t="s">
        <v>585</v>
      </c>
      <c r="N992" s="133" t="s">
        <v>585</v>
      </c>
      <c r="P992" s="122" t="s">
        <v>585</v>
      </c>
      <c r="R992" s="122" t="s">
        <v>585</v>
      </c>
      <c r="T992" s="122" t="s">
        <v>585</v>
      </c>
    </row>
    <row r="993">
      <c r="B993" s="122"/>
      <c r="C993" s="122"/>
      <c r="D993" s="345"/>
      <c r="E993" s="346"/>
      <c r="F993" s="346"/>
      <c r="G993" s="122" t="s">
        <v>585</v>
      </c>
      <c r="H993" s="122">
        <v>0.0</v>
      </c>
      <c r="J993" s="133">
        <v>0.0</v>
      </c>
      <c r="K993" s="419"/>
      <c r="L993" s="122" t="s">
        <v>585</v>
      </c>
      <c r="N993" s="133" t="s">
        <v>585</v>
      </c>
      <c r="P993" s="122" t="s">
        <v>585</v>
      </c>
      <c r="R993" s="122" t="s">
        <v>585</v>
      </c>
      <c r="T993" s="122" t="s">
        <v>585</v>
      </c>
    </row>
    <row r="994">
      <c r="B994" s="122"/>
      <c r="C994" s="122"/>
      <c r="D994" s="345"/>
      <c r="E994" s="346"/>
      <c r="F994" s="346"/>
      <c r="G994" s="122" t="s">
        <v>585</v>
      </c>
      <c r="H994" s="122">
        <v>0.0</v>
      </c>
      <c r="J994" s="133">
        <v>0.0</v>
      </c>
      <c r="K994" s="419"/>
      <c r="L994" s="122" t="s">
        <v>585</v>
      </c>
      <c r="N994" s="133" t="s">
        <v>585</v>
      </c>
      <c r="P994" s="122" t="s">
        <v>585</v>
      </c>
      <c r="R994" s="122" t="s">
        <v>585</v>
      </c>
      <c r="T994" s="122" t="s">
        <v>585</v>
      </c>
    </row>
    <row r="995">
      <c r="B995" s="122"/>
      <c r="C995" s="122"/>
      <c r="D995" s="345"/>
      <c r="E995" s="346"/>
      <c r="F995" s="346"/>
      <c r="G995" s="122" t="s">
        <v>585</v>
      </c>
      <c r="H995" s="122">
        <v>0.0</v>
      </c>
      <c r="J995" s="133">
        <v>0.0</v>
      </c>
      <c r="K995" s="419"/>
      <c r="L995" s="122" t="s">
        <v>585</v>
      </c>
      <c r="N995" s="133" t="s">
        <v>585</v>
      </c>
      <c r="P995" s="122" t="s">
        <v>585</v>
      </c>
      <c r="R995" s="122" t="s">
        <v>585</v>
      </c>
      <c r="T995" s="122" t="s">
        <v>585</v>
      </c>
    </row>
    <row r="996">
      <c r="B996" s="122"/>
      <c r="C996" s="122"/>
      <c r="D996" s="345"/>
      <c r="E996" s="346"/>
      <c r="F996" s="346"/>
      <c r="G996" s="122" t="s">
        <v>585</v>
      </c>
      <c r="H996" s="122">
        <v>0.0</v>
      </c>
      <c r="J996" s="133">
        <v>0.0</v>
      </c>
      <c r="K996" s="419"/>
      <c r="L996" s="122" t="s">
        <v>585</v>
      </c>
      <c r="N996" s="133" t="s">
        <v>585</v>
      </c>
      <c r="P996" s="122" t="s">
        <v>585</v>
      </c>
      <c r="R996" s="122" t="s">
        <v>585</v>
      </c>
      <c r="T996" s="122" t="s">
        <v>585</v>
      </c>
    </row>
    <row r="997">
      <c r="B997" s="122"/>
      <c r="C997" s="122"/>
      <c r="D997" s="345"/>
      <c r="E997" s="346"/>
      <c r="F997" s="346"/>
      <c r="G997" s="122" t="s">
        <v>585</v>
      </c>
      <c r="H997" s="122">
        <v>0.0</v>
      </c>
      <c r="J997" s="133">
        <v>0.0</v>
      </c>
      <c r="K997" s="419"/>
      <c r="L997" s="122" t="s">
        <v>585</v>
      </c>
      <c r="N997" s="133" t="s">
        <v>585</v>
      </c>
      <c r="P997" s="122" t="s">
        <v>585</v>
      </c>
      <c r="R997" s="122" t="s">
        <v>585</v>
      </c>
      <c r="T997" s="122" t="s">
        <v>585</v>
      </c>
    </row>
    <row r="998">
      <c r="B998" s="122"/>
      <c r="C998" s="122"/>
      <c r="D998" s="345"/>
      <c r="E998" s="346"/>
      <c r="F998" s="346"/>
      <c r="G998" s="122" t="s">
        <v>585</v>
      </c>
      <c r="H998" s="122">
        <v>0.0</v>
      </c>
      <c r="J998" s="133">
        <v>0.0</v>
      </c>
      <c r="K998" s="419"/>
      <c r="L998" s="122" t="s">
        <v>585</v>
      </c>
      <c r="N998" s="133" t="s">
        <v>585</v>
      </c>
      <c r="P998" s="122" t="s">
        <v>585</v>
      </c>
      <c r="R998" s="122" t="s">
        <v>585</v>
      </c>
      <c r="T998" s="122" t="s">
        <v>585</v>
      </c>
    </row>
    <row r="999">
      <c r="B999" s="122"/>
      <c r="C999" s="122"/>
      <c r="D999" s="345"/>
      <c r="E999" s="346"/>
      <c r="F999" s="346"/>
      <c r="G999" s="122" t="s">
        <v>585</v>
      </c>
      <c r="H999" s="122">
        <v>0.0</v>
      </c>
      <c r="J999" s="133">
        <v>0.0</v>
      </c>
      <c r="K999" s="419"/>
      <c r="L999" s="122" t="s">
        <v>585</v>
      </c>
      <c r="N999" s="133" t="s">
        <v>585</v>
      </c>
      <c r="P999" s="122" t="s">
        <v>585</v>
      </c>
      <c r="R999" s="122" t="s">
        <v>585</v>
      </c>
      <c r="T999" s="122" t="s">
        <v>585</v>
      </c>
    </row>
    <row r="1000">
      <c r="B1000" s="122"/>
      <c r="C1000" s="122"/>
      <c r="D1000" s="345"/>
      <c r="E1000" s="346"/>
      <c r="F1000" s="346"/>
      <c r="G1000" s="122" t="s">
        <v>585</v>
      </c>
      <c r="H1000" s="122">
        <v>0.0</v>
      </c>
      <c r="J1000" s="133">
        <v>0.0</v>
      </c>
      <c r="K1000" s="419"/>
      <c r="L1000" s="122" t="s">
        <v>585</v>
      </c>
      <c r="N1000" s="133" t="s">
        <v>585</v>
      </c>
      <c r="P1000" s="122" t="s">
        <v>585</v>
      </c>
      <c r="R1000" s="122" t="s">
        <v>585</v>
      </c>
      <c r="T1000" s="122" t="s">
        <v>585</v>
      </c>
    </row>
    <row r="1001">
      <c r="B1001" s="122"/>
      <c r="C1001" s="122"/>
      <c r="D1001" s="345"/>
      <c r="E1001" s="346"/>
      <c r="F1001" s="346"/>
      <c r="G1001" s="122" t="s">
        <v>585</v>
      </c>
      <c r="H1001" s="122">
        <v>0.0</v>
      </c>
      <c r="J1001" s="133">
        <v>0.0</v>
      </c>
      <c r="K1001" s="419"/>
      <c r="L1001" s="122" t="s">
        <v>585</v>
      </c>
      <c r="N1001" s="133" t="s">
        <v>585</v>
      </c>
      <c r="P1001" s="122" t="s">
        <v>585</v>
      </c>
      <c r="R1001" s="122" t="s">
        <v>585</v>
      </c>
      <c r="T1001" s="122" t="s">
        <v>585</v>
      </c>
    </row>
    <row r="1002">
      <c r="B1002" s="122"/>
      <c r="C1002" s="122"/>
      <c r="D1002" s="345"/>
      <c r="E1002" s="346"/>
      <c r="F1002" s="346"/>
      <c r="G1002" s="122" t="s">
        <v>585</v>
      </c>
      <c r="H1002" s="122">
        <v>0.0</v>
      </c>
      <c r="J1002" s="133">
        <v>0.0</v>
      </c>
      <c r="K1002" s="419"/>
      <c r="L1002" s="122" t="s">
        <v>585</v>
      </c>
      <c r="N1002" s="133" t="s">
        <v>585</v>
      </c>
      <c r="P1002" s="122" t="s">
        <v>585</v>
      </c>
      <c r="R1002" s="122" t="s">
        <v>585</v>
      </c>
      <c r="T1002" s="122" t="s">
        <v>585</v>
      </c>
    </row>
    <row r="1003">
      <c r="B1003" s="122"/>
      <c r="C1003" s="122"/>
      <c r="D1003" s="345"/>
      <c r="E1003" s="346"/>
      <c r="F1003" s="346"/>
      <c r="G1003" s="122" t="s">
        <v>585</v>
      </c>
      <c r="H1003" s="122">
        <v>0.0</v>
      </c>
      <c r="J1003" s="133">
        <v>0.0</v>
      </c>
      <c r="K1003" s="419"/>
      <c r="L1003" s="122" t="s">
        <v>585</v>
      </c>
      <c r="N1003" s="133" t="s">
        <v>585</v>
      </c>
      <c r="P1003" s="122" t="s">
        <v>585</v>
      </c>
      <c r="R1003" s="122" t="s">
        <v>585</v>
      </c>
      <c r="T1003" s="122" t="s">
        <v>585</v>
      </c>
    </row>
    <row r="1004">
      <c r="B1004" s="122"/>
      <c r="C1004" s="122"/>
      <c r="D1004" s="345"/>
      <c r="E1004" s="346"/>
      <c r="F1004" s="346"/>
      <c r="G1004" s="122" t="s">
        <v>585</v>
      </c>
      <c r="H1004" s="122">
        <v>0.0</v>
      </c>
      <c r="J1004" s="133">
        <v>0.0</v>
      </c>
      <c r="K1004" s="419"/>
      <c r="L1004" s="122" t="s">
        <v>585</v>
      </c>
      <c r="N1004" s="133" t="s">
        <v>585</v>
      </c>
      <c r="P1004" s="122" t="s">
        <v>585</v>
      </c>
      <c r="R1004" s="122" t="s">
        <v>585</v>
      </c>
      <c r="T1004" s="122" t="s">
        <v>585</v>
      </c>
    </row>
    <row r="1005">
      <c r="B1005" s="122"/>
      <c r="C1005" s="122"/>
      <c r="D1005" s="345"/>
      <c r="E1005" s="346"/>
      <c r="F1005" s="346"/>
      <c r="G1005" s="122" t="s">
        <v>585</v>
      </c>
      <c r="H1005" s="122">
        <v>0.0</v>
      </c>
      <c r="J1005" s="133">
        <v>0.0</v>
      </c>
      <c r="K1005" s="419"/>
      <c r="L1005" s="122" t="s">
        <v>585</v>
      </c>
      <c r="N1005" s="133" t="s">
        <v>585</v>
      </c>
      <c r="P1005" s="122" t="s">
        <v>585</v>
      </c>
      <c r="R1005" s="122" t="s">
        <v>585</v>
      </c>
      <c r="T1005" s="122" t="s">
        <v>585</v>
      </c>
    </row>
    <row r="1006">
      <c r="B1006" s="122"/>
      <c r="C1006" s="122"/>
      <c r="D1006" s="345"/>
      <c r="E1006" s="346"/>
      <c r="F1006" s="346"/>
      <c r="G1006" s="122" t="s">
        <v>585</v>
      </c>
      <c r="H1006" s="122">
        <v>0.0</v>
      </c>
      <c r="J1006" s="133">
        <v>0.0</v>
      </c>
      <c r="K1006" s="419"/>
      <c r="L1006" s="122" t="s">
        <v>585</v>
      </c>
      <c r="N1006" s="133" t="s">
        <v>585</v>
      </c>
      <c r="P1006" s="122" t="s">
        <v>585</v>
      </c>
      <c r="R1006" s="122" t="s">
        <v>585</v>
      </c>
      <c r="T1006" s="122" t="s">
        <v>585</v>
      </c>
    </row>
    <row r="1007">
      <c r="B1007" s="122"/>
      <c r="C1007" s="122"/>
      <c r="D1007" s="345"/>
      <c r="E1007" s="346"/>
      <c r="F1007" s="346"/>
      <c r="G1007" s="122" t="s">
        <v>585</v>
      </c>
      <c r="H1007" s="122">
        <v>0.0</v>
      </c>
      <c r="J1007" s="133">
        <v>0.0</v>
      </c>
      <c r="K1007" s="419"/>
      <c r="L1007" s="122" t="s">
        <v>585</v>
      </c>
      <c r="N1007" s="133" t="s">
        <v>585</v>
      </c>
      <c r="P1007" s="122" t="s">
        <v>585</v>
      </c>
      <c r="R1007" s="122" t="s">
        <v>585</v>
      </c>
      <c r="T1007" s="122" t="s">
        <v>585</v>
      </c>
    </row>
    <row r="1008">
      <c r="B1008" s="122"/>
      <c r="C1008" s="122"/>
      <c r="D1008" s="345"/>
      <c r="E1008" s="346"/>
      <c r="F1008" s="346"/>
      <c r="G1008" s="122" t="s">
        <v>585</v>
      </c>
      <c r="H1008" s="122">
        <v>0.0</v>
      </c>
      <c r="J1008" s="133">
        <v>0.0</v>
      </c>
      <c r="K1008" s="419"/>
      <c r="L1008" s="122" t="s">
        <v>585</v>
      </c>
      <c r="N1008" s="133" t="s">
        <v>585</v>
      </c>
      <c r="P1008" s="122" t="s">
        <v>585</v>
      </c>
      <c r="R1008" s="122" t="s">
        <v>585</v>
      </c>
      <c r="T1008" s="122" t="s">
        <v>585</v>
      </c>
    </row>
    <row r="1009">
      <c r="B1009" s="122"/>
      <c r="C1009" s="122"/>
      <c r="D1009" s="345"/>
      <c r="E1009" s="346"/>
      <c r="F1009" s="346"/>
      <c r="G1009" s="122" t="s">
        <v>585</v>
      </c>
      <c r="H1009" s="122">
        <v>0.0</v>
      </c>
      <c r="J1009" s="133">
        <v>0.0</v>
      </c>
      <c r="K1009" s="419"/>
      <c r="L1009" s="122" t="s">
        <v>585</v>
      </c>
      <c r="N1009" s="133" t="s">
        <v>585</v>
      </c>
      <c r="P1009" s="122" t="s">
        <v>585</v>
      </c>
      <c r="R1009" s="122" t="s">
        <v>585</v>
      </c>
      <c r="T1009" s="122" t="s">
        <v>585</v>
      </c>
    </row>
    <row r="1010">
      <c r="B1010" s="122"/>
      <c r="C1010" s="122"/>
      <c r="D1010" s="345"/>
      <c r="E1010" s="346"/>
      <c r="F1010" s="346"/>
      <c r="G1010" s="122" t="s">
        <v>585</v>
      </c>
      <c r="H1010" s="122">
        <v>0.0</v>
      </c>
      <c r="J1010" s="133">
        <v>0.0</v>
      </c>
      <c r="K1010" s="419"/>
      <c r="L1010" s="122" t="s">
        <v>585</v>
      </c>
      <c r="N1010" s="133" t="s">
        <v>585</v>
      </c>
      <c r="P1010" s="122" t="s">
        <v>585</v>
      </c>
      <c r="R1010" s="122" t="s">
        <v>585</v>
      </c>
      <c r="T1010" s="122" t="s">
        <v>585</v>
      </c>
    </row>
    <row r="1011">
      <c r="B1011" s="122"/>
      <c r="C1011" s="122"/>
      <c r="D1011" s="345"/>
      <c r="E1011" s="346"/>
      <c r="F1011" s="346"/>
      <c r="G1011" s="122" t="s">
        <v>585</v>
      </c>
      <c r="H1011" s="122">
        <v>0.0</v>
      </c>
      <c r="J1011" s="133">
        <v>0.0</v>
      </c>
      <c r="K1011" s="419"/>
      <c r="L1011" s="122" t="s">
        <v>585</v>
      </c>
      <c r="N1011" s="133" t="s">
        <v>585</v>
      </c>
      <c r="P1011" s="122" t="s">
        <v>585</v>
      </c>
      <c r="R1011" s="122" t="s">
        <v>585</v>
      </c>
      <c r="T1011" s="122" t="s">
        <v>585</v>
      </c>
    </row>
    <row r="1012">
      <c r="B1012" s="122"/>
      <c r="C1012" s="122"/>
      <c r="D1012" s="345"/>
      <c r="E1012" s="346"/>
      <c r="F1012" s="346"/>
      <c r="G1012" s="122" t="s">
        <v>585</v>
      </c>
      <c r="H1012" s="122">
        <v>0.0</v>
      </c>
      <c r="J1012" s="133">
        <v>0.0</v>
      </c>
      <c r="K1012" s="419"/>
      <c r="L1012" s="122" t="s">
        <v>585</v>
      </c>
      <c r="N1012" s="133" t="s">
        <v>585</v>
      </c>
      <c r="P1012" s="122" t="s">
        <v>585</v>
      </c>
      <c r="R1012" s="122" t="s">
        <v>585</v>
      </c>
      <c r="T1012" s="122" t="s">
        <v>585</v>
      </c>
    </row>
    <row r="1013">
      <c r="B1013" s="122"/>
      <c r="C1013" s="122"/>
      <c r="D1013" s="345"/>
      <c r="E1013" s="346"/>
      <c r="F1013" s="346"/>
      <c r="G1013" s="122" t="s">
        <v>585</v>
      </c>
      <c r="H1013" s="122">
        <v>0.0</v>
      </c>
      <c r="J1013" s="133">
        <v>0.0</v>
      </c>
      <c r="K1013" s="419"/>
      <c r="L1013" s="122" t="s">
        <v>585</v>
      </c>
      <c r="N1013" s="133" t="s">
        <v>585</v>
      </c>
      <c r="P1013" s="122" t="s">
        <v>585</v>
      </c>
      <c r="R1013" s="122" t="s">
        <v>585</v>
      </c>
      <c r="T1013" s="122" t="s">
        <v>585</v>
      </c>
    </row>
    <row r="1014">
      <c r="B1014" s="122"/>
      <c r="C1014" s="122"/>
      <c r="D1014" s="345"/>
      <c r="E1014" s="346"/>
      <c r="F1014" s="346"/>
      <c r="G1014" s="122" t="s">
        <v>585</v>
      </c>
      <c r="H1014" s="122">
        <v>0.0</v>
      </c>
      <c r="J1014" s="133">
        <v>0.0</v>
      </c>
      <c r="K1014" s="419"/>
      <c r="L1014" s="122" t="s">
        <v>585</v>
      </c>
      <c r="N1014" s="133" t="s">
        <v>585</v>
      </c>
      <c r="P1014" s="122" t="s">
        <v>585</v>
      </c>
      <c r="R1014" s="122" t="s">
        <v>585</v>
      </c>
      <c r="T1014" s="122" t="s">
        <v>585</v>
      </c>
    </row>
    <row r="1015">
      <c r="B1015" s="122"/>
      <c r="C1015" s="122"/>
      <c r="D1015" s="345"/>
      <c r="E1015" s="346"/>
      <c r="F1015" s="346"/>
      <c r="G1015" s="122" t="s">
        <v>585</v>
      </c>
      <c r="H1015" s="122">
        <v>0.0</v>
      </c>
      <c r="J1015" s="133">
        <v>0.0</v>
      </c>
      <c r="K1015" s="419"/>
      <c r="L1015" s="122" t="s">
        <v>585</v>
      </c>
      <c r="N1015" s="133" t="s">
        <v>585</v>
      </c>
      <c r="P1015" s="122" t="s">
        <v>585</v>
      </c>
      <c r="R1015" s="122" t="s">
        <v>585</v>
      </c>
      <c r="T1015" s="122" t="s">
        <v>585</v>
      </c>
    </row>
    <row r="1016">
      <c r="B1016" s="122"/>
      <c r="C1016" s="122"/>
      <c r="D1016" s="345"/>
      <c r="E1016" s="346"/>
      <c r="F1016" s="346"/>
      <c r="G1016" s="122" t="s">
        <v>585</v>
      </c>
      <c r="H1016" s="122">
        <v>0.0</v>
      </c>
      <c r="J1016" s="133">
        <v>0.0</v>
      </c>
      <c r="K1016" s="419"/>
      <c r="L1016" s="122" t="s">
        <v>585</v>
      </c>
      <c r="N1016" s="133" t="s">
        <v>585</v>
      </c>
      <c r="P1016" s="122" t="s">
        <v>585</v>
      </c>
      <c r="R1016" s="122" t="s">
        <v>585</v>
      </c>
      <c r="T1016" s="122" t="s">
        <v>585</v>
      </c>
    </row>
    <row r="1017">
      <c r="B1017" s="122"/>
      <c r="C1017" s="122"/>
      <c r="D1017" s="345"/>
      <c r="E1017" s="346"/>
      <c r="F1017" s="346"/>
      <c r="G1017" s="122" t="s">
        <v>585</v>
      </c>
      <c r="H1017" s="122">
        <v>0.0</v>
      </c>
      <c r="J1017" s="133">
        <v>0.0</v>
      </c>
      <c r="K1017" s="419"/>
      <c r="L1017" s="122" t="s">
        <v>585</v>
      </c>
      <c r="N1017" s="133" t="s">
        <v>585</v>
      </c>
      <c r="P1017" s="122" t="s">
        <v>585</v>
      </c>
      <c r="R1017" s="122" t="s">
        <v>585</v>
      </c>
      <c r="T1017" s="122" t="s">
        <v>585</v>
      </c>
    </row>
    <row r="1018">
      <c r="B1018" s="122"/>
      <c r="C1018" s="122"/>
      <c r="D1018" s="345"/>
      <c r="E1018" s="346"/>
      <c r="F1018" s="346"/>
      <c r="G1018" s="122" t="s">
        <v>585</v>
      </c>
      <c r="H1018" s="122">
        <v>0.0</v>
      </c>
      <c r="J1018" s="133">
        <v>0.0</v>
      </c>
      <c r="K1018" s="419"/>
      <c r="L1018" s="122" t="s">
        <v>585</v>
      </c>
      <c r="N1018" s="133" t="s">
        <v>585</v>
      </c>
      <c r="P1018" s="122" t="s">
        <v>585</v>
      </c>
      <c r="R1018" s="122" t="s">
        <v>585</v>
      </c>
      <c r="T1018" s="122" t="s">
        <v>585</v>
      </c>
    </row>
    <row r="1019">
      <c r="B1019" s="122"/>
      <c r="C1019" s="122"/>
      <c r="D1019" s="345"/>
      <c r="E1019" s="346"/>
      <c r="F1019" s="346"/>
      <c r="G1019" s="122" t="s">
        <v>585</v>
      </c>
      <c r="H1019" s="122">
        <v>0.0</v>
      </c>
      <c r="J1019" s="133">
        <v>0.0</v>
      </c>
      <c r="K1019" s="419"/>
      <c r="L1019" s="122" t="s">
        <v>585</v>
      </c>
      <c r="N1019" s="133" t="s">
        <v>585</v>
      </c>
      <c r="P1019" s="122" t="s">
        <v>585</v>
      </c>
      <c r="R1019" s="122" t="s">
        <v>585</v>
      </c>
      <c r="T1019" s="122" t="s">
        <v>585</v>
      </c>
    </row>
    <row r="1020">
      <c r="B1020" s="122"/>
      <c r="C1020" s="122"/>
      <c r="D1020" s="345"/>
      <c r="E1020" s="346"/>
      <c r="F1020" s="346"/>
      <c r="G1020" s="122" t="s">
        <v>585</v>
      </c>
      <c r="H1020" s="122">
        <v>0.0</v>
      </c>
      <c r="J1020" s="133">
        <v>0.0</v>
      </c>
      <c r="K1020" s="419"/>
      <c r="L1020" s="122" t="s">
        <v>585</v>
      </c>
      <c r="N1020" s="133" t="s">
        <v>585</v>
      </c>
      <c r="P1020" s="122" t="s">
        <v>585</v>
      </c>
      <c r="R1020" s="122" t="s">
        <v>585</v>
      </c>
      <c r="T1020" s="122" t="s">
        <v>585</v>
      </c>
    </row>
    <row r="1021">
      <c r="B1021" s="122"/>
      <c r="C1021" s="122"/>
      <c r="D1021" s="345"/>
      <c r="E1021" s="346"/>
      <c r="F1021" s="346"/>
      <c r="G1021" s="122" t="s">
        <v>585</v>
      </c>
      <c r="H1021" s="122">
        <v>0.0</v>
      </c>
      <c r="J1021" s="133">
        <v>0.0</v>
      </c>
      <c r="K1021" s="419"/>
      <c r="L1021" s="122" t="s">
        <v>585</v>
      </c>
      <c r="N1021" s="133" t="s">
        <v>585</v>
      </c>
      <c r="P1021" s="122" t="s">
        <v>585</v>
      </c>
      <c r="R1021" s="122" t="s">
        <v>585</v>
      </c>
      <c r="T1021" s="122" t="s">
        <v>585</v>
      </c>
    </row>
    <row r="1022">
      <c r="B1022" s="122"/>
      <c r="C1022" s="122"/>
      <c r="D1022" s="345"/>
      <c r="E1022" s="346"/>
      <c r="F1022" s="346"/>
      <c r="G1022" s="122" t="s">
        <v>585</v>
      </c>
      <c r="H1022" s="122">
        <v>0.0</v>
      </c>
      <c r="J1022" s="133">
        <v>0.0</v>
      </c>
      <c r="K1022" s="419"/>
      <c r="L1022" s="122" t="s">
        <v>585</v>
      </c>
      <c r="N1022" s="133" t="s">
        <v>585</v>
      </c>
      <c r="P1022" s="122" t="s">
        <v>585</v>
      </c>
      <c r="R1022" s="122" t="s">
        <v>585</v>
      </c>
      <c r="T1022" s="122" t="s">
        <v>585</v>
      </c>
    </row>
    <row r="1023">
      <c r="B1023" s="122"/>
      <c r="C1023" s="122"/>
      <c r="D1023" s="345"/>
      <c r="E1023" s="346"/>
      <c r="F1023" s="346"/>
      <c r="G1023" s="122" t="s">
        <v>585</v>
      </c>
      <c r="H1023" s="122">
        <v>0.0</v>
      </c>
      <c r="J1023" s="133">
        <v>0.0</v>
      </c>
      <c r="K1023" s="419"/>
      <c r="L1023" s="122" t="s">
        <v>585</v>
      </c>
      <c r="N1023" s="133" t="s">
        <v>585</v>
      </c>
      <c r="P1023" s="122" t="s">
        <v>585</v>
      </c>
      <c r="R1023" s="122" t="s">
        <v>585</v>
      </c>
      <c r="T1023" s="122" t="s">
        <v>585</v>
      </c>
    </row>
    <row r="1024">
      <c r="B1024" s="122"/>
      <c r="C1024" s="122"/>
      <c r="D1024" s="345"/>
      <c r="E1024" s="346"/>
      <c r="F1024" s="346"/>
      <c r="G1024" s="122" t="s">
        <v>585</v>
      </c>
      <c r="H1024" s="122">
        <v>0.0</v>
      </c>
      <c r="J1024" s="133">
        <v>0.0</v>
      </c>
      <c r="K1024" s="419"/>
      <c r="L1024" s="122" t="s">
        <v>585</v>
      </c>
      <c r="N1024" s="133" t="s">
        <v>585</v>
      </c>
      <c r="P1024" s="122" t="s">
        <v>585</v>
      </c>
      <c r="R1024" s="122" t="s">
        <v>585</v>
      </c>
      <c r="T1024" s="122" t="s">
        <v>585</v>
      </c>
    </row>
    <row r="1025">
      <c r="B1025" s="122"/>
      <c r="C1025" s="122"/>
      <c r="D1025" s="345"/>
      <c r="E1025" s="346"/>
      <c r="F1025" s="346"/>
      <c r="G1025" s="122" t="s">
        <v>585</v>
      </c>
      <c r="H1025" s="122">
        <v>0.0</v>
      </c>
      <c r="J1025" s="133">
        <v>0.0</v>
      </c>
      <c r="K1025" s="419"/>
      <c r="L1025" s="122" t="s">
        <v>585</v>
      </c>
      <c r="N1025" s="133" t="s">
        <v>585</v>
      </c>
      <c r="P1025" s="122" t="s">
        <v>585</v>
      </c>
      <c r="R1025" s="122" t="s">
        <v>585</v>
      </c>
      <c r="T1025" s="122" t="s">
        <v>585</v>
      </c>
    </row>
    <row r="1026">
      <c r="B1026" s="122"/>
      <c r="C1026" s="122"/>
      <c r="D1026" s="345"/>
      <c r="E1026" s="346"/>
      <c r="F1026" s="346"/>
      <c r="G1026" s="122" t="s">
        <v>585</v>
      </c>
      <c r="H1026" s="122">
        <v>0.0</v>
      </c>
      <c r="J1026" s="133">
        <v>0.0</v>
      </c>
      <c r="K1026" s="419"/>
      <c r="L1026" s="122" t="s">
        <v>585</v>
      </c>
      <c r="N1026" s="133" t="s">
        <v>585</v>
      </c>
      <c r="P1026" s="122" t="s">
        <v>585</v>
      </c>
      <c r="R1026" s="122" t="s">
        <v>585</v>
      </c>
      <c r="T1026" s="122" t="s">
        <v>585</v>
      </c>
    </row>
    <row r="1027">
      <c r="B1027" s="122"/>
      <c r="C1027" s="122"/>
      <c r="D1027" s="345"/>
      <c r="E1027" s="346"/>
      <c r="F1027" s="346"/>
      <c r="G1027" s="122" t="s">
        <v>585</v>
      </c>
      <c r="H1027" s="122">
        <v>0.0</v>
      </c>
      <c r="J1027" s="133">
        <v>0.0</v>
      </c>
      <c r="K1027" s="419"/>
      <c r="L1027" s="122" t="s">
        <v>585</v>
      </c>
      <c r="N1027" s="133" t="s">
        <v>585</v>
      </c>
      <c r="P1027" s="122" t="s">
        <v>585</v>
      </c>
      <c r="R1027" s="122" t="s">
        <v>585</v>
      </c>
      <c r="T1027" s="122" t="s">
        <v>585</v>
      </c>
    </row>
    <row r="1028">
      <c r="B1028" s="122"/>
      <c r="C1028" s="122"/>
      <c r="D1028" s="345"/>
      <c r="E1028" s="346"/>
      <c r="F1028" s="346"/>
      <c r="G1028" s="122" t="s">
        <v>585</v>
      </c>
      <c r="H1028" s="122">
        <v>0.0</v>
      </c>
      <c r="J1028" s="133">
        <v>0.0</v>
      </c>
      <c r="K1028" s="419"/>
      <c r="L1028" s="122" t="s">
        <v>585</v>
      </c>
      <c r="N1028" s="133" t="s">
        <v>585</v>
      </c>
      <c r="P1028" s="122" t="s">
        <v>585</v>
      </c>
      <c r="R1028" s="122" t="s">
        <v>585</v>
      </c>
      <c r="T1028" s="122" t="s">
        <v>585</v>
      </c>
    </row>
    <row r="1029">
      <c r="B1029" s="122"/>
      <c r="C1029" s="122"/>
      <c r="D1029" s="345"/>
      <c r="E1029" s="346"/>
      <c r="F1029" s="346"/>
      <c r="G1029" s="122" t="s">
        <v>585</v>
      </c>
      <c r="H1029" s="122">
        <v>0.0</v>
      </c>
      <c r="J1029" s="133">
        <v>0.0</v>
      </c>
      <c r="K1029" s="419"/>
      <c r="L1029" s="122" t="s">
        <v>585</v>
      </c>
      <c r="N1029" s="133" t="s">
        <v>585</v>
      </c>
      <c r="P1029" s="122" t="s">
        <v>585</v>
      </c>
      <c r="R1029" s="122" t="s">
        <v>585</v>
      </c>
      <c r="T1029" s="122" t="s">
        <v>585</v>
      </c>
    </row>
    <row r="1030">
      <c r="B1030" s="122"/>
      <c r="C1030" s="122"/>
      <c r="D1030" s="345"/>
      <c r="E1030" s="346"/>
      <c r="F1030" s="346"/>
      <c r="G1030" s="122" t="s">
        <v>585</v>
      </c>
      <c r="H1030" s="122">
        <v>0.0</v>
      </c>
      <c r="J1030" s="133">
        <v>0.0</v>
      </c>
      <c r="K1030" s="419"/>
      <c r="L1030" s="122" t="s">
        <v>585</v>
      </c>
      <c r="N1030" s="133" t="s">
        <v>585</v>
      </c>
      <c r="P1030" s="122" t="s">
        <v>585</v>
      </c>
      <c r="R1030" s="122" t="s">
        <v>585</v>
      </c>
      <c r="T1030" s="122" t="s">
        <v>585</v>
      </c>
    </row>
    <row r="1031">
      <c r="B1031" s="122"/>
      <c r="C1031" s="122"/>
      <c r="D1031" s="345"/>
      <c r="E1031" s="346"/>
      <c r="F1031" s="346"/>
      <c r="G1031" s="122" t="s">
        <v>585</v>
      </c>
      <c r="H1031" s="122">
        <v>0.0</v>
      </c>
      <c r="J1031" s="133">
        <v>0.0</v>
      </c>
      <c r="K1031" s="419"/>
      <c r="L1031" s="122" t="s">
        <v>585</v>
      </c>
      <c r="N1031" s="133" t="s">
        <v>585</v>
      </c>
      <c r="P1031" s="122" t="s">
        <v>585</v>
      </c>
      <c r="R1031" s="122" t="s">
        <v>585</v>
      </c>
      <c r="T1031" s="122" t="s">
        <v>585</v>
      </c>
    </row>
    <row r="1032">
      <c r="B1032" s="122"/>
      <c r="C1032" s="122"/>
      <c r="D1032" s="345"/>
      <c r="E1032" s="346"/>
      <c r="F1032" s="346"/>
      <c r="G1032" s="122" t="s">
        <v>585</v>
      </c>
      <c r="H1032" s="122">
        <v>0.0</v>
      </c>
      <c r="J1032" s="133">
        <v>0.0</v>
      </c>
      <c r="K1032" s="419"/>
      <c r="L1032" s="122" t="s">
        <v>585</v>
      </c>
      <c r="N1032" s="133" t="s">
        <v>585</v>
      </c>
      <c r="P1032" s="122" t="s">
        <v>585</v>
      </c>
      <c r="R1032" s="122" t="s">
        <v>585</v>
      </c>
      <c r="T1032" s="122" t="s">
        <v>585</v>
      </c>
    </row>
    <row r="1033">
      <c r="B1033" s="122"/>
      <c r="C1033" s="122"/>
      <c r="D1033" s="345"/>
      <c r="E1033" s="346"/>
      <c r="F1033" s="346"/>
      <c r="G1033" s="122" t="s">
        <v>585</v>
      </c>
      <c r="H1033" s="122">
        <v>0.0</v>
      </c>
      <c r="J1033" s="133">
        <v>0.0</v>
      </c>
      <c r="K1033" s="419"/>
      <c r="L1033" s="122" t="s">
        <v>585</v>
      </c>
      <c r="N1033" s="133" t="s">
        <v>585</v>
      </c>
      <c r="P1033" s="122" t="s">
        <v>585</v>
      </c>
      <c r="R1033" s="122" t="s">
        <v>585</v>
      </c>
      <c r="T1033" s="122" t="s">
        <v>585</v>
      </c>
    </row>
    <row r="1034">
      <c r="B1034" s="122"/>
      <c r="C1034" s="122"/>
      <c r="D1034" s="345"/>
      <c r="E1034" s="346"/>
      <c r="F1034" s="346"/>
      <c r="G1034" s="122" t="s">
        <v>585</v>
      </c>
      <c r="H1034" s="122">
        <v>0.0</v>
      </c>
      <c r="J1034" s="133">
        <v>0.0</v>
      </c>
      <c r="K1034" s="419"/>
      <c r="L1034" s="122" t="s">
        <v>585</v>
      </c>
      <c r="N1034" s="133" t="s">
        <v>585</v>
      </c>
      <c r="P1034" s="122" t="s">
        <v>585</v>
      </c>
      <c r="R1034" s="122" t="s">
        <v>585</v>
      </c>
      <c r="T1034" s="122" t="s">
        <v>585</v>
      </c>
    </row>
    <row r="1035">
      <c r="B1035" s="122"/>
      <c r="C1035" s="122"/>
      <c r="D1035" s="345"/>
      <c r="E1035" s="346"/>
      <c r="F1035" s="346"/>
      <c r="G1035" s="122" t="s">
        <v>585</v>
      </c>
      <c r="H1035" s="122">
        <v>0.0</v>
      </c>
      <c r="J1035" s="133">
        <v>0.0</v>
      </c>
      <c r="K1035" s="419"/>
      <c r="L1035" s="122" t="s">
        <v>585</v>
      </c>
      <c r="N1035" s="133" t="s">
        <v>585</v>
      </c>
      <c r="P1035" s="122" t="s">
        <v>585</v>
      </c>
      <c r="R1035" s="122" t="s">
        <v>585</v>
      </c>
      <c r="T1035" s="122" t="s">
        <v>585</v>
      </c>
    </row>
    <row r="1036">
      <c r="B1036" s="122"/>
      <c r="C1036" s="122"/>
      <c r="D1036" s="345"/>
      <c r="E1036" s="346"/>
      <c r="F1036" s="346"/>
      <c r="G1036" s="122" t="s">
        <v>585</v>
      </c>
      <c r="H1036" s="122">
        <v>0.0</v>
      </c>
      <c r="J1036" s="133">
        <v>0.0</v>
      </c>
      <c r="K1036" s="419"/>
      <c r="L1036" s="122" t="s">
        <v>585</v>
      </c>
      <c r="N1036" s="133" t="s">
        <v>585</v>
      </c>
      <c r="P1036" s="122" t="s">
        <v>585</v>
      </c>
      <c r="R1036" s="122" t="s">
        <v>585</v>
      </c>
      <c r="T1036" s="122" t="s">
        <v>585</v>
      </c>
    </row>
    <row r="1037">
      <c r="B1037" s="122"/>
      <c r="C1037" s="122"/>
      <c r="D1037" s="345"/>
      <c r="E1037" s="346"/>
      <c r="F1037" s="346"/>
      <c r="G1037" s="122" t="s">
        <v>585</v>
      </c>
      <c r="H1037" s="122">
        <v>0.0</v>
      </c>
      <c r="J1037" s="133">
        <v>0.0</v>
      </c>
      <c r="K1037" s="419"/>
      <c r="L1037" s="122" t="s">
        <v>585</v>
      </c>
      <c r="N1037" s="133" t="s">
        <v>585</v>
      </c>
      <c r="P1037" s="122" t="s">
        <v>585</v>
      </c>
      <c r="R1037" s="122" t="s">
        <v>585</v>
      </c>
      <c r="T1037" s="122" t="s">
        <v>585</v>
      </c>
    </row>
    <row r="1038">
      <c r="B1038" s="122"/>
      <c r="C1038" s="122"/>
      <c r="D1038" s="345"/>
      <c r="E1038" s="346"/>
      <c r="F1038" s="346"/>
      <c r="G1038" s="122" t="s">
        <v>585</v>
      </c>
      <c r="H1038" s="122">
        <v>0.0</v>
      </c>
      <c r="J1038" s="133">
        <v>0.0</v>
      </c>
      <c r="K1038" s="419"/>
      <c r="L1038" s="122" t="s">
        <v>585</v>
      </c>
      <c r="N1038" s="133" t="s">
        <v>585</v>
      </c>
      <c r="P1038" s="122" t="s">
        <v>585</v>
      </c>
      <c r="R1038" s="122" t="s">
        <v>585</v>
      </c>
      <c r="T1038" s="122" t="s">
        <v>585</v>
      </c>
    </row>
    <row r="1039">
      <c r="B1039" s="122"/>
      <c r="C1039" s="122"/>
      <c r="D1039" s="345"/>
      <c r="E1039" s="346"/>
      <c r="F1039" s="346"/>
      <c r="G1039" s="122" t="s">
        <v>585</v>
      </c>
      <c r="H1039" s="122">
        <v>0.0</v>
      </c>
      <c r="J1039" s="133">
        <v>0.0</v>
      </c>
      <c r="K1039" s="419"/>
      <c r="L1039" s="122" t="s">
        <v>585</v>
      </c>
      <c r="N1039" s="133" t="s">
        <v>585</v>
      </c>
      <c r="P1039" s="122" t="s">
        <v>585</v>
      </c>
      <c r="R1039" s="122" t="s">
        <v>585</v>
      </c>
      <c r="T1039" s="122" t="s">
        <v>585</v>
      </c>
    </row>
    <row r="1040">
      <c r="B1040" s="122"/>
      <c r="C1040" s="122"/>
      <c r="D1040" s="345"/>
      <c r="E1040" s="346"/>
      <c r="F1040" s="346"/>
      <c r="G1040" s="122" t="s">
        <v>585</v>
      </c>
      <c r="H1040" s="122">
        <v>0.0</v>
      </c>
      <c r="J1040" s="133">
        <v>0.0</v>
      </c>
      <c r="K1040" s="419"/>
      <c r="L1040" s="122" t="s">
        <v>585</v>
      </c>
      <c r="N1040" s="133" t="s">
        <v>585</v>
      </c>
      <c r="P1040" s="122" t="s">
        <v>585</v>
      </c>
      <c r="R1040" s="122" t="s">
        <v>585</v>
      </c>
      <c r="T1040" s="122" t="s">
        <v>585</v>
      </c>
    </row>
    <row r="1041">
      <c r="B1041" s="122"/>
      <c r="C1041" s="122"/>
      <c r="D1041" s="345"/>
      <c r="E1041" s="346"/>
      <c r="F1041" s="346"/>
      <c r="G1041" s="122" t="s">
        <v>585</v>
      </c>
      <c r="H1041" s="122">
        <v>0.0</v>
      </c>
      <c r="J1041" s="133">
        <v>0.0</v>
      </c>
      <c r="K1041" s="419"/>
      <c r="L1041" s="122" t="s">
        <v>585</v>
      </c>
      <c r="N1041" s="133" t="s">
        <v>585</v>
      </c>
      <c r="P1041" s="122" t="s">
        <v>585</v>
      </c>
      <c r="R1041" s="122" t="s">
        <v>585</v>
      </c>
      <c r="T1041" s="122" t="s">
        <v>585</v>
      </c>
    </row>
    <row r="1042">
      <c r="B1042" s="122"/>
      <c r="C1042" s="122"/>
      <c r="D1042" s="345"/>
      <c r="E1042" s="346"/>
      <c r="F1042" s="346"/>
      <c r="G1042" s="122" t="s">
        <v>585</v>
      </c>
      <c r="H1042" s="122">
        <v>0.0</v>
      </c>
      <c r="J1042" s="133">
        <v>0.0</v>
      </c>
      <c r="K1042" s="419"/>
      <c r="L1042" s="122" t="s">
        <v>585</v>
      </c>
      <c r="N1042" s="133" t="s">
        <v>585</v>
      </c>
      <c r="P1042" s="122" t="s">
        <v>585</v>
      </c>
      <c r="R1042" s="122" t="s">
        <v>585</v>
      </c>
      <c r="T1042" s="122" t="s">
        <v>585</v>
      </c>
    </row>
    <row r="1043">
      <c r="B1043" s="122"/>
      <c r="C1043" s="122"/>
      <c r="D1043" s="345"/>
      <c r="E1043" s="346"/>
      <c r="F1043" s="346"/>
      <c r="G1043" s="122" t="s">
        <v>585</v>
      </c>
      <c r="H1043" s="122">
        <v>0.0</v>
      </c>
      <c r="J1043" s="133">
        <v>0.0</v>
      </c>
      <c r="K1043" s="419"/>
      <c r="L1043" s="122" t="s">
        <v>585</v>
      </c>
      <c r="N1043" s="133" t="s">
        <v>585</v>
      </c>
      <c r="P1043" s="122" t="s">
        <v>585</v>
      </c>
      <c r="R1043" s="122" t="s">
        <v>585</v>
      </c>
      <c r="T1043" s="122" t="s">
        <v>585</v>
      </c>
    </row>
    <row r="1044">
      <c r="B1044" s="122"/>
      <c r="C1044" s="122"/>
      <c r="D1044" s="345"/>
      <c r="E1044" s="346"/>
      <c r="F1044" s="346"/>
      <c r="G1044" s="122" t="s">
        <v>585</v>
      </c>
      <c r="H1044" s="122">
        <v>0.0</v>
      </c>
      <c r="J1044" s="133">
        <v>0.0</v>
      </c>
      <c r="K1044" s="419"/>
      <c r="L1044" s="122" t="s">
        <v>585</v>
      </c>
      <c r="N1044" s="133" t="s">
        <v>585</v>
      </c>
      <c r="P1044" s="122" t="s">
        <v>585</v>
      </c>
      <c r="R1044" s="122" t="s">
        <v>585</v>
      </c>
      <c r="T1044" s="122" t="s">
        <v>585</v>
      </c>
    </row>
    <row r="1045">
      <c r="B1045" s="122"/>
      <c r="C1045" s="122"/>
      <c r="D1045" s="345"/>
      <c r="E1045" s="346"/>
      <c r="F1045" s="346"/>
      <c r="G1045" s="122" t="s">
        <v>585</v>
      </c>
      <c r="H1045" s="122">
        <v>0.0</v>
      </c>
      <c r="J1045" s="133">
        <v>0.0</v>
      </c>
      <c r="K1045" s="419"/>
      <c r="L1045" s="122" t="s">
        <v>585</v>
      </c>
      <c r="N1045" s="133" t="s">
        <v>585</v>
      </c>
      <c r="P1045" s="122" t="s">
        <v>585</v>
      </c>
      <c r="R1045" s="122" t="s">
        <v>585</v>
      </c>
      <c r="T1045" s="122" t="s">
        <v>585</v>
      </c>
    </row>
    <row r="1046">
      <c r="B1046" s="122"/>
      <c r="C1046" s="122"/>
      <c r="D1046" s="345"/>
      <c r="E1046" s="346"/>
      <c r="F1046" s="346"/>
      <c r="G1046" s="122" t="s">
        <v>585</v>
      </c>
      <c r="H1046" s="122">
        <v>0.0</v>
      </c>
      <c r="J1046" s="133">
        <v>0.0</v>
      </c>
      <c r="K1046" s="419"/>
      <c r="L1046" s="122" t="s">
        <v>585</v>
      </c>
      <c r="N1046" s="133" t="s">
        <v>585</v>
      </c>
      <c r="P1046" s="122" t="s">
        <v>585</v>
      </c>
      <c r="R1046" s="122" t="s">
        <v>585</v>
      </c>
      <c r="T1046" s="122" t="s">
        <v>585</v>
      </c>
    </row>
    <row r="1047">
      <c r="B1047" s="122"/>
      <c r="C1047" s="122"/>
      <c r="D1047" s="345"/>
      <c r="E1047" s="346"/>
      <c r="F1047" s="346"/>
      <c r="G1047" s="122" t="s">
        <v>585</v>
      </c>
      <c r="H1047" s="122">
        <v>0.0</v>
      </c>
      <c r="J1047" s="133">
        <v>0.0</v>
      </c>
      <c r="K1047" s="419"/>
      <c r="L1047" s="122" t="s">
        <v>585</v>
      </c>
      <c r="N1047" s="133" t="s">
        <v>585</v>
      </c>
      <c r="P1047" s="122" t="s">
        <v>585</v>
      </c>
      <c r="R1047" s="122" t="s">
        <v>585</v>
      </c>
      <c r="T1047" s="122" t="s">
        <v>585</v>
      </c>
    </row>
    <row r="1048">
      <c r="B1048" s="122"/>
      <c r="C1048" s="122"/>
      <c r="D1048" s="345"/>
      <c r="E1048" s="346"/>
      <c r="F1048" s="346"/>
      <c r="G1048" s="122" t="s">
        <v>585</v>
      </c>
      <c r="H1048" s="122">
        <v>0.0</v>
      </c>
      <c r="J1048" s="133">
        <v>0.0</v>
      </c>
      <c r="K1048" s="419"/>
      <c r="L1048" s="122" t="s">
        <v>585</v>
      </c>
      <c r="N1048" s="133" t="s">
        <v>585</v>
      </c>
      <c r="P1048" s="122" t="s">
        <v>585</v>
      </c>
      <c r="R1048" s="122" t="s">
        <v>585</v>
      </c>
      <c r="T1048" s="122" t="s">
        <v>585</v>
      </c>
    </row>
    <row r="1049">
      <c r="B1049" s="122"/>
      <c r="C1049" s="122"/>
      <c r="D1049" s="345"/>
      <c r="E1049" s="346"/>
      <c r="F1049" s="346"/>
      <c r="G1049" s="122" t="s">
        <v>585</v>
      </c>
      <c r="H1049" s="122">
        <v>0.0</v>
      </c>
      <c r="J1049" s="133">
        <v>0.0</v>
      </c>
      <c r="K1049" s="419"/>
      <c r="L1049" s="122" t="s">
        <v>585</v>
      </c>
      <c r="N1049" s="133" t="s">
        <v>585</v>
      </c>
      <c r="P1049" s="122" t="s">
        <v>585</v>
      </c>
      <c r="R1049" s="122" t="s">
        <v>585</v>
      </c>
      <c r="T1049" s="122" t="s">
        <v>585</v>
      </c>
    </row>
    <row r="1050">
      <c r="B1050" s="122"/>
      <c r="C1050" s="122"/>
      <c r="D1050" s="345"/>
      <c r="E1050" s="346"/>
      <c r="F1050" s="346"/>
      <c r="G1050" s="122" t="s">
        <v>585</v>
      </c>
      <c r="H1050" s="122">
        <v>0.0</v>
      </c>
      <c r="J1050" s="133">
        <v>0.0</v>
      </c>
      <c r="K1050" s="419"/>
      <c r="L1050" s="122" t="s">
        <v>585</v>
      </c>
      <c r="N1050" s="133" t="s">
        <v>585</v>
      </c>
      <c r="P1050" s="122" t="s">
        <v>585</v>
      </c>
      <c r="R1050" s="122" t="s">
        <v>585</v>
      </c>
      <c r="T1050" s="122" t="s">
        <v>585</v>
      </c>
    </row>
    <row r="1051">
      <c r="B1051" s="122"/>
      <c r="C1051" s="122"/>
      <c r="D1051" s="345"/>
      <c r="E1051" s="346"/>
      <c r="F1051" s="346"/>
      <c r="G1051" s="122" t="s">
        <v>585</v>
      </c>
      <c r="H1051" s="122">
        <v>0.0</v>
      </c>
      <c r="J1051" s="133">
        <v>0.0</v>
      </c>
      <c r="K1051" s="419"/>
      <c r="L1051" s="122" t="s">
        <v>585</v>
      </c>
      <c r="N1051" s="133" t="s">
        <v>585</v>
      </c>
      <c r="P1051" s="122" t="s">
        <v>585</v>
      </c>
      <c r="R1051" s="122" t="s">
        <v>585</v>
      </c>
      <c r="T1051" s="122" t="s">
        <v>585</v>
      </c>
    </row>
    <row r="1052">
      <c r="B1052" s="122"/>
      <c r="C1052" s="122"/>
      <c r="D1052" s="345"/>
      <c r="E1052" s="346"/>
      <c r="F1052" s="346"/>
      <c r="G1052" s="122" t="s">
        <v>585</v>
      </c>
      <c r="H1052" s="122">
        <v>0.0</v>
      </c>
      <c r="J1052" s="133">
        <v>0.0</v>
      </c>
      <c r="K1052" s="419"/>
      <c r="L1052" s="122" t="s">
        <v>585</v>
      </c>
      <c r="N1052" s="133" t="s">
        <v>585</v>
      </c>
      <c r="P1052" s="122" t="s">
        <v>585</v>
      </c>
      <c r="R1052" s="122" t="s">
        <v>585</v>
      </c>
      <c r="T1052" s="122" t="s">
        <v>585</v>
      </c>
    </row>
    <row r="1053">
      <c r="B1053" s="122"/>
      <c r="C1053" s="122"/>
      <c r="D1053" s="345"/>
      <c r="E1053" s="346"/>
      <c r="F1053" s="346"/>
      <c r="G1053" s="122" t="s">
        <v>585</v>
      </c>
      <c r="H1053" s="122">
        <v>0.0</v>
      </c>
      <c r="J1053" s="133">
        <v>0.0</v>
      </c>
      <c r="K1053" s="419"/>
      <c r="L1053" s="122" t="s">
        <v>585</v>
      </c>
      <c r="N1053" s="133" t="s">
        <v>585</v>
      </c>
      <c r="P1053" s="122" t="s">
        <v>585</v>
      </c>
      <c r="R1053" s="122" t="s">
        <v>585</v>
      </c>
      <c r="T1053" s="122" t="s">
        <v>585</v>
      </c>
    </row>
    <row r="1054">
      <c r="B1054" s="122"/>
      <c r="C1054" s="122"/>
      <c r="D1054" s="345"/>
      <c r="E1054" s="346"/>
      <c r="F1054" s="346"/>
      <c r="G1054" s="122" t="s">
        <v>585</v>
      </c>
      <c r="H1054" s="122">
        <v>0.0</v>
      </c>
      <c r="J1054" s="133">
        <v>0.0</v>
      </c>
      <c r="K1054" s="419"/>
      <c r="L1054" s="122" t="s">
        <v>585</v>
      </c>
      <c r="N1054" s="133" t="s">
        <v>585</v>
      </c>
      <c r="P1054" s="122" t="s">
        <v>585</v>
      </c>
      <c r="R1054" s="122" t="s">
        <v>585</v>
      </c>
      <c r="T1054" s="122" t="s">
        <v>585</v>
      </c>
    </row>
    <row r="1055">
      <c r="B1055" s="122"/>
      <c r="C1055" s="122"/>
      <c r="D1055" s="345"/>
      <c r="E1055" s="346"/>
      <c r="F1055" s="346"/>
      <c r="G1055" s="122" t="s">
        <v>585</v>
      </c>
      <c r="H1055" s="122">
        <v>0.0</v>
      </c>
      <c r="J1055" s="133">
        <v>0.0</v>
      </c>
      <c r="K1055" s="419"/>
      <c r="L1055" s="122" t="s">
        <v>585</v>
      </c>
      <c r="N1055" s="133" t="s">
        <v>585</v>
      </c>
      <c r="P1055" s="122" t="s">
        <v>585</v>
      </c>
      <c r="R1055" s="122" t="s">
        <v>585</v>
      </c>
      <c r="T1055" s="122" t="s">
        <v>585</v>
      </c>
    </row>
    <row r="1056">
      <c r="B1056" s="122"/>
      <c r="C1056" s="122"/>
      <c r="D1056" s="345"/>
      <c r="E1056" s="346"/>
      <c r="F1056" s="346"/>
      <c r="G1056" s="122" t="s">
        <v>585</v>
      </c>
      <c r="H1056" s="122">
        <v>0.0</v>
      </c>
      <c r="J1056" s="133">
        <v>0.0</v>
      </c>
      <c r="K1056" s="419"/>
      <c r="L1056" s="122" t="s">
        <v>585</v>
      </c>
      <c r="N1056" s="133" t="s">
        <v>585</v>
      </c>
      <c r="P1056" s="122" t="s">
        <v>585</v>
      </c>
      <c r="R1056" s="122" t="s">
        <v>585</v>
      </c>
      <c r="T1056" s="122" t="s">
        <v>585</v>
      </c>
    </row>
    <row r="1057">
      <c r="B1057" s="122"/>
      <c r="C1057" s="122"/>
      <c r="D1057" s="345"/>
      <c r="E1057" s="346"/>
      <c r="F1057" s="346"/>
      <c r="G1057" s="122" t="s">
        <v>585</v>
      </c>
      <c r="H1057" s="122">
        <v>0.0</v>
      </c>
      <c r="J1057" s="133">
        <v>0.0</v>
      </c>
      <c r="K1057" s="419"/>
      <c r="L1057" s="122" t="s">
        <v>585</v>
      </c>
      <c r="N1057" s="133" t="s">
        <v>585</v>
      </c>
      <c r="P1057" s="122" t="s">
        <v>585</v>
      </c>
      <c r="R1057" s="122" t="s">
        <v>585</v>
      </c>
      <c r="T1057" s="122" t="s">
        <v>585</v>
      </c>
    </row>
    <row r="1058">
      <c r="B1058" s="122"/>
      <c r="C1058" s="122"/>
      <c r="D1058" s="345"/>
      <c r="E1058" s="346"/>
      <c r="F1058" s="346"/>
      <c r="G1058" s="122" t="s">
        <v>585</v>
      </c>
      <c r="H1058" s="122">
        <v>0.0</v>
      </c>
      <c r="J1058" s="133">
        <v>0.0</v>
      </c>
      <c r="K1058" s="419"/>
      <c r="L1058" s="122" t="s">
        <v>585</v>
      </c>
      <c r="N1058" s="133" t="s">
        <v>585</v>
      </c>
      <c r="P1058" s="122" t="s">
        <v>585</v>
      </c>
      <c r="R1058" s="122" t="s">
        <v>585</v>
      </c>
      <c r="T1058" s="122" t="s">
        <v>585</v>
      </c>
    </row>
    <row r="1059">
      <c r="B1059" s="122"/>
      <c r="C1059" s="122"/>
      <c r="D1059" s="345"/>
      <c r="E1059" s="346"/>
      <c r="F1059" s="346"/>
      <c r="G1059" s="122" t="s">
        <v>585</v>
      </c>
      <c r="H1059" s="122">
        <v>0.0</v>
      </c>
      <c r="J1059" s="133">
        <v>0.0</v>
      </c>
      <c r="K1059" s="419"/>
      <c r="L1059" s="122" t="s">
        <v>585</v>
      </c>
      <c r="N1059" s="133" t="s">
        <v>585</v>
      </c>
      <c r="P1059" s="122" t="s">
        <v>585</v>
      </c>
      <c r="R1059" s="122" t="s">
        <v>585</v>
      </c>
      <c r="T1059" s="122" t="s">
        <v>585</v>
      </c>
    </row>
    <row r="1060">
      <c r="B1060" s="122"/>
      <c r="C1060" s="122"/>
      <c r="D1060" s="345"/>
      <c r="E1060" s="346"/>
      <c r="F1060" s="346"/>
      <c r="G1060" s="122" t="s">
        <v>585</v>
      </c>
      <c r="H1060" s="122">
        <v>0.0</v>
      </c>
      <c r="J1060" s="133">
        <v>0.0</v>
      </c>
      <c r="K1060" s="419"/>
      <c r="L1060" s="122" t="s">
        <v>585</v>
      </c>
      <c r="N1060" s="133" t="s">
        <v>585</v>
      </c>
      <c r="P1060" s="122" t="s">
        <v>585</v>
      </c>
      <c r="R1060" s="122" t="s">
        <v>585</v>
      </c>
      <c r="T1060" s="122" t="s">
        <v>585</v>
      </c>
    </row>
    <row r="1061">
      <c r="B1061" s="122"/>
      <c r="C1061" s="122"/>
      <c r="D1061" s="345"/>
      <c r="E1061" s="346"/>
      <c r="F1061" s="346"/>
      <c r="G1061" s="122" t="s">
        <v>585</v>
      </c>
      <c r="H1061" s="122">
        <v>0.0</v>
      </c>
      <c r="J1061" s="133">
        <v>0.0</v>
      </c>
      <c r="K1061" s="419"/>
      <c r="L1061" s="122" t="s">
        <v>585</v>
      </c>
      <c r="N1061" s="133" t="s">
        <v>585</v>
      </c>
      <c r="P1061" s="122" t="s">
        <v>585</v>
      </c>
      <c r="R1061" s="122" t="s">
        <v>585</v>
      </c>
      <c r="T1061" s="122" t="s">
        <v>585</v>
      </c>
    </row>
    <row r="1062">
      <c r="B1062" s="122"/>
      <c r="C1062" s="122"/>
      <c r="D1062" s="345"/>
      <c r="E1062" s="346"/>
      <c r="F1062" s="346"/>
      <c r="G1062" s="122" t="s">
        <v>585</v>
      </c>
      <c r="H1062" s="122">
        <v>0.0</v>
      </c>
      <c r="J1062" s="133">
        <v>0.0</v>
      </c>
      <c r="K1062" s="419"/>
      <c r="L1062" s="122" t="s">
        <v>585</v>
      </c>
      <c r="N1062" s="133" t="s">
        <v>585</v>
      </c>
      <c r="P1062" s="122" t="s">
        <v>585</v>
      </c>
      <c r="R1062" s="122" t="s">
        <v>585</v>
      </c>
      <c r="T1062" s="122" t="s">
        <v>585</v>
      </c>
    </row>
    <row r="1063">
      <c r="B1063" s="122"/>
      <c r="C1063" s="122"/>
      <c r="D1063" s="345"/>
      <c r="E1063" s="346"/>
      <c r="F1063" s="346"/>
      <c r="G1063" s="122" t="s">
        <v>585</v>
      </c>
      <c r="H1063" s="122">
        <v>0.0</v>
      </c>
      <c r="J1063" s="133">
        <v>0.0</v>
      </c>
      <c r="K1063" s="419"/>
      <c r="L1063" s="122" t="s">
        <v>585</v>
      </c>
      <c r="N1063" s="133" t="s">
        <v>585</v>
      </c>
      <c r="P1063" s="122" t="s">
        <v>585</v>
      </c>
      <c r="R1063" s="122" t="s">
        <v>585</v>
      </c>
      <c r="T1063" s="122" t="s">
        <v>585</v>
      </c>
    </row>
    <row r="1064">
      <c r="B1064" s="122"/>
      <c r="C1064" s="122"/>
      <c r="D1064" s="345"/>
      <c r="E1064" s="346"/>
      <c r="F1064" s="346"/>
      <c r="G1064" s="122" t="s">
        <v>585</v>
      </c>
      <c r="H1064" s="122">
        <v>0.0</v>
      </c>
      <c r="J1064" s="133">
        <v>0.0</v>
      </c>
      <c r="K1064" s="419"/>
      <c r="L1064" s="122" t="s">
        <v>585</v>
      </c>
      <c r="N1064" s="133" t="s">
        <v>585</v>
      </c>
      <c r="P1064" s="122" t="s">
        <v>585</v>
      </c>
      <c r="R1064" s="122" t="s">
        <v>585</v>
      </c>
      <c r="T1064" s="122" t="s">
        <v>585</v>
      </c>
    </row>
    <row r="1065">
      <c r="B1065" s="122"/>
      <c r="C1065" s="122"/>
      <c r="D1065" s="345"/>
      <c r="E1065" s="346"/>
      <c r="F1065" s="346"/>
      <c r="G1065" s="122" t="s">
        <v>585</v>
      </c>
      <c r="H1065" s="122">
        <v>0.0</v>
      </c>
      <c r="J1065" s="133">
        <v>0.0</v>
      </c>
      <c r="K1065" s="419"/>
      <c r="L1065" s="122" t="s">
        <v>585</v>
      </c>
      <c r="N1065" s="133" t="s">
        <v>585</v>
      </c>
      <c r="P1065" s="122" t="s">
        <v>585</v>
      </c>
      <c r="R1065" s="122" t="s">
        <v>585</v>
      </c>
      <c r="T1065" s="122" t="s">
        <v>585</v>
      </c>
    </row>
    <row r="1066">
      <c r="B1066" s="122"/>
      <c r="C1066" s="122"/>
      <c r="D1066" s="345"/>
      <c r="E1066" s="346"/>
      <c r="F1066" s="346"/>
      <c r="G1066" s="122" t="s">
        <v>585</v>
      </c>
      <c r="H1066" s="122">
        <v>0.0</v>
      </c>
      <c r="J1066" s="133">
        <v>0.0</v>
      </c>
      <c r="K1066" s="419"/>
      <c r="L1066" s="122" t="s">
        <v>585</v>
      </c>
      <c r="N1066" s="133" t="s">
        <v>585</v>
      </c>
      <c r="P1066" s="122" t="s">
        <v>585</v>
      </c>
      <c r="R1066" s="122" t="s">
        <v>585</v>
      </c>
      <c r="T1066" s="122" t="s">
        <v>585</v>
      </c>
    </row>
    <row r="1067">
      <c r="B1067" s="122"/>
      <c r="C1067" s="122"/>
      <c r="D1067" s="345"/>
      <c r="E1067" s="346"/>
      <c r="F1067" s="346"/>
      <c r="G1067" s="122" t="s">
        <v>585</v>
      </c>
      <c r="H1067" s="122">
        <v>0.0</v>
      </c>
      <c r="J1067" s="133">
        <v>0.0</v>
      </c>
      <c r="K1067" s="419"/>
      <c r="L1067" s="122" t="s">
        <v>585</v>
      </c>
      <c r="N1067" s="133" t="s">
        <v>585</v>
      </c>
      <c r="P1067" s="122" t="s">
        <v>585</v>
      </c>
      <c r="R1067" s="122" t="s">
        <v>585</v>
      </c>
      <c r="T1067" s="122" t="s">
        <v>585</v>
      </c>
    </row>
    <row r="1068">
      <c r="B1068" s="122"/>
      <c r="C1068" s="122"/>
      <c r="D1068" s="345"/>
      <c r="E1068" s="346"/>
      <c r="F1068" s="346"/>
      <c r="G1068" s="122" t="s">
        <v>585</v>
      </c>
      <c r="H1068" s="122">
        <v>0.0</v>
      </c>
      <c r="J1068" s="133">
        <v>0.0</v>
      </c>
      <c r="K1068" s="419"/>
      <c r="L1068" s="122" t="s">
        <v>585</v>
      </c>
      <c r="N1068" s="133" t="s">
        <v>585</v>
      </c>
      <c r="P1068" s="122" t="s">
        <v>585</v>
      </c>
      <c r="R1068" s="122" t="s">
        <v>585</v>
      </c>
      <c r="T1068" s="122" t="s">
        <v>585</v>
      </c>
    </row>
    <row r="1069">
      <c r="B1069" s="122"/>
      <c r="C1069" s="122"/>
      <c r="D1069" s="345"/>
      <c r="E1069" s="346"/>
      <c r="F1069" s="346"/>
      <c r="G1069" s="122" t="s">
        <v>585</v>
      </c>
      <c r="H1069" s="122">
        <v>0.0</v>
      </c>
      <c r="J1069" s="133">
        <v>0.0</v>
      </c>
      <c r="K1069" s="419"/>
      <c r="L1069" s="122" t="s">
        <v>585</v>
      </c>
      <c r="N1069" s="133" t="s">
        <v>585</v>
      </c>
      <c r="P1069" s="122" t="s">
        <v>585</v>
      </c>
      <c r="R1069" s="122" t="s">
        <v>585</v>
      </c>
      <c r="T1069" s="122" t="s">
        <v>585</v>
      </c>
    </row>
    <row r="1070">
      <c r="B1070" s="122"/>
      <c r="C1070" s="122"/>
      <c r="D1070" s="345"/>
      <c r="E1070" s="346"/>
      <c r="F1070" s="346"/>
      <c r="G1070" s="122" t="s">
        <v>585</v>
      </c>
      <c r="H1070" s="122">
        <v>0.0</v>
      </c>
      <c r="J1070" s="133">
        <v>0.0</v>
      </c>
      <c r="K1070" s="419"/>
      <c r="L1070" s="122" t="s">
        <v>585</v>
      </c>
      <c r="N1070" s="133" t="s">
        <v>585</v>
      </c>
      <c r="P1070" s="122" t="s">
        <v>585</v>
      </c>
      <c r="R1070" s="122" t="s">
        <v>585</v>
      </c>
      <c r="T1070" s="122" t="s">
        <v>585</v>
      </c>
    </row>
    <row r="1071">
      <c r="B1071" s="122"/>
      <c r="C1071" s="122"/>
      <c r="D1071" s="345"/>
      <c r="E1071" s="346"/>
      <c r="F1071" s="346"/>
      <c r="G1071" s="122" t="s">
        <v>585</v>
      </c>
      <c r="H1071" s="122">
        <v>0.0</v>
      </c>
      <c r="J1071" s="133">
        <v>0.0</v>
      </c>
      <c r="K1071" s="419"/>
      <c r="L1071" s="122" t="s">
        <v>585</v>
      </c>
      <c r="N1071" s="133" t="s">
        <v>585</v>
      </c>
      <c r="P1071" s="122" t="s">
        <v>585</v>
      </c>
      <c r="R1071" s="122" t="s">
        <v>585</v>
      </c>
      <c r="T1071" s="122" t="s">
        <v>585</v>
      </c>
    </row>
    <row r="1072">
      <c r="B1072" s="122"/>
      <c r="C1072" s="122"/>
      <c r="D1072" s="345"/>
      <c r="E1072" s="346"/>
      <c r="F1072" s="346"/>
      <c r="G1072" s="122" t="s">
        <v>585</v>
      </c>
      <c r="H1072" s="122">
        <v>0.0</v>
      </c>
      <c r="J1072" s="133">
        <v>0.0</v>
      </c>
      <c r="K1072" s="419"/>
      <c r="L1072" s="122" t="s">
        <v>585</v>
      </c>
      <c r="N1072" s="133" t="s">
        <v>585</v>
      </c>
      <c r="P1072" s="122" t="s">
        <v>585</v>
      </c>
      <c r="R1072" s="122" t="s">
        <v>585</v>
      </c>
      <c r="T1072" s="122" t="s">
        <v>585</v>
      </c>
    </row>
    <row r="1073">
      <c r="B1073" s="122"/>
      <c r="C1073" s="122"/>
      <c r="D1073" s="345"/>
      <c r="E1073" s="346"/>
      <c r="F1073" s="346"/>
      <c r="G1073" s="122" t="s">
        <v>585</v>
      </c>
      <c r="H1073" s="122">
        <v>0.0</v>
      </c>
      <c r="J1073" s="133">
        <v>0.0</v>
      </c>
      <c r="K1073" s="419"/>
      <c r="L1073" s="122" t="s">
        <v>585</v>
      </c>
      <c r="N1073" s="133" t="s">
        <v>585</v>
      </c>
      <c r="P1073" s="122" t="s">
        <v>585</v>
      </c>
      <c r="R1073" s="122" t="s">
        <v>585</v>
      </c>
      <c r="T1073" s="122" t="s">
        <v>585</v>
      </c>
    </row>
    <row r="1074">
      <c r="B1074" s="122"/>
      <c r="C1074" s="122"/>
      <c r="D1074" s="345"/>
      <c r="E1074" s="346"/>
      <c r="F1074" s="346"/>
      <c r="G1074" s="122" t="s">
        <v>585</v>
      </c>
      <c r="H1074" s="122">
        <v>0.0</v>
      </c>
      <c r="J1074" s="133">
        <v>0.0</v>
      </c>
      <c r="K1074" s="419"/>
      <c r="L1074" s="122" t="s">
        <v>585</v>
      </c>
      <c r="N1074" s="133" t="s">
        <v>585</v>
      </c>
      <c r="P1074" s="122" t="s">
        <v>585</v>
      </c>
      <c r="R1074" s="122" t="s">
        <v>585</v>
      </c>
      <c r="T1074" s="122" t="s">
        <v>585</v>
      </c>
    </row>
    <row r="1075">
      <c r="B1075" s="122"/>
      <c r="C1075" s="122"/>
      <c r="D1075" s="345"/>
      <c r="E1075" s="346"/>
      <c r="F1075" s="346"/>
      <c r="G1075" s="122" t="s">
        <v>585</v>
      </c>
      <c r="H1075" s="122">
        <v>0.0</v>
      </c>
      <c r="J1075" s="133">
        <v>0.0</v>
      </c>
      <c r="K1075" s="419"/>
      <c r="L1075" s="122" t="s">
        <v>585</v>
      </c>
      <c r="N1075" s="133" t="s">
        <v>585</v>
      </c>
      <c r="P1075" s="122" t="s">
        <v>585</v>
      </c>
      <c r="R1075" s="122" t="s">
        <v>585</v>
      </c>
      <c r="T1075" s="122" t="s">
        <v>585</v>
      </c>
    </row>
    <row r="1076">
      <c r="B1076" s="122"/>
      <c r="C1076" s="122"/>
      <c r="D1076" s="345"/>
      <c r="E1076" s="346"/>
      <c r="F1076" s="346"/>
      <c r="G1076" s="122" t="s">
        <v>585</v>
      </c>
      <c r="H1076" s="122">
        <v>0.0</v>
      </c>
      <c r="J1076" s="133">
        <v>0.0</v>
      </c>
      <c r="K1076" s="419"/>
      <c r="L1076" s="122" t="s">
        <v>585</v>
      </c>
      <c r="N1076" s="133" t="s">
        <v>585</v>
      </c>
      <c r="P1076" s="122" t="s">
        <v>585</v>
      </c>
      <c r="R1076" s="122" t="s">
        <v>585</v>
      </c>
      <c r="T1076" s="122" t="s">
        <v>585</v>
      </c>
    </row>
    <row r="1077">
      <c r="B1077" s="122"/>
      <c r="C1077" s="122"/>
      <c r="D1077" s="345"/>
      <c r="E1077" s="346"/>
      <c r="F1077" s="346"/>
      <c r="G1077" s="122" t="s">
        <v>585</v>
      </c>
      <c r="H1077" s="122">
        <v>0.0</v>
      </c>
      <c r="J1077" s="133">
        <v>0.0</v>
      </c>
      <c r="K1077" s="419"/>
      <c r="L1077" s="122" t="s">
        <v>585</v>
      </c>
      <c r="N1077" s="133" t="s">
        <v>585</v>
      </c>
      <c r="P1077" s="122" t="s">
        <v>585</v>
      </c>
      <c r="R1077" s="122" t="s">
        <v>585</v>
      </c>
      <c r="T1077" s="122" t="s">
        <v>585</v>
      </c>
    </row>
    <row r="1078">
      <c r="B1078" s="122"/>
      <c r="C1078" s="122"/>
      <c r="D1078" s="345"/>
      <c r="E1078" s="346"/>
      <c r="F1078" s="346"/>
      <c r="G1078" s="122" t="s">
        <v>585</v>
      </c>
      <c r="H1078" s="122">
        <v>0.0</v>
      </c>
      <c r="J1078" s="133">
        <v>0.0</v>
      </c>
      <c r="K1078" s="419"/>
      <c r="L1078" s="122" t="s">
        <v>585</v>
      </c>
      <c r="N1078" s="133" t="s">
        <v>585</v>
      </c>
      <c r="P1078" s="122" t="s">
        <v>585</v>
      </c>
      <c r="R1078" s="122" t="s">
        <v>585</v>
      </c>
      <c r="T1078" s="122" t="s">
        <v>585</v>
      </c>
    </row>
    <row r="1079">
      <c r="B1079" s="122"/>
      <c r="C1079" s="122"/>
      <c r="D1079" s="345"/>
      <c r="E1079" s="346"/>
      <c r="F1079" s="346"/>
      <c r="G1079" s="122" t="s">
        <v>585</v>
      </c>
      <c r="H1079" s="122">
        <v>0.0</v>
      </c>
      <c r="J1079" s="133">
        <v>0.0</v>
      </c>
      <c r="K1079" s="419"/>
      <c r="L1079" s="122" t="s">
        <v>585</v>
      </c>
      <c r="N1079" s="133" t="s">
        <v>585</v>
      </c>
      <c r="P1079" s="122" t="s">
        <v>585</v>
      </c>
      <c r="R1079" s="122" t="s">
        <v>585</v>
      </c>
      <c r="T1079" s="122" t="s">
        <v>585</v>
      </c>
    </row>
    <row r="1080">
      <c r="B1080" s="122"/>
      <c r="C1080" s="122"/>
      <c r="D1080" s="345"/>
      <c r="E1080" s="346"/>
      <c r="F1080" s="346"/>
      <c r="G1080" s="122" t="s">
        <v>585</v>
      </c>
      <c r="H1080" s="122">
        <v>0.0</v>
      </c>
      <c r="J1080" s="133">
        <v>0.0</v>
      </c>
      <c r="K1080" s="419"/>
      <c r="L1080" s="122" t="s">
        <v>585</v>
      </c>
      <c r="N1080" s="133" t="s">
        <v>585</v>
      </c>
      <c r="P1080" s="122" t="s">
        <v>585</v>
      </c>
      <c r="R1080" s="122" t="s">
        <v>585</v>
      </c>
      <c r="T1080" s="122" t="s">
        <v>585</v>
      </c>
    </row>
    <row r="1081">
      <c r="B1081" s="122"/>
      <c r="C1081" s="122"/>
      <c r="D1081" s="345"/>
      <c r="E1081" s="346"/>
      <c r="F1081" s="346"/>
      <c r="G1081" s="122" t="s">
        <v>585</v>
      </c>
      <c r="H1081" s="122">
        <v>0.0</v>
      </c>
      <c r="J1081" s="133">
        <v>0.0</v>
      </c>
      <c r="K1081" s="419"/>
      <c r="L1081" s="122" t="s">
        <v>585</v>
      </c>
      <c r="N1081" s="133" t="s">
        <v>585</v>
      </c>
      <c r="P1081" s="122" t="s">
        <v>585</v>
      </c>
      <c r="R1081" s="122" t="s">
        <v>585</v>
      </c>
      <c r="T1081" s="122" t="s">
        <v>585</v>
      </c>
    </row>
    <row r="1082">
      <c r="B1082" s="122"/>
      <c r="C1082" s="122"/>
      <c r="D1082" s="345"/>
      <c r="E1082" s="346"/>
      <c r="F1082" s="346"/>
      <c r="G1082" s="122" t="s">
        <v>585</v>
      </c>
      <c r="H1082" s="122">
        <v>0.0</v>
      </c>
      <c r="J1082" s="133">
        <v>0.0</v>
      </c>
      <c r="K1082" s="419"/>
      <c r="L1082" s="122" t="s">
        <v>585</v>
      </c>
      <c r="N1082" s="133" t="s">
        <v>585</v>
      </c>
      <c r="P1082" s="122" t="s">
        <v>585</v>
      </c>
      <c r="R1082" s="122" t="s">
        <v>585</v>
      </c>
      <c r="T1082" s="122" t="s">
        <v>585</v>
      </c>
    </row>
    <row r="1083">
      <c r="B1083" s="122"/>
      <c r="C1083" s="122"/>
      <c r="D1083" s="345"/>
      <c r="E1083" s="346"/>
      <c r="F1083" s="346"/>
      <c r="G1083" s="122" t="s">
        <v>585</v>
      </c>
      <c r="H1083" s="122">
        <v>0.0</v>
      </c>
      <c r="J1083" s="133">
        <v>0.0</v>
      </c>
      <c r="K1083" s="419"/>
      <c r="L1083" s="122" t="s">
        <v>585</v>
      </c>
      <c r="N1083" s="133" t="s">
        <v>585</v>
      </c>
      <c r="P1083" s="122" t="s">
        <v>585</v>
      </c>
      <c r="R1083" s="122" t="s">
        <v>585</v>
      </c>
      <c r="T1083" s="122" t="s">
        <v>585</v>
      </c>
    </row>
    <row r="1084">
      <c r="B1084" s="122"/>
      <c r="C1084" s="122"/>
      <c r="D1084" s="345"/>
      <c r="E1084" s="346"/>
      <c r="F1084" s="346"/>
      <c r="G1084" s="122" t="s">
        <v>585</v>
      </c>
      <c r="H1084" s="122">
        <v>0.0</v>
      </c>
      <c r="J1084" s="133">
        <v>0.0</v>
      </c>
      <c r="K1084" s="419"/>
      <c r="L1084" s="122" t="s">
        <v>585</v>
      </c>
      <c r="N1084" s="133" t="s">
        <v>585</v>
      </c>
      <c r="P1084" s="122" t="s">
        <v>585</v>
      </c>
      <c r="R1084" s="122" t="s">
        <v>585</v>
      </c>
      <c r="T1084" s="122" t="s">
        <v>585</v>
      </c>
    </row>
    <row r="1085">
      <c r="B1085" s="122"/>
      <c r="C1085" s="122"/>
      <c r="D1085" s="345"/>
      <c r="E1085" s="346"/>
      <c r="F1085" s="346"/>
      <c r="G1085" s="122" t="s">
        <v>585</v>
      </c>
      <c r="H1085" s="122">
        <v>0.0</v>
      </c>
      <c r="J1085" s="133">
        <v>0.0</v>
      </c>
      <c r="K1085" s="419"/>
      <c r="L1085" s="122" t="s">
        <v>585</v>
      </c>
      <c r="N1085" s="133" t="s">
        <v>585</v>
      </c>
      <c r="P1085" s="122" t="s">
        <v>585</v>
      </c>
      <c r="R1085" s="122" t="s">
        <v>585</v>
      </c>
      <c r="T1085" s="122" t="s">
        <v>585</v>
      </c>
    </row>
    <row r="1086">
      <c r="B1086" s="122"/>
      <c r="C1086" s="122"/>
      <c r="D1086" s="345"/>
      <c r="E1086" s="346"/>
      <c r="F1086" s="346"/>
      <c r="G1086" s="122" t="s">
        <v>585</v>
      </c>
      <c r="H1086" s="122">
        <v>0.0</v>
      </c>
      <c r="J1086" s="133">
        <v>0.0</v>
      </c>
      <c r="K1086" s="419"/>
      <c r="L1086" s="122" t="s">
        <v>585</v>
      </c>
      <c r="N1086" s="133" t="s">
        <v>585</v>
      </c>
      <c r="P1086" s="122" t="s">
        <v>585</v>
      </c>
      <c r="R1086" s="122" t="s">
        <v>585</v>
      </c>
      <c r="T1086" s="122" t="s">
        <v>585</v>
      </c>
    </row>
    <row r="1087">
      <c r="B1087" s="122"/>
      <c r="C1087" s="122"/>
      <c r="D1087" s="345"/>
      <c r="E1087" s="346"/>
      <c r="F1087" s="346"/>
      <c r="G1087" s="122" t="s">
        <v>585</v>
      </c>
      <c r="H1087" s="122">
        <v>0.0</v>
      </c>
      <c r="J1087" s="133">
        <v>0.0</v>
      </c>
      <c r="K1087" s="419"/>
      <c r="L1087" s="122" t="s">
        <v>585</v>
      </c>
      <c r="N1087" s="133" t="s">
        <v>585</v>
      </c>
      <c r="P1087" s="122" t="s">
        <v>585</v>
      </c>
      <c r="R1087" s="122" t="s">
        <v>585</v>
      </c>
      <c r="T1087" s="122" t="s">
        <v>585</v>
      </c>
    </row>
    <row r="1088">
      <c r="B1088" s="122"/>
      <c r="C1088" s="122"/>
      <c r="D1088" s="345"/>
      <c r="E1088" s="346"/>
      <c r="F1088" s="346"/>
      <c r="G1088" s="122" t="s">
        <v>585</v>
      </c>
      <c r="H1088" s="122">
        <v>0.0</v>
      </c>
      <c r="J1088" s="133">
        <v>0.0</v>
      </c>
      <c r="K1088" s="419"/>
      <c r="L1088" s="122" t="s">
        <v>585</v>
      </c>
      <c r="N1088" s="133" t="s">
        <v>585</v>
      </c>
      <c r="P1088" s="122" t="s">
        <v>585</v>
      </c>
      <c r="R1088" s="122" t="s">
        <v>585</v>
      </c>
      <c r="T1088" s="122" t="s">
        <v>585</v>
      </c>
    </row>
  </sheetData>
  <customSheetViews>
    <customSheetView guid="{1E6C9B4D-32F5-4B07-AAB1-AB231243A69C}" filter="1" showAutoFilter="1">
      <autoFilter ref="$F$177:$F$186"/>
    </customSheetView>
    <customSheetView guid="{6AB4E2F7-2310-4E9B-B6AE-7864FA244528}" filter="1" showAutoFilter="1">
      <autoFilter ref="$A$1:$AF$1088"/>
    </customSheetView>
    <customSheetView guid="{B2896BB9-4CEA-44B1-8782-A869BCF75F45}" filter="1" showAutoFilter="1">
      <autoFilter ref="$A$1:$AF$1088"/>
    </customSheetView>
    <customSheetView guid="{7ED87C48-F366-4015-84C8-694382268282}" filter="1" showAutoFilter="1">
      <autoFilter ref="$A$3:$AF$1088">
        <filterColumn colId="5">
          <filters>
            <filter val="Nhóm 3"/>
          </filters>
        </filterColumn>
      </autoFilter>
    </customSheetView>
    <customSheetView guid="{5FD1B3C4-6882-4F23-9868-B9068D332376}" filter="1" showAutoFilter="1">
      <autoFilter ref="$A$3:$AF$1088">
        <filterColumn colId="5">
          <filters>
            <filter val="Nhóm 2"/>
          </filters>
        </filterColumn>
      </autoFilter>
    </customSheetView>
  </customSheetViews>
  <mergeCells count="6">
    <mergeCell ref="I2:J2"/>
    <mergeCell ref="K2:L2"/>
    <mergeCell ref="M2:N2"/>
    <mergeCell ref="O2:P2"/>
    <mergeCell ref="Q2:R2"/>
    <mergeCell ref="S2:T2"/>
  </mergeCells>
  <dataValidations>
    <dataValidation type="list" allowBlank="1" showErrorMessage="1" sqref="F1:F2 F4:F1088">
      <formula1>"Nhóm 1,Nhóm 2,Nhóm 3"</formula1>
    </dataValidation>
    <dataValidation type="list" allowBlank="1" showErrorMessage="1" sqref="C4:C1088">
      <formula1>"Facebook,TikTok,YouTube,Instagram"</formula1>
    </dataValidation>
    <dataValidation type="custom" allowBlank="1" showDropDown="1" showErrorMessage="1" sqref="E1:E1088">
      <formula1>OR(NOT(ISERROR(DATEVALUE(E1))), AND(ISNUMBER(E1), LEFT(CELL("format", E1))="D"))</formula1>
    </dataValidation>
    <dataValidation type="list" allowBlank="1" sqref="B1:B1088">
      <formula1>data!$A:$A</formula1>
    </dataValidation>
  </dataValidation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ref="D104"/>
    <hyperlink r:id="rId101" ref="D105"/>
    <hyperlink r:id="rId102" ref="D106"/>
    <hyperlink r:id="rId103" ref="D107"/>
    <hyperlink r:id="rId104" ref="D108"/>
    <hyperlink r:id="rId105" ref="D109"/>
    <hyperlink r:id="rId106" ref="D110"/>
    <hyperlink r:id="rId107" ref="D111"/>
    <hyperlink r:id="rId108" ref="D112"/>
    <hyperlink r:id="rId109" ref="D113"/>
    <hyperlink r:id="rId110" ref="D114"/>
    <hyperlink r:id="rId111" ref="D115"/>
    <hyperlink r:id="rId112" ref="D116"/>
    <hyperlink r:id="rId113" ref="D117"/>
    <hyperlink r:id="rId114" ref="D118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ref="D129"/>
    <hyperlink r:id="rId126" ref="D130"/>
    <hyperlink r:id="rId127" ref="D131"/>
    <hyperlink r:id="rId128" ref="D132"/>
    <hyperlink r:id="rId129" ref="D133"/>
    <hyperlink r:id="rId130" ref="D134"/>
    <hyperlink r:id="rId131" ref="D135"/>
    <hyperlink r:id="rId132" ref="D136"/>
    <hyperlink r:id="rId133" ref="D137"/>
    <hyperlink r:id="rId134" ref="D138"/>
    <hyperlink r:id="rId135" ref="D139"/>
    <hyperlink r:id="rId136" ref="D140"/>
    <hyperlink r:id="rId137" ref="D141"/>
    <hyperlink r:id="rId138" ref="D142"/>
    <hyperlink r:id="rId139" ref="D143"/>
    <hyperlink r:id="rId140" ref="D144"/>
    <hyperlink r:id="rId141" ref="D145"/>
    <hyperlink r:id="rId142" ref="D146"/>
    <hyperlink r:id="rId143" ref="D147"/>
    <hyperlink r:id="rId144" ref="D148"/>
    <hyperlink r:id="rId145" ref="D149"/>
    <hyperlink r:id="rId146" ref="D150"/>
    <hyperlink r:id="rId147" ref="D151"/>
    <hyperlink r:id="rId148" ref="D152"/>
    <hyperlink r:id="rId149" ref="D153"/>
    <hyperlink r:id="rId150" ref="D154"/>
    <hyperlink r:id="rId151" ref="D155"/>
    <hyperlink r:id="rId152" ref="D156"/>
    <hyperlink r:id="rId153" ref="D157"/>
    <hyperlink r:id="rId154" ref="D158"/>
    <hyperlink r:id="rId155" ref="D159"/>
    <hyperlink r:id="rId156" ref="D160"/>
    <hyperlink r:id="rId157" ref="D161"/>
    <hyperlink r:id="rId158" ref="D162"/>
    <hyperlink r:id="rId159" ref="D163"/>
    <hyperlink r:id="rId160" ref="D164"/>
    <hyperlink r:id="rId161" ref="D165"/>
    <hyperlink r:id="rId162" ref="D166"/>
    <hyperlink r:id="rId163" ref="D167"/>
    <hyperlink r:id="rId164" ref="D168"/>
    <hyperlink r:id="rId165" ref="D169"/>
    <hyperlink r:id="rId166" ref="D170"/>
    <hyperlink r:id="rId167" ref="D171"/>
    <hyperlink r:id="rId168" ref="D172"/>
    <hyperlink r:id="rId169" ref="D173"/>
    <hyperlink r:id="rId170" ref="D174"/>
    <hyperlink r:id="rId171" ref="D175"/>
    <hyperlink r:id="rId172" ref="D177"/>
    <hyperlink r:id="rId173" ref="D178"/>
    <hyperlink r:id="rId174" ref="D179"/>
    <hyperlink r:id="rId175" ref="D180"/>
    <hyperlink r:id="rId176" ref="D181"/>
    <hyperlink r:id="rId177" ref="D182"/>
    <hyperlink r:id="rId178" ref="D183"/>
    <hyperlink r:id="rId179" ref="D184"/>
    <hyperlink r:id="rId180" ref="D185"/>
    <hyperlink r:id="rId181" ref="D186"/>
    <hyperlink r:id="rId182" ref="D187"/>
    <hyperlink r:id="rId183" ref="D188"/>
    <hyperlink r:id="rId184" ref="D189"/>
    <hyperlink r:id="rId185" ref="D190"/>
    <hyperlink r:id="rId186" ref="D191"/>
    <hyperlink r:id="rId187" ref="D192"/>
    <hyperlink r:id="rId188" ref="D193"/>
    <hyperlink r:id="rId189" ref="D194"/>
    <hyperlink r:id="rId190" ref="D195"/>
    <hyperlink r:id="rId191" ref="D196"/>
    <hyperlink r:id="rId192" ref="D197"/>
    <hyperlink r:id="rId193" ref="D198"/>
    <hyperlink r:id="rId194" ref="D199"/>
    <hyperlink r:id="rId195" ref="D200"/>
    <hyperlink r:id="rId196" ref="D201"/>
    <hyperlink r:id="rId197" ref="D202"/>
    <hyperlink r:id="rId198" ref="D203"/>
    <hyperlink r:id="rId199" ref="D204"/>
    <hyperlink r:id="rId200" ref="D205"/>
    <hyperlink r:id="rId201" ref="D206"/>
    <hyperlink r:id="rId202" ref="D207"/>
    <hyperlink r:id="rId203" ref="D208"/>
    <hyperlink r:id="rId204" ref="D209"/>
    <hyperlink r:id="rId205" ref="D210"/>
    <hyperlink r:id="rId206" ref="D211"/>
    <hyperlink r:id="rId207" ref="D212"/>
    <hyperlink r:id="rId208" ref="D213"/>
    <hyperlink r:id="rId209" ref="D214"/>
    <hyperlink r:id="rId210" ref="D215"/>
    <hyperlink r:id="rId211" ref="D216"/>
    <hyperlink r:id="rId212" ref="D217"/>
    <hyperlink r:id="rId213" ref="D218"/>
    <hyperlink r:id="rId214" ref="D219"/>
    <hyperlink r:id="rId215" ref="D220"/>
    <hyperlink r:id="rId216" ref="D221"/>
    <hyperlink r:id="rId217" ref="D222"/>
    <hyperlink r:id="rId218" ref="D223"/>
    <hyperlink r:id="rId219" ref="D224"/>
    <hyperlink r:id="rId220" ref="D225"/>
    <hyperlink r:id="rId221" ref="D226"/>
    <hyperlink r:id="rId222" ref="D227"/>
    <hyperlink r:id="rId223" ref="D228"/>
    <hyperlink r:id="rId224" ref="D229"/>
    <hyperlink r:id="rId225" ref="D230"/>
    <hyperlink r:id="rId226" ref="D231"/>
    <hyperlink r:id="rId227" ref="D232"/>
    <hyperlink r:id="rId228" ref="D233"/>
    <hyperlink r:id="rId229" ref="D234"/>
    <hyperlink r:id="rId230" ref="D235"/>
    <hyperlink r:id="rId231" ref="D236"/>
    <hyperlink r:id="rId232" ref="D237"/>
    <hyperlink r:id="rId233" ref="D238"/>
    <hyperlink r:id="rId234" ref="D239"/>
    <hyperlink r:id="rId235" ref="D240"/>
    <hyperlink r:id="rId236" ref="D241"/>
    <hyperlink r:id="rId237" ref="D242"/>
    <hyperlink r:id="rId238" ref="D243"/>
    <hyperlink r:id="rId239" ref="D244"/>
    <hyperlink r:id="rId240" ref="D245"/>
    <hyperlink r:id="rId241" ref="D246"/>
    <hyperlink r:id="rId242" ref="D247"/>
    <hyperlink r:id="rId243" ref="D248"/>
    <hyperlink r:id="rId244" ref="D249"/>
    <hyperlink r:id="rId245" ref="D250"/>
    <hyperlink r:id="rId246" ref="D251"/>
    <hyperlink r:id="rId247" ref="D252"/>
    <hyperlink r:id="rId248" ref="D253"/>
    <hyperlink r:id="rId249" ref="D254"/>
    <hyperlink r:id="rId250" ref="D255"/>
    <hyperlink r:id="rId251" ref="D256"/>
    <hyperlink r:id="rId252" ref="D257"/>
    <hyperlink r:id="rId253" ref="D258"/>
    <hyperlink r:id="rId254" ref="D259"/>
    <hyperlink r:id="rId255" ref="D260"/>
    <hyperlink r:id="rId256" ref="D261"/>
    <hyperlink r:id="rId257" ref="D262"/>
    <hyperlink r:id="rId258" ref="D263"/>
    <hyperlink r:id="rId259" ref="D264"/>
    <hyperlink r:id="rId260" ref="D265"/>
    <hyperlink r:id="rId261" ref="D266"/>
    <hyperlink r:id="rId262" ref="D267"/>
    <hyperlink r:id="rId263" ref="D268"/>
    <hyperlink r:id="rId264" ref="D269"/>
    <hyperlink r:id="rId265" ref="D270"/>
    <hyperlink r:id="rId266" ref="D271"/>
    <hyperlink r:id="rId267" ref="D272"/>
    <hyperlink r:id="rId268" ref="D273"/>
    <hyperlink r:id="rId269" ref="D274"/>
    <hyperlink r:id="rId270" ref="D275"/>
    <hyperlink r:id="rId271" ref="D276"/>
    <hyperlink r:id="rId272" ref="D277"/>
    <hyperlink r:id="rId273" ref="D278"/>
    <hyperlink r:id="rId274" ref="D279"/>
    <hyperlink r:id="rId275" ref="D280"/>
    <hyperlink r:id="rId276" ref="D281"/>
    <hyperlink r:id="rId277" ref="D282"/>
    <hyperlink r:id="rId278" ref="D283"/>
    <hyperlink r:id="rId279" ref="D284"/>
    <hyperlink r:id="rId280" ref="D285"/>
    <hyperlink r:id="rId281" ref="D286"/>
    <hyperlink r:id="rId282" ref="D287"/>
    <hyperlink r:id="rId283" ref="D288"/>
    <hyperlink r:id="rId284" ref="D289"/>
    <hyperlink r:id="rId285" ref="D290"/>
    <hyperlink r:id="rId286" ref="D291"/>
    <hyperlink r:id="rId287" ref="D292"/>
    <hyperlink r:id="rId288" ref="D293"/>
    <hyperlink r:id="rId289" ref="D294"/>
    <hyperlink r:id="rId290" ref="D295"/>
    <hyperlink r:id="rId291" ref="D296"/>
    <hyperlink r:id="rId292" ref="D297"/>
    <hyperlink r:id="rId293" ref="D298"/>
    <hyperlink r:id="rId294" ref="D299"/>
    <hyperlink r:id="rId295" ref="D300"/>
    <hyperlink r:id="rId296" ref="D301"/>
    <hyperlink r:id="rId297" ref="D302"/>
    <hyperlink r:id="rId298" ref="D303"/>
    <hyperlink r:id="rId299" ref="D304"/>
    <hyperlink r:id="rId300" ref="D305"/>
    <hyperlink r:id="rId301" ref="D306"/>
    <hyperlink r:id="rId302" ref="D307"/>
    <hyperlink r:id="rId303" ref="D308"/>
    <hyperlink r:id="rId304" ref="D309"/>
    <hyperlink r:id="rId305" ref="D310"/>
    <hyperlink r:id="rId306" ref="D311"/>
    <hyperlink r:id="rId307" ref="D312"/>
    <hyperlink r:id="rId308" ref="D313"/>
    <hyperlink r:id="rId309" ref="D314"/>
    <hyperlink r:id="rId310" ref="D315"/>
    <hyperlink r:id="rId311" ref="D316"/>
    <hyperlink r:id="rId312" ref="D317"/>
    <hyperlink r:id="rId313" ref="D318"/>
    <hyperlink r:id="rId314" ref="D319"/>
    <hyperlink r:id="rId315" ref="D320"/>
    <hyperlink r:id="rId316" ref="D321"/>
    <hyperlink r:id="rId317" ref="D322"/>
    <hyperlink r:id="rId318" ref="D323"/>
    <hyperlink r:id="rId319" ref="D324"/>
    <hyperlink r:id="rId320" ref="D325"/>
    <hyperlink r:id="rId321" ref="D326"/>
    <hyperlink r:id="rId322" ref="D327"/>
    <hyperlink r:id="rId323" ref="D328"/>
    <hyperlink r:id="rId324" ref="D329"/>
    <hyperlink r:id="rId325" ref="D330"/>
    <hyperlink r:id="rId326" ref="D331"/>
    <hyperlink r:id="rId327" ref="D332"/>
    <hyperlink r:id="rId328" ref="D333"/>
    <hyperlink r:id="rId329" ref="D334"/>
    <hyperlink r:id="rId330" ref="D335"/>
    <hyperlink r:id="rId331" ref="D336"/>
    <hyperlink r:id="rId332" ref="D337"/>
    <hyperlink r:id="rId333" ref="D338"/>
    <hyperlink r:id="rId334" ref="D339"/>
    <hyperlink r:id="rId335" ref="D340"/>
    <hyperlink r:id="rId336" ref="D341"/>
    <hyperlink r:id="rId337" ref="D342"/>
    <hyperlink r:id="rId338" ref="D343"/>
    <hyperlink r:id="rId339" ref="D344"/>
    <hyperlink r:id="rId340" ref="D345"/>
    <hyperlink r:id="rId341" ref="D346"/>
    <hyperlink r:id="rId342" ref="D347"/>
    <hyperlink r:id="rId343" ref="D348"/>
    <hyperlink r:id="rId344" ref="D349"/>
    <hyperlink r:id="rId345" ref="D350"/>
    <hyperlink r:id="rId346" ref="D351"/>
    <hyperlink r:id="rId347" ref="D352"/>
    <hyperlink r:id="rId348" ref="D353"/>
    <hyperlink r:id="rId349" ref="D354"/>
    <hyperlink r:id="rId350" ref="D355"/>
    <hyperlink r:id="rId351" ref="D356"/>
    <hyperlink r:id="rId352" ref="D357"/>
    <hyperlink r:id="rId353" ref="D358"/>
    <hyperlink r:id="rId354" ref="D359"/>
    <hyperlink r:id="rId355" ref="D360"/>
    <hyperlink r:id="rId356" ref="D361"/>
    <hyperlink r:id="rId357" ref="D362"/>
    <hyperlink r:id="rId358" ref="D363"/>
    <hyperlink r:id="rId359" ref="D364"/>
    <hyperlink r:id="rId360" ref="D365"/>
    <hyperlink r:id="rId361" ref="D366"/>
    <hyperlink r:id="rId362" ref="D367"/>
    <hyperlink r:id="rId363" ref="D368"/>
    <hyperlink r:id="rId364" ref="D369"/>
    <hyperlink r:id="rId365" ref="D370"/>
    <hyperlink r:id="rId366" ref="D371"/>
    <hyperlink r:id="rId367" ref="D372"/>
    <hyperlink r:id="rId368" ref="D373"/>
    <hyperlink r:id="rId369" ref="D374"/>
    <hyperlink r:id="rId370" ref="D375"/>
    <hyperlink r:id="rId371" ref="D376"/>
    <hyperlink r:id="rId372" ref="D377"/>
    <hyperlink r:id="rId373" ref="D378"/>
    <hyperlink r:id="rId374" ref="D379"/>
    <hyperlink r:id="rId375" ref="D380"/>
    <hyperlink r:id="rId376" ref="D381"/>
    <hyperlink r:id="rId377" ref="D382"/>
    <hyperlink r:id="rId378" ref="D383"/>
    <hyperlink r:id="rId379" ref="D384"/>
    <hyperlink r:id="rId380" ref="D385"/>
    <hyperlink r:id="rId381" ref="D386"/>
    <hyperlink r:id="rId382" ref="D387"/>
    <hyperlink r:id="rId383" ref="D388"/>
    <hyperlink r:id="rId384" ref="D389"/>
    <hyperlink r:id="rId385" ref="D390"/>
    <hyperlink r:id="rId386" ref="D391"/>
    <hyperlink r:id="rId387" ref="D392"/>
    <hyperlink r:id="rId388" ref="D393"/>
    <hyperlink r:id="rId389" ref="D394"/>
    <hyperlink r:id="rId390" ref="D395"/>
    <hyperlink r:id="rId391" ref="D396"/>
    <hyperlink r:id="rId392" ref="D397"/>
    <hyperlink r:id="rId393" ref="D398"/>
    <hyperlink r:id="rId394" ref="D399"/>
    <hyperlink r:id="rId395" ref="D400"/>
    <hyperlink r:id="rId396" ref="D401"/>
    <hyperlink r:id="rId397" ref="D402"/>
    <hyperlink r:id="rId398" ref="D403"/>
    <hyperlink r:id="rId399" ref="D404"/>
    <hyperlink r:id="rId400" ref="D405"/>
    <hyperlink r:id="rId401" ref="D406"/>
    <hyperlink r:id="rId402" ref="D407"/>
    <hyperlink r:id="rId403" ref="D408"/>
    <hyperlink r:id="rId404" ref="D409"/>
    <hyperlink r:id="rId405" ref="D410"/>
    <hyperlink r:id="rId406" ref="D411"/>
    <hyperlink r:id="rId407" ref="D412"/>
    <hyperlink r:id="rId408" ref="D413"/>
    <hyperlink r:id="rId409" ref="D414"/>
    <hyperlink r:id="rId410" ref="D415"/>
    <hyperlink r:id="rId411" ref="D416"/>
    <hyperlink r:id="rId412" ref="D417"/>
    <hyperlink r:id="rId413" ref="D418"/>
    <hyperlink r:id="rId414" ref="D419"/>
    <hyperlink r:id="rId415" ref="D420"/>
    <hyperlink r:id="rId416" ref="D421"/>
    <hyperlink r:id="rId417" ref="D422"/>
    <hyperlink r:id="rId418" ref="D423"/>
    <hyperlink r:id="rId419" ref="D424"/>
    <hyperlink r:id="rId420" ref="D425"/>
    <hyperlink r:id="rId421" ref="D426"/>
    <hyperlink r:id="rId422" ref="D427"/>
    <hyperlink r:id="rId423" ref="D428"/>
    <hyperlink r:id="rId424" ref="D429"/>
    <hyperlink r:id="rId425" ref="D430"/>
    <hyperlink r:id="rId426" ref="D431"/>
    <hyperlink r:id="rId427" ref="D432"/>
    <hyperlink r:id="rId428" ref="D433"/>
    <hyperlink r:id="rId429" ref="D434"/>
    <hyperlink r:id="rId430" ref="D435"/>
    <hyperlink r:id="rId431" ref="D436"/>
    <hyperlink r:id="rId432" ref="D437"/>
    <hyperlink r:id="rId433" ref="D438"/>
    <hyperlink r:id="rId434" ref="D439"/>
    <hyperlink r:id="rId435" ref="D440"/>
    <hyperlink r:id="rId436" ref="D441"/>
    <hyperlink r:id="rId437" ref="D442"/>
    <hyperlink r:id="rId438" ref="D443"/>
    <hyperlink r:id="rId439" ref="D444"/>
    <hyperlink r:id="rId440" ref="D445"/>
    <hyperlink r:id="rId441" ref="D446"/>
    <hyperlink r:id="rId442" ref="D447"/>
    <hyperlink r:id="rId443" ref="D448"/>
    <hyperlink r:id="rId444" ref="D449"/>
    <hyperlink r:id="rId445" ref="D450"/>
    <hyperlink r:id="rId446" ref="D451"/>
    <hyperlink r:id="rId447" ref="D452"/>
    <hyperlink r:id="rId448" ref="D453"/>
    <hyperlink r:id="rId449" ref="D454"/>
    <hyperlink r:id="rId450" ref="D455"/>
    <hyperlink r:id="rId451" ref="D456"/>
    <hyperlink r:id="rId452" ref="D457"/>
    <hyperlink r:id="rId453" ref="D458"/>
    <hyperlink r:id="rId454" ref="D459"/>
    <hyperlink r:id="rId455" ref="D460"/>
    <hyperlink r:id="rId456" ref="D461"/>
    <hyperlink r:id="rId457" ref="D462"/>
    <hyperlink r:id="rId458" ref="D463"/>
    <hyperlink r:id="rId459" ref="D464"/>
    <hyperlink r:id="rId460" ref="D465"/>
    <hyperlink r:id="rId461" ref="D466"/>
    <hyperlink r:id="rId462" ref="D467"/>
    <hyperlink r:id="rId463" ref="D468"/>
    <hyperlink r:id="rId464" ref="D469"/>
    <hyperlink r:id="rId465" ref="D470"/>
    <hyperlink r:id="rId466" ref="D471"/>
    <hyperlink r:id="rId467" ref="D472"/>
    <hyperlink r:id="rId468" ref="D473"/>
    <hyperlink r:id="rId469" ref="D474"/>
    <hyperlink r:id="rId470" ref="D475"/>
    <hyperlink r:id="rId471" ref="D476"/>
    <hyperlink r:id="rId472" ref="D477"/>
    <hyperlink r:id="rId473" ref="D478"/>
    <hyperlink r:id="rId474" ref="D479"/>
    <hyperlink r:id="rId475" ref="D480"/>
    <hyperlink r:id="rId476" ref="D481"/>
    <hyperlink r:id="rId477" ref="D482"/>
    <hyperlink r:id="rId478" ref="D483"/>
    <hyperlink r:id="rId479" ref="D484"/>
    <hyperlink r:id="rId480" ref="D485"/>
    <hyperlink r:id="rId481" ref="D486"/>
    <hyperlink r:id="rId482" ref="D487"/>
    <hyperlink r:id="rId483" ref="D488"/>
    <hyperlink r:id="rId484" ref="D489"/>
    <hyperlink r:id="rId485" ref="D490"/>
    <hyperlink r:id="rId486" ref="D491"/>
    <hyperlink r:id="rId487" ref="D492"/>
    <hyperlink r:id="rId488" ref="D493"/>
    <hyperlink r:id="rId489" ref="D494"/>
    <hyperlink r:id="rId490" ref="D495"/>
    <hyperlink r:id="rId491" ref="D496"/>
    <hyperlink r:id="rId492" ref="D497"/>
    <hyperlink r:id="rId493" ref="D498"/>
    <hyperlink r:id="rId494" ref="D499"/>
    <hyperlink r:id="rId495" ref="D500"/>
    <hyperlink r:id="rId496" ref="D501"/>
    <hyperlink r:id="rId497" ref="D502"/>
    <hyperlink r:id="rId498" ref="D503"/>
    <hyperlink r:id="rId499" ref="D504"/>
    <hyperlink r:id="rId500" ref="D505"/>
  </hyperlinks>
  <drawing r:id="rId50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  <col customWidth="1" min="7" max="7" width="10.14"/>
    <col customWidth="1" min="8" max="8" width="66.0"/>
    <col customWidth="1" min="9" max="9" width="21.57"/>
  </cols>
  <sheetData>
    <row r="1">
      <c r="A1" s="420"/>
      <c r="B1" s="420"/>
      <c r="C1" s="420"/>
      <c r="D1" s="420"/>
      <c r="E1" s="420"/>
      <c r="F1" s="420"/>
      <c r="G1" s="420"/>
      <c r="H1" s="421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  <c r="U1" s="420"/>
      <c r="V1" s="420"/>
      <c r="W1" s="420"/>
      <c r="X1" s="420"/>
      <c r="Y1" s="420"/>
      <c r="Z1" s="420"/>
      <c r="AA1" s="420"/>
    </row>
    <row r="2">
      <c r="A2" s="422"/>
      <c r="B2" s="422" t="s">
        <v>1887</v>
      </c>
      <c r="C2" s="420"/>
      <c r="D2" s="420"/>
      <c r="E2" s="420"/>
      <c r="F2" s="420"/>
      <c r="G2" s="420"/>
      <c r="H2" s="421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  <c r="U2" s="420"/>
      <c r="V2" s="420"/>
      <c r="W2" s="420"/>
      <c r="X2" s="420"/>
      <c r="Y2" s="420"/>
      <c r="Z2" s="420"/>
      <c r="AA2" s="420"/>
    </row>
    <row r="3">
      <c r="A3" s="423"/>
      <c r="B3" s="423" t="s">
        <v>627</v>
      </c>
      <c r="C3" s="423" t="s">
        <v>628</v>
      </c>
      <c r="D3" s="423" t="s">
        <v>1888</v>
      </c>
      <c r="E3" s="420"/>
      <c r="F3" s="420"/>
      <c r="G3" s="420"/>
      <c r="H3" s="421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</row>
    <row r="4">
      <c r="A4" s="424" t="s">
        <v>1889</v>
      </c>
      <c r="B4" s="425">
        <v>3.0E8</v>
      </c>
      <c r="C4" s="425">
        <v>1.75E8</v>
      </c>
      <c r="D4" s="426">
        <f>C4/B4*100%</f>
        <v>0.5833333333</v>
      </c>
      <c r="E4" s="420"/>
      <c r="F4" s="420"/>
      <c r="G4" s="420"/>
      <c r="H4" s="421"/>
      <c r="I4" s="420"/>
      <c r="J4" s="420"/>
      <c r="K4" s="420"/>
      <c r="L4" s="420"/>
      <c r="M4" s="420"/>
      <c r="N4" s="420"/>
      <c r="O4" s="420"/>
      <c r="P4" s="420"/>
      <c r="Q4" s="420"/>
      <c r="R4" s="420"/>
      <c r="S4" s="420"/>
      <c r="T4" s="420"/>
      <c r="U4" s="420"/>
      <c r="V4" s="420"/>
      <c r="W4" s="420"/>
      <c r="X4" s="420"/>
      <c r="Y4" s="420"/>
      <c r="Z4" s="420"/>
      <c r="AA4" s="420"/>
    </row>
    <row r="5">
      <c r="A5" s="424" t="s">
        <v>1890</v>
      </c>
      <c r="B5" s="425">
        <v>6.2166000909E7</v>
      </c>
      <c r="C5" s="425">
        <v>9.03060007E7</v>
      </c>
      <c r="D5" s="427">
        <f>C5-B5</f>
        <v>28139999.79</v>
      </c>
      <c r="E5" s="420"/>
      <c r="F5" s="420"/>
      <c r="G5" s="420"/>
      <c r="H5" s="421"/>
      <c r="I5" s="420"/>
      <c r="J5" s="420"/>
      <c r="K5" s="420"/>
      <c r="L5" s="420"/>
      <c r="M5" s="420"/>
      <c r="N5" s="420"/>
      <c r="O5" s="420"/>
      <c r="P5" s="420"/>
      <c r="Q5" s="420"/>
      <c r="R5" s="420"/>
      <c r="S5" s="420"/>
      <c r="T5" s="420"/>
      <c r="U5" s="420"/>
      <c r="V5" s="420"/>
      <c r="W5" s="420"/>
      <c r="X5" s="420"/>
      <c r="Y5" s="420"/>
      <c r="Z5" s="420"/>
      <c r="AA5" s="420"/>
    </row>
    <row r="6">
      <c r="A6" s="420"/>
      <c r="B6" s="420"/>
      <c r="C6" s="420"/>
      <c r="D6" s="420"/>
      <c r="E6" s="420"/>
      <c r="F6" s="420"/>
      <c r="G6" s="420"/>
      <c r="H6" s="421"/>
      <c r="I6" s="420"/>
      <c r="J6" s="420"/>
      <c r="K6" s="420"/>
      <c r="L6" s="420"/>
      <c r="M6" s="420"/>
      <c r="N6" s="420"/>
      <c r="O6" s="420"/>
      <c r="P6" s="420"/>
      <c r="Q6" s="420"/>
      <c r="R6" s="420"/>
      <c r="S6" s="420"/>
      <c r="T6" s="420"/>
      <c r="U6" s="420"/>
      <c r="V6" s="420"/>
      <c r="W6" s="420"/>
      <c r="X6" s="420"/>
      <c r="Y6" s="420"/>
      <c r="Z6" s="420"/>
      <c r="AA6" s="420"/>
    </row>
    <row r="7">
      <c r="A7" s="420"/>
      <c r="B7" s="422" t="s">
        <v>1891</v>
      </c>
      <c r="C7" s="428"/>
      <c r="D7" s="428"/>
      <c r="E7" s="420"/>
      <c r="F7" s="420"/>
      <c r="G7" s="429" t="s">
        <v>1892</v>
      </c>
      <c r="H7" s="421"/>
      <c r="I7" s="420"/>
      <c r="J7" s="420"/>
      <c r="K7" s="420"/>
      <c r="L7" s="420"/>
      <c r="M7" s="420"/>
      <c r="N7" s="420"/>
      <c r="O7" s="420"/>
      <c r="P7" s="420"/>
      <c r="Q7" s="420"/>
      <c r="R7" s="420"/>
      <c r="S7" s="420"/>
      <c r="T7" s="420"/>
      <c r="U7" s="420"/>
      <c r="V7" s="420"/>
      <c r="W7" s="420"/>
      <c r="X7" s="420"/>
      <c r="Y7" s="420"/>
      <c r="Z7" s="420"/>
      <c r="AA7" s="420"/>
    </row>
    <row r="8">
      <c r="A8" s="430" t="s">
        <v>1893</v>
      </c>
      <c r="B8" s="431" t="s">
        <v>1894</v>
      </c>
      <c r="C8" s="432" t="s">
        <v>1895</v>
      </c>
      <c r="D8" s="432" t="s">
        <v>1889</v>
      </c>
      <c r="E8" s="429"/>
      <c r="F8" s="420"/>
      <c r="G8" s="422" t="s">
        <v>1893</v>
      </c>
      <c r="H8" s="433" t="s">
        <v>1896</v>
      </c>
      <c r="I8" s="422" t="s">
        <v>1897</v>
      </c>
      <c r="J8" s="420"/>
      <c r="K8" s="420"/>
      <c r="L8" s="420"/>
      <c r="M8" s="420"/>
      <c r="N8" s="420"/>
      <c r="O8" s="420"/>
      <c r="P8" s="420"/>
      <c r="Q8" s="420"/>
      <c r="R8" s="420"/>
      <c r="S8" s="420"/>
      <c r="T8" s="420"/>
      <c r="U8" s="420"/>
      <c r="V8" s="420"/>
      <c r="W8" s="420"/>
      <c r="X8" s="420"/>
      <c r="Y8" s="420"/>
      <c r="Z8" s="420"/>
      <c r="AA8" s="420"/>
    </row>
    <row r="9" ht="34.5" customHeight="1">
      <c r="A9" s="425">
        <v>1.0</v>
      </c>
      <c r="B9" s="425">
        <v>93.0</v>
      </c>
      <c r="C9" s="434">
        <v>1.95E7</v>
      </c>
      <c r="D9" s="425">
        <v>1.015E8</v>
      </c>
      <c r="E9" s="420"/>
      <c r="F9" s="420"/>
      <c r="G9" s="422" t="s">
        <v>1898</v>
      </c>
      <c r="H9" s="435" t="s">
        <v>1899</v>
      </c>
      <c r="I9" s="429" t="s">
        <v>1900</v>
      </c>
      <c r="J9" s="420"/>
      <c r="K9" s="420"/>
      <c r="L9" s="420"/>
      <c r="M9" s="420"/>
      <c r="N9" s="420"/>
      <c r="O9" s="420"/>
      <c r="P9" s="420"/>
      <c r="Q9" s="420"/>
      <c r="R9" s="420"/>
      <c r="S9" s="420"/>
      <c r="T9" s="420"/>
      <c r="U9" s="420"/>
      <c r="V9" s="420"/>
      <c r="W9" s="420"/>
      <c r="X9" s="420"/>
      <c r="Y9" s="420"/>
      <c r="Z9" s="420"/>
      <c r="AA9" s="420"/>
    </row>
    <row r="10" ht="34.5" customHeight="1">
      <c r="A10" s="425">
        <v>2.0</v>
      </c>
      <c r="B10" s="425">
        <v>127.0</v>
      </c>
      <c r="C10" s="425">
        <v>4.6E7</v>
      </c>
      <c r="D10" s="425">
        <v>8.2E7</v>
      </c>
      <c r="E10" s="420"/>
      <c r="F10" s="420"/>
      <c r="G10" s="422" t="s">
        <v>1901</v>
      </c>
      <c r="H10" s="435" t="s">
        <v>1902</v>
      </c>
      <c r="I10" s="429" t="s">
        <v>1903</v>
      </c>
      <c r="J10" s="420"/>
      <c r="K10" s="420"/>
      <c r="L10" s="420"/>
      <c r="M10" s="420"/>
      <c r="N10" s="420"/>
      <c r="O10" s="420"/>
      <c r="P10" s="420"/>
      <c r="Q10" s="420"/>
      <c r="R10" s="420"/>
      <c r="S10" s="420"/>
      <c r="T10" s="420"/>
      <c r="U10" s="420"/>
      <c r="V10" s="420"/>
      <c r="W10" s="420"/>
      <c r="X10" s="420"/>
      <c r="Y10" s="420"/>
      <c r="Z10" s="420"/>
      <c r="AA10" s="420"/>
    </row>
    <row r="11" ht="34.5" customHeight="1">
      <c r="A11" s="425">
        <v>3.0</v>
      </c>
      <c r="B11" s="425">
        <v>277.0</v>
      </c>
      <c r="C11" s="425">
        <v>2.95E8</v>
      </c>
      <c r="D11" s="425">
        <v>1.2615E9</v>
      </c>
      <c r="E11" s="420"/>
      <c r="F11" s="420"/>
      <c r="G11" s="422" t="s">
        <v>1904</v>
      </c>
      <c r="H11" s="435" t="s">
        <v>1905</v>
      </c>
      <c r="I11" s="429" t="s">
        <v>1906</v>
      </c>
      <c r="J11" s="420"/>
      <c r="K11" s="420"/>
      <c r="L11" s="420"/>
      <c r="M11" s="420"/>
      <c r="N11" s="420"/>
      <c r="O11" s="420"/>
      <c r="P11" s="420"/>
      <c r="Q11" s="420"/>
      <c r="R11" s="420"/>
      <c r="S11" s="420"/>
      <c r="T11" s="420"/>
      <c r="U11" s="420"/>
      <c r="V11" s="420"/>
      <c r="W11" s="420"/>
      <c r="X11" s="420"/>
      <c r="Y11" s="420"/>
      <c r="Z11" s="420"/>
      <c r="AA11" s="420"/>
    </row>
    <row r="12">
      <c r="A12" s="420"/>
      <c r="B12" s="420"/>
      <c r="C12" s="420"/>
      <c r="D12" s="420"/>
      <c r="E12" s="420"/>
      <c r="F12" s="420"/>
      <c r="G12" s="420"/>
      <c r="H12" s="421"/>
      <c r="I12" s="420"/>
      <c r="J12" s="420"/>
      <c r="K12" s="420"/>
      <c r="L12" s="420"/>
      <c r="M12" s="420"/>
      <c r="N12" s="420"/>
      <c r="O12" s="420"/>
      <c r="P12" s="420"/>
      <c r="Q12" s="420"/>
      <c r="R12" s="420"/>
      <c r="S12" s="420"/>
      <c r="T12" s="420"/>
      <c r="U12" s="420"/>
      <c r="V12" s="420"/>
      <c r="W12" s="420"/>
      <c r="X12" s="420"/>
      <c r="Y12" s="420"/>
      <c r="Z12" s="420"/>
      <c r="AA12" s="420"/>
    </row>
    <row r="13">
      <c r="A13" s="420"/>
      <c r="B13" s="420"/>
      <c r="C13" s="420"/>
      <c r="D13" s="420"/>
      <c r="E13" s="420"/>
      <c r="F13" s="420"/>
      <c r="G13" s="420"/>
      <c r="H13" s="421"/>
      <c r="I13" s="420"/>
      <c r="J13" s="420"/>
      <c r="K13" s="420"/>
      <c r="L13" s="420"/>
      <c r="M13" s="420"/>
      <c r="N13" s="420"/>
      <c r="O13" s="420"/>
      <c r="P13" s="420"/>
      <c r="Q13" s="420"/>
      <c r="R13" s="420"/>
      <c r="S13" s="420"/>
      <c r="T13" s="420"/>
      <c r="U13" s="420"/>
      <c r="V13" s="420"/>
      <c r="W13" s="420"/>
      <c r="X13" s="420"/>
      <c r="Y13" s="420"/>
      <c r="Z13" s="420"/>
      <c r="AA13" s="420"/>
    </row>
    <row r="14">
      <c r="A14" s="420"/>
      <c r="B14" s="420"/>
      <c r="C14" s="420"/>
      <c r="D14" s="420"/>
      <c r="E14" s="420"/>
      <c r="F14" s="420"/>
      <c r="G14" s="420"/>
      <c r="H14" s="421"/>
      <c r="I14" s="420"/>
      <c r="J14" s="420"/>
      <c r="K14" s="420"/>
      <c r="L14" s="420"/>
      <c r="M14" s="420"/>
      <c r="N14" s="420"/>
      <c r="O14" s="420"/>
      <c r="P14" s="420"/>
      <c r="Q14" s="420"/>
      <c r="R14" s="420"/>
      <c r="S14" s="420"/>
      <c r="T14" s="420"/>
      <c r="U14" s="420"/>
      <c r="V14" s="420"/>
      <c r="W14" s="420"/>
      <c r="X14" s="420"/>
      <c r="Y14" s="420"/>
      <c r="Z14" s="420"/>
      <c r="AA14" s="420"/>
    </row>
    <row r="15">
      <c r="A15" s="420"/>
      <c r="B15" s="420"/>
      <c r="C15" s="420"/>
      <c r="D15" s="420"/>
      <c r="E15" s="420"/>
      <c r="F15" s="420"/>
      <c r="G15" s="420"/>
      <c r="H15" s="421"/>
      <c r="I15" s="420"/>
      <c r="J15" s="420"/>
      <c r="K15" s="420"/>
      <c r="L15" s="420"/>
      <c r="M15" s="420"/>
      <c r="N15" s="420"/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</row>
    <row r="16">
      <c r="A16" s="420"/>
      <c r="B16" s="420"/>
      <c r="C16" s="420"/>
      <c r="D16" s="420"/>
      <c r="E16" s="420"/>
      <c r="F16" s="420"/>
      <c r="G16" s="420"/>
      <c r="H16" s="421"/>
      <c r="I16" s="420"/>
      <c r="J16" s="420"/>
      <c r="K16" s="420"/>
      <c r="L16" s="420"/>
      <c r="M16" s="420"/>
      <c r="N16" s="420"/>
      <c r="O16" s="420"/>
      <c r="P16" s="420"/>
      <c r="Q16" s="420"/>
      <c r="R16" s="420"/>
      <c r="S16" s="420"/>
      <c r="T16" s="420"/>
      <c r="U16" s="420"/>
      <c r="V16" s="420"/>
      <c r="W16" s="420"/>
      <c r="X16" s="420"/>
      <c r="Y16" s="420"/>
      <c r="Z16" s="420"/>
      <c r="AA16" s="420"/>
    </row>
    <row r="17">
      <c r="A17" s="420"/>
      <c r="B17" s="420"/>
      <c r="C17" s="420"/>
      <c r="D17" s="420"/>
      <c r="E17" s="420"/>
      <c r="F17" s="420"/>
      <c r="G17" s="420"/>
      <c r="H17" s="421"/>
      <c r="I17" s="420"/>
      <c r="J17" s="420"/>
      <c r="K17" s="420"/>
      <c r="L17" s="420"/>
      <c r="M17" s="420"/>
      <c r="N17" s="420"/>
      <c r="O17" s="420"/>
      <c r="P17" s="420"/>
      <c r="Q17" s="420"/>
      <c r="R17" s="420"/>
      <c r="S17" s="420"/>
      <c r="T17" s="420"/>
      <c r="U17" s="420"/>
      <c r="V17" s="420"/>
      <c r="W17" s="420"/>
      <c r="X17" s="420"/>
      <c r="Y17" s="420"/>
      <c r="Z17" s="420"/>
      <c r="AA17" s="420"/>
    </row>
    <row r="18">
      <c r="A18" s="420"/>
      <c r="B18" s="420"/>
      <c r="C18" s="420"/>
      <c r="D18" s="420"/>
      <c r="E18" s="420"/>
      <c r="F18" s="420"/>
      <c r="G18" s="420"/>
      <c r="H18" s="421"/>
      <c r="I18" s="420"/>
      <c r="J18" s="420"/>
      <c r="K18" s="420"/>
      <c r="L18" s="420"/>
      <c r="M18" s="420"/>
      <c r="N18" s="420"/>
      <c r="O18" s="420"/>
      <c r="P18" s="420"/>
      <c r="Q18" s="420"/>
      <c r="R18" s="420"/>
      <c r="S18" s="420"/>
      <c r="T18" s="420"/>
      <c r="U18" s="420"/>
      <c r="V18" s="420"/>
      <c r="W18" s="420"/>
      <c r="X18" s="420"/>
      <c r="Y18" s="420"/>
      <c r="Z18" s="420"/>
      <c r="AA18" s="420"/>
    </row>
    <row r="19">
      <c r="A19" s="420"/>
      <c r="B19" s="420"/>
      <c r="C19" s="420"/>
      <c r="D19" s="420"/>
      <c r="E19" s="420"/>
      <c r="F19" s="420"/>
      <c r="G19" s="420"/>
      <c r="H19" s="421"/>
      <c r="I19" s="420"/>
      <c r="J19" s="420"/>
      <c r="K19" s="420"/>
      <c r="L19" s="420"/>
      <c r="M19" s="420"/>
      <c r="N19" s="420"/>
      <c r="O19" s="420"/>
      <c r="P19" s="420"/>
      <c r="Q19" s="420"/>
      <c r="R19" s="420"/>
      <c r="S19" s="420"/>
      <c r="T19" s="420"/>
      <c r="U19" s="420"/>
      <c r="V19" s="420"/>
      <c r="W19" s="420"/>
      <c r="X19" s="420"/>
      <c r="Y19" s="420"/>
      <c r="Z19" s="420"/>
      <c r="AA19" s="420"/>
    </row>
    <row r="20">
      <c r="A20" s="420"/>
      <c r="B20" s="420"/>
      <c r="C20" s="420"/>
      <c r="D20" s="420"/>
      <c r="E20" s="420"/>
      <c r="F20" s="420"/>
      <c r="G20" s="420"/>
      <c r="H20" s="421"/>
      <c r="I20" s="420"/>
      <c r="J20" s="420"/>
      <c r="K20" s="420"/>
      <c r="L20" s="420"/>
      <c r="M20" s="420"/>
      <c r="N20" s="420"/>
      <c r="O20" s="420"/>
      <c r="P20" s="420"/>
      <c r="Q20" s="420"/>
      <c r="R20" s="420"/>
      <c r="S20" s="420"/>
      <c r="T20" s="420"/>
      <c r="U20" s="420"/>
      <c r="V20" s="420"/>
      <c r="W20" s="420"/>
      <c r="X20" s="420"/>
      <c r="Y20" s="420"/>
      <c r="Z20" s="420"/>
      <c r="AA20" s="420"/>
    </row>
    <row r="21">
      <c r="A21" s="420"/>
      <c r="B21" s="420"/>
      <c r="C21" s="420"/>
      <c r="D21" s="420"/>
      <c r="E21" s="420"/>
      <c r="F21" s="420"/>
      <c r="G21" s="420"/>
      <c r="H21" s="421"/>
      <c r="I21" s="420"/>
      <c r="J21" s="420"/>
      <c r="K21" s="420"/>
      <c r="L21" s="420"/>
      <c r="M21" s="420"/>
      <c r="N21" s="420"/>
      <c r="O21" s="420"/>
      <c r="P21" s="420"/>
      <c r="Q21" s="420"/>
      <c r="R21" s="420"/>
      <c r="S21" s="420"/>
      <c r="T21" s="420"/>
      <c r="U21" s="420"/>
      <c r="V21" s="420"/>
      <c r="W21" s="420"/>
      <c r="X21" s="420"/>
      <c r="Y21" s="420"/>
      <c r="Z21" s="420"/>
      <c r="AA21" s="420"/>
    </row>
    <row r="22">
      <c r="A22" s="420"/>
      <c r="B22" s="420"/>
      <c r="C22" s="420"/>
      <c r="D22" s="420"/>
      <c r="E22" s="420"/>
      <c r="F22" s="420"/>
      <c r="G22" s="420"/>
      <c r="H22" s="421"/>
      <c r="I22" s="420"/>
      <c r="J22" s="420"/>
      <c r="K22" s="420"/>
      <c r="L22" s="420"/>
      <c r="M22" s="420"/>
      <c r="N22" s="420"/>
      <c r="O22" s="420"/>
      <c r="P22" s="420"/>
      <c r="Q22" s="420"/>
      <c r="R22" s="420"/>
      <c r="S22" s="420"/>
      <c r="T22" s="420"/>
      <c r="U22" s="420"/>
      <c r="V22" s="420"/>
      <c r="W22" s="420"/>
      <c r="X22" s="420"/>
      <c r="Y22" s="420"/>
      <c r="Z22" s="420"/>
      <c r="AA22" s="420"/>
    </row>
    <row r="23">
      <c r="A23" s="420"/>
      <c r="B23" s="420"/>
      <c r="C23" s="420"/>
      <c r="D23" s="420"/>
      <c r="E23" s="420"/>
      <c r="F23" s="420"/>
      <c r="G23" s="420"/>
      <c r="H23" s="421"/>
      <c r="I23" s="420"/>
      <c r="J23" s="420"/>
      <c r="K23" s="420"/>
      <c r="L23" s="420"/>
      <c r="M23" s="420"/>
      <c r="N23" s="420"/>
      <c r="O23" s="420"/>
      <c r="P23" s="420"/>
      <c r="Q23" s="420"/>
      <c r="R23" s="420"/>
      <c r="S23" s="420"/>
      <c r="T23" s="420"/>
      <c r="U23" s="420"/>
      <c r="V23" s="420"/>
      <c r="W23" s="420"/>
      <c r="X23" s="420"/>
      <c r="Y23" s="420"/>
      <c r="Z23" s="420"/>
      <c r="AA23" s="420"/>
    </row>
    <row r="24">
      <c r="A24" s="420"/>
      <c r="B24" s="420"/>
      <c r="C24" s="420"/>
      <c r="D24" s="420"/>
      <c r="E24" s="420"/>
      <c r="F24" s="420"/>
      <c r="G24" s="420"/>
      <c r="H24" s="421"/>
      <c r="I24" s="420"/>
      <c r="J24" s="420"/>
      <c r="K24" s="420"/>
      <c r="L24" s="420"/>
      <c r="M24" s="420"/>
      <c r="N24" s="420"/>
      <c r="O24" s="420"/>
      <c r="P24" s="420"/>
      <c r="Q24" s="420"/>
      <c r="R24" s="420"/>
      <c r="S24" s="420"/>
      <c r="T24" s="420"/>
      <c r="U24" s="420"/>
      <c r="V24" s="420"/>
      <c r="W24" s="420"/>
      <c r="X24" s="420"/>
      <c r="Y24" s="420"/>
      <c r="Z24" s="420"/>
      <c r="AA24" s="420"/>
    </row>
    <row r="25">
      <c r="A25" s="420"/>
      <c r="B25" s="420"/>
      <c r="C25" s="420"/>
      <c r="D25" s="420"/>
      <c r="E25" s="420"/>
      <c r="F25" s="420"/>
      <c r="G25" s="420"/>
      <c r="H25" s="421"/>
      <c r="I25" s="420"/>
      <c r="J25" s="420"/>
      <c r="K25" s="420"/>
      <c r="L25" s="420"/>
      <c r="M25" s="420"/>
      <c r="N25" s="420"/>
      <c r="O25" s="420"/>
      <c r="P25" s="420"/>
      <c r="Q25" s="420"/>
      <c r="R25" s="420"/>
      <c r="S25" s="420"/>
      <c r="T25" s="420"/>
      <c r="U25" s="420"/>
      <c r="V25" s="420"/>
      <c r="W25" s="420"/>
      <c r="X25" s="420"/>
      <c r="Y25" s="420"/>
      <c r="Z25" s="420"/>
      <c r="AA25" s="420"/>
    </row>
    <row r="26">
      <c r="A26" s="420"/>
      <c r="B26" s="420"/>
      <c r="C26" s="420"/>
      <c r="D26" s="420"/>
      <c r="E26" s="420"/>
      <c r="F26" s="420"/>
      <c r="G26" s="420"/>
      <c r="H26" s="421"/>
      <c r="I26" s="420"/>
      <c r="J26" s="420"/>
      <c r="K26" s="420"/>
      <c r="L26" s="420"/>
      <c r="M26" s="420"/>
      <c r="N26" s="420"/>
      <c r="O26" s="420"/>
      <c r="P26" s="420"/>
      <c r="Q26" s="420"/>
      <c r="R26" s="420"/>
      <c r="S26" s="420"/>
      <c r="T26" s="420"/>
      <c r="U26" s="420"/>
      <c r="V26" s="420"/>
      <c r="W26" s="420"/>
      <c r="X26" s="420"/>
      <c r="Y26" s="420"/>
      <c r="Z26" s="420"/>
      <c r="AA26" s="420"/>
    </row>
    <row r="27">
      <c r="A27" s="420"/>
      <c r="B27" s="420"/>
      <c r="C27" s="420"/>
      <c r="D27" s="420"/>
      <c r="E27" s="420"/>
      <c r="F27" s="420"/>
      <c r="G27" s="420"/>
      <c r="H27" s="421"/>
      <c r="I27" s="420"/>
      <c r="J27" s="420"/>
      <c r="K27" s="420"/>
      <c r="L27" s="420"/>
      <c r="M27" s="420"/>
      <c r="N27" s="420"/>
      <c r="O27" s="420"/>
      <c r="P27" s="420"/>
      <c r="Q27" s="420"/>
      <c r="R27" s="420"/>
      <c r="S27" s="420"/>
      <c r="T27" s="420"/>
      <c r="U27" s="420"/>
      <c r="V27" s="420"/>
      <c r="W27" s="420"/>
      <c r="X27" s="420"/>
      <c r="Y27" s="420"/>
      <c r="Z27" s="420"/>
      <c r="AA27" s="420"/>
    </row>
    <row r="28">
      <c r="A28" s="420"/>
      <c r="B28" s="420"/>
      <c r="C28" s="420"/>
      <c r="D28" s="420"/>
      <c r="E28" s="420"/>
      <c r="F28" s="420"/>
      <c r="G28" s="420"/>
      <c r="H28" s="421"/>
      <c r="I28" s="420"/>
      <c r="J28" s="420"/>
      <c r="K28" s="420"/>
      <c r="L28" s="420"/>
      <c r="M28" s="420"/>
      <c r="N28" s="420"/>
      <c r="O28" s="420"/>
      <c r="P28" s="420"/>
      <c r="Q28" s="420"/>
      <c r="R28" s="420"/>
      <c r="S28" s="420"/>
      <c r="T28" s="420"/>
      <c r="U28" s="420"/>
      <c r="V28" s="420"/>
      <c r="W28" s="420"/>
      <c r="X28" s="420"/>
      <c r="Y28" s="420"/>
      <c r="Z28" s="420"/>
      <c r="AA28" s="420"/>
    </row>
    <row r="29">
      <c r="A29" s="420"/>
      <c r="B29" s="420"/>
      <c r="C29" s="420"/>
      <c r="D29" s="420"/>
      <c r="E29" s="420"/>
      <c r="F29" s="420"/>
      <c r="G29" s="420"/>
      <c r="H29" s="421"/>
      <c r="I29" s="420"/>
      <c r="J29" s="420"/>
      <c r="K29" s="420"/>
      <c r="L29" s="420"/>
      <c r="M29" s="420"/>
      <c r="N29" s="420"/>
      <c r="O29" s="420"/>
      <c r="P29" s="420"/>
      <c r="Q29" s="420"/>
      <c r="R29" s="420"/>
      <c r="S29" s="420"/>
      <c r="T29" s="420"/>
      <c r="U29" s="420"/>
      <c r="V29" s="420"/>
      <c r="W29" s="420"/>
      <c r="X29" s="420"/>
      <c r="Y29" s="420"/>
      <c r="Z29" s="420"/>
      <c r="AA29" s="420"/>
    </row>
    <row r="30">
      <c r="A30" s="420"/>
      <c r="B30" s="420"/>
      <c r="C30" s="420"/>
      <c r="D30" s="420"/>
      <c r="E30" s="420"/>
      <c r="F30" s="420"/>
      <c r="G30" s="420"/>
      <c r="H30" s="421"/>
      <c r="I30" s="420"/>
      <c r="J30" s="420"/>
      <c r="K30" s="420"/>
      <c r="L30" s="420"/>
      <c r="M30" s="420"/>
      <c r="N30" s="420"/>
      <c r="O30" s="420"/>
      <c r="P30" s="420"/>
      <c r="Q30" s="420"/>
      <c r="R30" s="420"/>
      <c r="S30" s="420"/>
      <c r="T30" s="420"/>
      <c r="U30" s="420"/>
      <c r="V30" s="420"/>
      <c r="W30" s="420"/>
      <c r="X30" s="420"/>
      <c r="Y30" s="420"/>
      <c r="Z30" s="420"/>
      <c r="AA30" s="420"/>
    </row>
    <row r="31">
      <c r="A31" s="420"/>
      <c r="B31" s="420"/>
      <c r="C31" s="420"/>
      <c r="D31" s="420"/>
      <c r="E31" s="420"/>
      <c r="F31" s="420"/>
      <c r="G31" s="420"/>
      <c r="H31" s="421"/>
      <c r="I31" s="420"/>
      <c r="J31" s="420"/>
      <c r="K31" s="420"/>
      <c r="L31" s="420"/>
      <c r="M31" s="420"/>
      <c r="N31" s="420"/>
      <c r="O31" s="420"/>
      <c r="P31" s="420"/>
      <c r="Q31" s="420"/>
      <c r="R31" s="420"/>
      <c r="S31" s="420"/>
      <c r="T31" s="420"/>
      <c r="U31" s="420"/>
      <c r="V31" s="420"/>
      <c r="W31" s="420"/>
      <c r="X31" s="420"/>
      <c r="Y31" s="420"/>
      <c r="Z31" s="420"/>
      <c r="AA31" s="420"/>
    </row>
    <row r="32">
      <c r="A32" s="420"/>
      <c r="B32" s="420"/>
      <c r="C32" s="420"/>
      <c r="D32" s="420"/>
      <c r="E32" s="420"/>
      <c r="F32" s="420"/>
      <c r="G32" s="420"/>
      <c r="H32" s="421"/>
      <c r="I32" s="420"/>
      <c r="J32" s="420"/>
      <c r="K32" s="420"/>
      <c r="L32" s="420"/>
      <c r="M32" s="420"/>
      <c r="N32" s="420"/>
      <c r="O32" s="420"/>
      <c r="P32" s="420"/>
      <c r="Q32" s="420"/>
      <c r="R32" s="420"/>
      <c r="S32" s="420"/>
      <c r="T32" s="420"/>
      <c r="U32" s="420"/>
      <c r="V32" s="420"/>
      <c r="W32" s="420"/>
      <c r="X32" s="420"/>
      <c r="Y32" s="420"/>
      <c r="Z32" s="420"/>
      <c r="AA32" s="420"/>
    </row>
    <row r="33">
      <c r="A33" s="420"/>
      <c r="B33" s="420"/>
      <c r="C33" s="420"/>
      <c r="D33" s="420"/>
      <c r="E33" s="420"/>
      <c r="F33" s="420"/>
      <c r="G33" s="420"/>
      <c r="H33" s="421"/>
      <c r="I33" s="420"/>
      <c r="J33" s="420"/>
      <c r="K33" s="420"/>
      <c r="L33" s="420"/>
      <c r="M33" s="420"/>
      <c r="N33" s="420"/>
      <c r="O33" s="420"/>
      <c r="P33" s="420"/>
      <c r="Q33" s="420"/>
      <c r="R33" s="420"/>
      <c r="S33" s="420"/>
      <c r="T33" s="420"/>
      <c r="U33" s="420"/>
      <c r="V33" s="420"/>
      <c r="W33" s="420"/>
      <c r="X33" s="420"/>
      <c r="Y33" s="420"/>
      <c r="Z33" s="420"/>
      <c r="AA33" s="420"/>
    </row>
    <row r="34">
      <c r="A34" s="420"/>
      <c r="B34" s="420"/>
      <c r="C34" s="420"/>
      <c r="D34" s="420"/>
      <c r="E34" s="420"/>
      <c r="F34" s="420"/>
      <c r="G34" s="420"/>
      <c r="H34" s="421"/>
      <c r="I34" s="420"/>
      <c r="J34" s="420"/>
      <c r="K34" s="420"/>
      <c r="L34" s="420"/>
      <c r="M34" s="420"/>
      <c r="N34" s="420"/>
      <c r="O34" s="420"/>
      <c r="P34" s="420"/>
      <c r="Q34" s="420"/>
      <c r="R34" s="420"/>
      <c r="S34" s="420"/>
      <c r="T34" s="420"/>
      <c r="U34" s="420"/>
      <c r="V34" s="420"/>
      <c r="W34" s="420"/>
      <c r="X34" s="420"/>
      <c r="Y34" s="420"/>
      <c r="Z34" s="420"/>
      <c r="AA34" s="420"/>
    </row>
    <row r="35">
      <c r="A35" s="420"/>
      <c r="B35" s="420"/>
      <c r="C35" s="420"/>
      <c r="D35" s="420"/>
      <c r="E35" s="420"/>
      <c r="F35" s="420"/>
      <c r="G35" s="420"/>
      <c r="H35" s="421"/>
      <c r="I35" s="420"/>
      <c r="J35" s="420"/>
      <c r="K35" s="420"/>
      <c r="L35" s="420"/>
      <c r="M35" s="420"/>
      <c r="N35" s="420"/>
      <c r="O35" s="420"/>
      <c r="P35" s="420"/>
      <c r="Q35" s="420"/>
      <c r="R35" s="420"/>
      <c r="S35" s="420"/>
      <c r="T35" s="420"/>
      <c r="U35" s="420"/>
      <c r="V35" s="420"/>
      <c r="W35" s="420"/>
      <c r="X35" s="420"/>
      <c r="Y35" s="420"/>
      <c r="Z35" s="420"/>
      <c r="AA35" s="420"/>
    </row>
    <row r="36">
      <c r="A36" s="420"/>
      <c r="B36" s="420"/>
      <c r="C36" s="420"/>
      <c r="D36" s="420"/>
      <c r="E36" s="420"/>
      <c r="F36" s="420"/>
      <c r="G36" s="420"/>
      <c r="H36" s="421"/>
      <c r="I36" s="420"/>
      <c r="J36" s="420"/>
      <c r="K36" s="420"/>
      <c r="L36" s="420"/>
      <c r="M36" s="420"/>
      <c r="N36" s="420"/>
      <c r="O36" s="420"/>
      <c r="P36" s="420"/>
      <c r="Q36" s="420"/>
      <c r="R36" s="420"/>
      <c r="S36" s="420"/>
      <c r="T36" s="420"/>
      <c r="U36" s="420"/>
      <c r="V36" s="420"/>
      <c r="W36" s="420"/>
      <c r="X36" s="420"/>
      <c r="Y36" s="420"/>
      <c r="Z36" s="420"/>
      <c r="AA36" s="420"/>
    </row>
    <row r="37">
      <c r="A37" s="420"/>
      <c r="B37" s="420"/>
      <c r="C37" s="420"/>
      <c r="D37" s="420"/>
      <c r="E37" s="420"/>
      <c r="F37" s="420"/>
      <c r="G37" s="420"/>
      <c r="H37" s="421"/>
      <c r="I37" s="420"/>
      <c r="J37" s="420"/>
      <c r="K37" s="420"/>
      <c r="L37" s="420"/>
      <c r="M37" s="420"/>
      <c r="N37" s="420"/>
      <c r="O37" s="420"/>
      <c r="P37" s="420"/>
      <c r="Q37" s="420"/>
      <c r="R37" s="420"/>
      <c r="S37" s="420"/>
      <c r="T37" s="420"/>
      <c r="U37" s="420"/>
      <c r="V37" s="420"/>
      <c r="W37" s="420"/>
      <c r="X37" s="420"/>
      <c r="Y37" s="420"/>
      <c r="Z37" s="420"/>
      <c r="AA37" s="420"/>
    </row>
    <row r="38">
      <c r="A38" s="420"/>
      <c r="B38" s="420"/>
      <c r="C38" s="420"/>
      <c r="D38" s="420"/>
      <c r="E38" s="420"/>
      <c r="F38" s="420"/>
      <c r="G38" s="420"/>
      <c r="H38" s="421"/>
      <c r="I38" s="420"/>
      <c r="J38" s="420"/>
      <c r="K38" s="420"/>
      <c r="L38" s="420"/>
      <c r="M38" s="420"/>
      <c r="N38" s="420"/>
      <c r="O38" s="420"/>
      <c r="P38" s="420"/>
      <c r="Q38" s="420"/>
      <c r="R38" s="420"/>
      <c r="S38" s="420"/>
      <c r="T38" s="420"/>
      <c r="U38" s="420"/>
      <c r="V38" s="420"/>
      <c r="W38" s="420"/>
      <c r="X38" s="420"/>
      <c r="Y38" s="420"/>
      <c r="Z38" s="420"/>
      <c r="AA38" s="420"/>
    </row>
    <row r="39">
      <c r="A39" s="420"/>
      <c r="B39" s="420"/>
      <c r="C39" s="420"/>
      <c r="D39" s="420"/>
      <c r="E39" s="420"/>
      <c r="F39" s="420"/>
      <c r="G39" s="420"/>
      <c r="H39" s="421"/>
      <c r="I39" s="420"/>
      <c r="J39" s="420"/>
      <c r="K39" s="420"/>
      <c r="L39" s="420"/>
      <c r="M39" s="420"/>
      <c r="N39" s="420"/>
      <c r="O39" s="420"/>
      <c r="P39" s="420"/>
      <c r="Q39" s="420"/>
      <c r="R39" s="420"/>
      <c r="S39" s="420"/>
      <c r="T39" s="420"/>
      <c r="U39" s="420"/>
      <c r="V39" s="420"/>
      <c r="W39" s="420"/>
      <c r="X39" s="420"/>
      <c r="Y39" s="420"/>
      <c r="Z39" s="420"/>
      <c r="AA39" s="420"/>
    </row>
    <row r="40">
      <c r="A40" s="420"/>
      <c r="B40" s="420"/>
      <c r="C40" s="420"/>
      <c r="D40" s="420"/>
      <c r="E40" s="420"/>
      <c r="F40" s="420"/>
      <c r="G40" s="420"/>
      <c r="H40" s="421"/>
      <c r="I40" s="420"/>
      <c r="J40" s="420"/>
      <c r="K40" s="420"/>
      <c r="L40" s="420"/>
      <c r="M40" s="420"/>
      <c r="N40" s="420"/>
      <c r="O40" s="420"/>
      <c r="P40" s="420"/>
      <c r="Q40" s="420"/>
      <c r="R40" s="420"/>
      <c r="S40" s="420"/>
      <c r="T40" s="420"/>
      <c r="U40" s="420"/>
      <c r="V40" s="420"/>
      <c r="W40" s="420"/>
      <c r="X40" s="420"/>
      <c r="Y40" s="420"/>
      <c r="Z40" s="420"/>
      <c r="AA40" s="420"/>
    </row>
    <row r="41">
      <c r="A41" s="420"/>
      <c r="B41" s="420"/>
      <c r="C41" s="420"/>
      <c r="D41" s="420"/>
      <c r="E41" s="420"/>
      <c r="F41" s="420"/>
      <c r="G41" s="420"/>
      <c r="H41" s="421"/>
      <c r="I41" s="420"/>
      <c r="J41" s="420"/>
      <c r="K41" s="420"/>
      <c r="L41" s="420"/>
      <c r="M41" s="420"/>
      <c r="N41" s="420"/>
      <c r="O41" s="420"/>
      <c r="P41" s="420"/>
      <c r="Q41" s="420"/>
      <c r="R41" s="420"/>
      <c r="S41" s="420"/>
      <c r="T41" s="420"/>
      <c r="U41" s="420"/>
      <c r="V41" s="420"/>
      <c r="W41" s="420"/>
      <c r="X41" s="420"/>
      <c r="Y41" s="420"/>
      <c r="Z41" s="420"/>
      <c r="AA41" s="420"/>
    </row>
    <row r="42">
      <c r="A42" s="420"/>
      <c r="B42" s="420"/>
      <c r="C42" s="420"/>
      <c r="D42" s="420"/>
      <c r="E42" s="420"/>
      <c r="F42" s="420"/>
      <c r="G42" s="420"/>
      <c r="H42" s="421"/>
      <c r="I42" s="420"/>
      <c r="J42" s="420"/>
      <c r="K42" s="420"/>
      <c r="L42" s="420"/>
      <c r="M42" s="420"/>
      <c r="N42" s="420"/>
      <c r="O42" s="420"/>
      <c r="P42" s="420"/>
      <c r="Q42" s="420"/>
      <c r="R42" s="420"/>
      <c r="S42" s="420"/>
      <c r="T42" s="420"/>
      <c r="U42" s="420"/>
      <c r="V42" s="420"/>
      <c r="W42" s="420"/>
      <c r="X42" s="420"/>
      <c r="Y42" s="420"/>
      <c r="Z42" s="420"/>
      <c r="AA42" s="420"/>
    </row>
    <row r="43">
      <c r="A43" s="420"/>
      <c r="B43" s="420"/>
      <c r="C43" s="420"/>
      <c r="D43" s="420"/>
      <c r="E43" s="420"/>
      <c r="F43" s="420"/>
      <c r="G43" s="420"/>
      <c r="H43" s="421"/>
      <c r="I43" s="420"/>
      <c r="J43" s="420"/>
      <c r="K43" s="420"/>
      <c r="L43" s="420"/>
      <c r="M43" s="420"/>
      <c r="N43" s="420"/>
      <c r="O43" s="420"/>
      <c r="P43" s="420"/>
      <c r="Q43" s="420"/>
      <c r="R43" s="420"/>
      <c r="S43" s="420"/>
      <c r="T43" s="420"/>
      <c r="U43" s="420"/>
      <c r="V43" s="420"/>
      <c r="W43" s="420"/>
      <c r="X43" s="420"/>
      <c r="Y43" s="420"/>
      <c r="Z43" s="420"/>
      <c r="AA43" s="420"/>
    </row>
    <row r="44">
      <c r="A44" s="420"/>
      <c r="B44" s="420"/>
      <c r="C44" s="420"/>
      <c r="D44" s="420"/>
      <c r="E44" s="420"/>
      <c r="F44" s="420"/>
      <c r="G44" s="420"/>
      <c r="H44" s="421"/>
      <c r="I44" s="420"/>
      <c r="J44" s="420"/>
      <c r="K44" s="420"/>
      <c r="L44" s="420"/>
      <c r="M44" s="420"/>
      <c r="N44" s="420"/>
      <c r="O44" s="420"/>
      <c r="P44" s="420"/>
      <c r="Q44" s="420"/>
      <c r="R44" s="420"/>
      <c r="S44" s="420"/>
      <c r="T44" s="420"/>
      <c r="U44" s="420"/>
      <c r="V44" s="420"/>
      <c r="W44" s="420"/>
      <c r="X44" s="420"/>
      <c r="Y44" s="420"/>
      <c r="Z44" s="420"/>
      <c r="AA44" s="420"/>
    </row>
    <row r="45">
      <c r="A45" s="420"/>
      <c r="B45" s="420"/>
      <c r="C45" s="420"/>
      <c r="D45" s="420"/>
      <c r="E45" s="420"/>
      <c r="F45" s="420"/>
      <c r="G45" s="420"/>
      <c r="H45" s="421"/>
      <c r="I45" s="420"/>
      <c r="J45" s="420"/>
      <c r="K45" s="420"/>
      <c r="L45" s="420"/>
      <c r="M45" s="420"/>
      <c r="N45" s="420"/>
      <c r="O45" s="420"/>
      <c r="P45" s="420"/>
      <c r="Q45" s="420"/>
      <c r="R45" s="420"/>
      <c r="S45" s="420"/>
      <c r="T45" s="420"/>
      <c r="U45" s="420"/>
      <c r="V45" s="420"/>
      <c r="W45" s="420"/>
      <c r="X45" s="420"/>
      <c r="Y45" s="420"/>
      <c r="Z45" s="420"/>
      <c r="AA45" s="420"/>
    </row>
    <row r="46">
      <c r="A46" s="420"/>
      <c r="B46" s="420"/>
      <c r="C46" s="420"/>
      <c r="D46" s="420"/>
      <c r="E46" s="420"/>
      <c r="F46" s="420"/>
      <c r="G46" s="420"/>
      <c r="H46" s="421"/>
      <c r="I46" s="420"/>
      <c r="J46" s="420"/>
      <c r="K46" s="420"/>
      <c r="L46" s="420"/>
      <c r="M46" s="420"/>
      <c r="N46" s="420"/>
      <c r="O46" s="420"/>
      <c r="P46" s="420"/>
      <c r="Q46" s="420"/>
      <c r="R46" s="420"/>
      <c r="S46" s="420"/>
      <c r="T46" s="420"/>
      <c r="U46" s="420"/>
      <c r="V46" s="420"/>
      <c r="W46" s="420"/>
      <c r="X46" s="420"/>
      <c r="Y46" s="420"/>
      <c r="Z46" s="420"/>
      <c r="AA46" s="420"/>
    </row>
    <row r="47">
      <c r="A47" s="420"/>
      <c r="B47" s="420"/>
      <c r="C47" s="420"/>
      <c r="D47" s="420"/>
      <c r="E47" s="420"/>
      <c r="F47" s="420"/>
      <c r="G47" s="420"/>
      <c r="H47" s="421"/>
      <c r="I47" s="420"/>
      <c r="J47" s="420"/>
      <c r="K47" s="420"/>
      <c r="L47" s="420"/>
      <c r="M47" s="420"/>
      <c r="N47" s="420"/>
      <c r="O47" s="420"/>
      <c r="P47" s="420"/>
      <c r="Q47" s="420"/>
      <c r="R47" s="420"/>
      <c r="S47" s="420"/>
      <c r="T47" s="420"/>
      <c r="U47" s="420"/>
      <c r="V47" s="420"/>
      <c r="W47" s="420"/>
      <c r="X47" s="420"/>
      <c r="Y47" s="420"/>
      <c r="Z47" s="420"/>
      <c r="AA47" s="420"/>
    </row>
    <row r="48">
      <c r="A48" s="420"/>
      <c r="B48" s="420"/>
      <c r="C48" s="420"/>
      <c r="D48" s="420"/>
      <c r="E48" s="420"/>
      <c r="F48" s="420"/>
      <c r="G48" s="420"/>
      <c r="H48" s="421"/>
      <c r="I48" s="420"/>
      <c r="J48" s="420"/>
      <c r="K48" s="420"/>
      <c r="L48" s="420"/>
      <c r="M48" s="420"/>
      <c r="N48" s="420"/>
      <c r="O48" s="420"/>
      <c r="P48" s="420"/>
      <c r="Q48" s="420"/>
      <c r="R48" s="420"/>
      <c r="S48" s="420"/>
      <c r="T48" s="420"/>
      <c r="U48" s="420"/>
      <c r="V48" s="420"/>
      <c r="W48" s="420"/>
      <c r="X48" s="420"/>
      <c r="Y48" s="420"/>
      <c r="Z48" s="420"/>
      <c r="AA48" s="420"/>
    </row>
    <row r="49">
      <c r="A49" s="420"/>
      <c r="B49" s="420"/>
      <c r="C49" s="420"/>
      <c r="D49" s="420"/>
      <c r="E49" s="420"/>
      <c r="F49" s="420"/>
      <c r="G49" s="420"/>
      <c r="H49" s="421"/>
      <c r="I49" s="420"/>
      <c r="J49" s="420"/>
      <c r="K49" s="420"/>
      <c r="L49" s="420"/>
      <c r="M49" s="420"/>
      <c r="N49" s="420"/>
      <c r="O49" s="420"/>
      <c r="P49" s="420"/>
      <c r="Q49" s="420"/>
      <c r="R49" s="420"/>
      <c r="S49" s="420"/>
      <c r="T49" s="420"/>
      <c r="U49" s="420"/>
      <c r="V49" s="420"/>
      <c r="W49" s="420"/>
      <c r="X49" s="420"/>
      <c r="Y49" s="420"/>
      <c r="Z49" s="420"/>
      <c r="AA49" s="420"/>
    </row>
    <row r="50">
      <c r="A50" s="420"/>
      <c r="B50" s="420"/>
      <c r="C50" s="420"/>
      <c r="D50" s="420"/>
      <c r="E50" s="420"/>
      <c r="F50" s="420"/>
      <c r="G50" s="420"/>
      <c r="H50" s="421"/>
      <c r="I50" s="420"/>
      <c r="J50" s="420"/>
      <c r="K50" s="420"/>
      <c r="L50" s="420"/>
      <c r="M50" s="420"/>
      <c r="N50" s="420"/>
      <c r="O50" s="420"/>
      <c r="P50" s="420"/>
      <c r="Q50" s="420"/>
      <c r="R50" s="420"/>
      <c r="S50" s="420"/>
      <c r="T50" s="420"/>
      <c r="U50" s="420"/>
      <c r="V50" s="420"/>
      <c r="W50" s="420"/>
      <c r="X50" s="420"/>
      <c r="Y50" s="420"/>
      <c r="Z50" s="420"/>
      <c r="AA50" s="420"/>
    </row>
    <row r="51">
      <c r="A51" s="420"/>
      <c r="B51" s="420"/>
      <c r="C51" s="420"/>
      <c r="D51" s="420"/>
      <c r="E51" s="420"/>
      <c r="F51" s="420"/>
      <c r="G51" s="420"/>
      <c r="H51" s="421"/>
      <c r="I51" s="420"/>
      <c r="J51" s="420"/>
      <c r="K51" s="420"/>
      <c r="L51" s="420"/>
      <c r="M51" s="420"/>
      <c r="N51" s="420"/>
      <c r="O51" s="420"/>
      <c r="P51" s="420"/>
      <c r="Q51" s="420"/>
      <c r="R51" s="420"/>
      <c r="S51" s="420"/>
      <c r="T51" s="420"/>
      <c r="U51" s="420"/>
      <c r="V51" s="420"/>
      <c r="W51" s="420"/>
      <c r="X51" s="420"/>
      <c r="Y51" s="420"/>
      <c r="Z51" s="420"/>
      <c r="AA51" s="420"/>
    </row>
    <row r="52">
      <c r="A52" s="420"/>
      <c r="B52" s="420"/>
      <c r="C52" s="420"/>
      <c r="D52" s="420"/>
      <c r="E52" s="420"/>
      <c r="F52" s="420"/>
      <c r="G52" s="420"/>
      <c r="H52" s="421"/>
      <c r="I52" s="420"/>
      <c r="J52" s="420"/>
      <c r="K52" s="420"/>
      <c r="L52" s="420"/>
      <c r="M52" s="420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20"/>
      <c r="AA52" s="420"/>
    </row>
    <row r="53">
      <c r="A53" s="420"/>
      <c r="B53" s="420"/>
      <c r="C53" s="420"/>
      <c r="D53" s="420"/>
      <c r="E53" s="420"/>
      <c r="F53" s="420"/>
      <c r="G53" s="420"/>
      <c r="H53" s="421"/>
      <c r="I53" s="420"/>
      <c r="J53" s="420"/>
      <c r="K53" s="420"/>
      <c r="L53" s="420"/>
      <c r="M53" s="420"/>
      <c r="N53" s="420"/>
      <c r="O53" s="420"/>
      <c r="P53" s="420"/>
      <c r="Q53" s="420"/>
      <c r="R53" s="420"/>
      <c r="S53" s="420"/>
      <c r="T53" s="420"/>
      <c r="U53" s="420"/>
      <c r="V53" s="420"/>
      <c r="W53" s="420"/>
      <c r="X53" s="420"/>
      <c r="Y53" s="420"/>
      <c r="Z53" s="420"/>
      <c r="AA53" s="420"/>
    </row>
    <row r="54">
      <c r="A54" s="420"/>
      <c r="B54" s="420"/>
      <c r="C54" s="420"/>
      <c r="D54" s="420"/>
      <c r="E54" s="420"/>
      <c r="F54" s="420"/>
      <c r="G54" s="420"/>
      <c r="H54" s="421"/>
      <c r="I54" s="420"/>
      <c r="J54" s="420"/>
      <c r="K54" s="420"/>
      <c r="L54" s="420"/>
      <c r="M54" s="420"/>
      <c r="N54" s="420"/>
      <c r="O54" s="420"/>
      <c r="P54" s="420"/>
      <c r="Q54" s="420"/>
      <c r="R54" s="420"/>
      <c r="S54" s="420"/>
      <c r="T54" s="420"/>
      <c r="U54" s="420"/>
      <c r="V54" s="420"/>
      <c r="W54" s="420"/>
      <c r="X54" s="420"/>
      <c r="Y54" s="420"/>
      <c r="Z54" s="420"/>
      <c r="AA54" s="420"/>
    </row>
    <row r="55">
      <c r="A55" s="420"/>
      <c r="B55" s="420"/>
      <c r="C55" s="420"/>
      <c r="D55" s="420"/>
      <c r="E55" s="420"/>
      <c r="F55" s="420"/>
      <c r="G55" s="420"/>
      <c r="H55" s="421"/>
      <c r="I55" s="420"/>
      <c r="J55" s="420"/>
      <c r="K55" s="420"/>
      <c r="L55" s="420"/>
      <c r="M55" s="420"/>
      <c r="N55" s="420"/>
      <c r="O55" s="420"/>
      <c r="P55" s="420"/>
      <c r="Q55" s="420"/>
      <c r="R55" s="420"/>
      <c r="S55" s="420"/>
      <c r="T55" s="420"/>
      <c r="U55" s="420"/>
      <c r="V55" s="420"/>
      <c r="W55" s="420"/>
      <c r="X55" s="420"/>
      <c r="Y55" s="420"/>
      <c r="Z55" s="420"/>
      <c r="AA55" s="420"/>
    </row>
    <row r="56">
      <c r="A56" s="420"/>
      <c r="B56" s="420"/>
      <c r="C56" s="420"/>
      <c r="D56" s="420"/>
      <c r="E56" s="420"/>
      <c r="F56" s="420"/>
      <c r="G56" s="420"/>
      <c r="H56" s="421"/>
      <c r="I56" s="420"/>
      <c r="J56" s="420"/>
      <c r="K56" s="420"/>
      <c r="L56" s="420"/>
      <c r="M56" s="420"/>
      <c r="N56" s="420"/>
      <c r="O56" s="420"/>
      <c r="P56" s="420"/>
      <c r="Q56" s="420"/>
      <c r="R56" s="420"/>
      <c r="S56" s="420"/>
      <c r="T56" s="420"/>
      <c r="U56" s="420"/>
      <c r="V56" s="420"/>
      <c r="W56" s="420"/>
      <c r="X56" s="420"/>
      <c r="Y56" s="420"/>
      <c r="Z56" s="420"/>
      <c r="AA56" s="420"/>
    </row>
    <row r="57">
      <c r="A57" s="420"/>
      <c r="B57" s="420"/>
      <c r="C57" s="420"/>
      <c r="D57" s="420"/>
      <c r="E57" s="420"/>
      <c r="F57" s="420"/>
      <c r="G57" s="420"/>
      <c r="H57" s="421"/>
      <c r="I57" s="420"/>
      <c r="J57" s="420"/>
      <c r="K57" s="420"/>
      <c r="L57" s="420"/>
      <c r="M57" s="420"/>
      <c r="N57" s="420"/>
      <c r="O57" s="420"/>
      <c r="P57" s="420"/>
      <c r="Q57" s="420"/>
      <c r="R57" s="420"/>
      <c r="S57" s="420"/>
      <c r="T57" s="420"/>
      <c r="U57" s="420"/>
      <c r="V57" s="420"/>
      <c r="W57" s="420"/>
      <c r="X57" s="420"/>
      <c r="Y57" s="420"/>
      <c r="Z57" s="420"/>
      <c r="AA57" s="420"/>
    </row>
    <row r="58">
      <c r="A58" s="420"/>
      <c r="B58" s="420"/>
      <c r="C58" s="420"/>
      <c r="D58" s="420"/>
      <c r="E58" s="420"/>
      <c r="F58" s="420"/>
      <c r="G58" s="420"/>
      <c r="H58" s="421"/>
      <c r="I58" s="420"/>
      <c r="J58" s="420"/>
      <c r="K58" s="420"/>
      <c r="L58" s="420"/>
      <c r="M58" s="420"/>
      <c r="N58" s="420"/>
      <c r="O58" s="420"/>
      <c r="P58" s="420"/>
      <c r="Q58" s="420"/>
      <c r="R58" s="420"/>
      <c r="S58" s="420"/>
      <c r="T58" s="420"/>
      <c r="U58" s="420"/>
      <c r="V58" s="420"/>
      <c r="W58" s="420"/>
      <c r="X58" s="420"/>
      <c r="Y58" s="420"/>
      <c r="Z58" s="420"/>
      <c r="AA58" s="420"/>
    </row>
    <row r="59">
      <c r="A59" s="420"/>
      <c r="B59" s="420"/>
      <c r="C59" s="420"/>
      <c r="D59" s="420"/>
      <c r="E59" s="420"/>
      <c r="F59" s="420"/>
      <c r="G59" s="420"/>
      <c r="H59" s="421"/>
      <c r="I59" s="420"/>
      <c r="J59" s="420"/>
      <c r="K59" s="420"/>
      <c r="L59" s="420"/>
      <c r="M59" s="420"/>
      <c r="N59" s="420"/>
      <c r="O59" s="420"/>
      <c r="P59" s="420"/>
      <c r="Q59" s="420"/>
      <c r="R59" s="420"/>
      <c r="S59" s="420"/>
      <c r="T59" s="420"/>
      <c r="U59" s="420"/>
      <c r="V59" s="420"/>
      <c r="W59" s="420"/>
      <c r="X59" s="420"/>
      <c r="Y59" s="420"/>
      <c r="Z59" s="420"/>
      <c r="AA59" s="420"/>
    </row>
    <row r="60">
      <c r="A60" s="420"/>
      <c r="B60" s="420"/>
      <c r="C60" s="420"/>
      <c r="D60" s="420"/>
      <c r="E60" s="420"/>
      <c r="F60" s="420"/>
      <c r="G60" s="420"/>
      <c r="H60" s="421"/>
      <c r="I60" s="420"/>
      <c r="J60" s="420"/>
      <c r="K60" s="420"/>
      <c r="L60" s="420"/>
      <c r="M60" s="420"/>
      <c r="N60" s="420"/>
      <c r="O60" s="420"/>
      <c r="P60" s="420"/>
      <c r="Q60" s="420"/>
      <c r="R60" s="420"/>
      <c r="S60" s="420"/>
      <c r="T60" s="420"/>
      <c r="U60" s="420"/>
      <c r="V60" s="420"/>
      <c r="W60" s="420"/>
      <c r="X60" s="420"/>
      <c r="Y60" s="420"/>
      <c r="Z60" s="420"/>
      <c r="AA60" s="420"/>
    </row>
    <row r="61">
      <c r="A61" s="420"/>
      <c r="B61" s="420"/>
      <c r="C61" s="420"/>
      <c r="D61" s="420"/>
      <c r="E61" s="420"/>
      <c r="F61" s="420"/>
      <c r="G61" s="420"/>
      <c r="H61" s="421"/>
      <c r="I61" s="420"/>
      <c r="J61" s="420"/>
      <c r="K61" s="420"/>
      <c r="L61" s="420"/>
      <c r="M61" s="420"/>
      <c r="N61" s="420"/>
      <c r="O61" s="420"/>
      <c r="P61" s="420"/>
      <c r="Q61" s="420"/>
      <c r="R61" s="420"/>
      <c r="S61" s="420"/>
      <c r="T61" s="420"/>
      <c r="U61" s="420"/>
      <c r="V61" s="420"/>
      <c r="W61" s="420"/>
      <c r="X61" s="420"/>
      <c r="Y61" s="420"/>
      <c r="Z61" s="420"/>
      <c r="AA61" s="420"/>
    </row>
    <row r="62">
      <c r="A62" s="420"/>
      <c r="B62" s="420"/>
      <c r="C62" s="420"/>
      <c r="D62" s="420"/>
      <c r="E62" s="420"/>
      <c r="F62" s="420"/>
      <c r="G62" s="420"/>
      <c r="H62" s="421"/>
      <c r="I62" s="420"/>
      <c r="J62" s="420"/>
      <c r="K62" s="420"/>
      <c r="L62" s="420"/>
      <c r="M62" s="420"/>
      <c r="N62" s="420"/>
      <c r="O62" s="420"/>
      <c r="P62" s="420"/>
      <c r="Q62" s="420"/>
      <c r="R62" s="420"/>
      <c r="S62" s="420"/>
      <c r="T62" s="420"/>
      <c r="U62" s="420"/>
      <c r="V62" s="420"/>
      <c r="W62" s="420"/>
      <c r="X62" s="420"/>
      <c r="Y62" s="420"/>
      <c r="Z62" s="420"/>
      <c r="AA62" s="420"/>
    </row>
    <row r="63">
      <c r="A63" s="420"/>
      <c r="B63" s="420"/>
      <c r="C63" s="420"/>
      <c r="D63" s="420"/>
      <c r="E63" s="420"/>
      <c r="F63" s="420"/>
      <c r="G63" s="420"/>
      <c r="H63" s="421"/>
      <c r="I63" s="420"/>
      <c r="J63" s="420"/>
      <c r="K63" s="420"/>
      <c r="L63" s="420"/>
      <c r="M63" s="420"/>
      <c r="N63" s="420"/>
      <c r="O63" s="420"/>
      <c r="P63" s="420"/>
      <c r="Q63" s="420"/>
      <c r="R63" s="420"/>
      <c r="S63" s="420"/>
      <c r="T63" s="420"/>
      <c r="U63" s="420"/>
      <c r="V63" s="420"/>
      <c r="W63" s="420"/>
      <c r="X63" s="420"/>
      <c r="Y63" s="420"/>
      <c r="Z63" s="420"/>
      <c r="AA63" s="420"/>
    </row>
    <row r="64">
      <c r="A64" s="420"/>
      <c r="B64" s="420"/>
      <c r="C64" s="420"/>
      <c r="D64" s="420"/>
      <c r="E64" s="420"/>
      <c r="F64" s="420"/>
      <c r="G64" s="420"/>
      <c r="H64" s="421"/>
      <c r="I64" s="420"/>
      <c r="J64" s="420"/>
      <c r="K64" s="420"/>
      <c r="L64" s="420"/>
      <c r="M64" s="420"/>
      <c r="N64" s="420"/>
      <c r="O64" s="420"/>
      <c r="P64" s="420"/>
      <c r="Q64" s="420"/>
      <c r="R64" s="420"/>
      <c r="S64" s="420"/>
      <c r="T64" s="420"/>
      <c r="U64" s="420"/>
      <c r="V64" s="420"/>
      <c r="W64" s="420"/>
      <c r="X64" s="420"/>
      <c r="Y64" s="420"/>
      <c r="Z64" s="420"/>
      <c r="AA64" s="420"/>
    </row>
    <row r="65">
      <c r="A65" s="420"/>
      <c r="B65" s="420"/>
      <c r="C65" s="420"/>
      <c r="D65" s="420"/>
      <c r="E65" s="420"/>
      <c r="F65" s="420"/>
      <c r="G65" s="420"/>
      <c r="H65" s="421"/>
      <c r="I65" s="420"/>
      <c r="J65" s="420"/>
      <c r="K65" s="420"/>
      <c r="L65" s="420"/>
      <c r="M65" s="420"/>
      <c r="N65" s="420"/>
      <c r="O65" s="420"/>
      <c r="P65" s="420"/>
      <c r="Q65" s="420"/>
      <c r="R65" s="420"/>
      <c r="S65" s="420"/>
      <c r="T65" s="420"/>
      <c r="U65" s="420"/>
      <c r="V65" s="420"/>
      <c r="W65" s="420"/>
      <c r="X65" s="420"/>
      <c r="Y65" s="420"/>
      <c r="Z65" s="420"/>
      <c r="AA65" s="420"/>
    </row>
    <row r="66">
      <c r="A66" s="420"/>
      <c r="B66" s="420"/>
      <c r="C66" s="420"/>
      <c r="D66" s="420"/>
      <c r="E66" s="420"/>
      <c r="F66" s="420"/>
      <c r="G66" s="420"/>
      <c r="H66" s="421"/>
      <c r="I66" s="420"/>
      <c r="J66" s="420"/>
      <c r="K66" s="420"/>
      <c r="L66" s="420"/>
      <c r="M66" s="420"/>
      <c r="N66" s="420"/>
      <c r="O66" s="420"/>
      <c r="P66" s="420"/>
      <c r="Q66" s="420"/>
      <c r="R66" s="420"/>
      <c r="S66" s="420"/>
      <c r="T66" s="420"/>
      <c r="U66" s="420"/>
      <c r="V66" s="420"/>
      <c r="W66" s="420"/>
      <c r="X66" s="420"/>
      <c r="Y66" s="420"/>
      <c r="Z66" s="420"/>
      <c r="AA66" s="420"/>
    </row>
    <row r="67">
      <c r="A67" s="420"/>
      <c r="B67" s="420"/>
      <c r="C67" s="420"/>
      <c r="D67" s="420"/>
      <c r="E67" s="420"/>
      <c r="F67" s="420"/>
      <c r="G67" s="420"/>
      <c r="H67" s="421"/>
      <c r="I67" s="420"/>
      <c r="J67" s="420"/>
      <c r="K67" s="420"/>
      <c r="L67" s="420"/>
      <c r="M67" s="420"/>
      <c r="N67" s="420"/>
      <c r="O67" s="420"/>
      <c r="P67" s="420"/>
      <c r="Q67" s="420"/>
      <c r="R67" s="420"/>
      <c r="S67" s="420"/>
      <c r="T67" s="420"/>
      <c r="U67" s="420"/>
      <c r="V67" s="420"/>
      <c r="W67" s="420"/>
      <c r="X67" s="420"/>
      <c r="Y67" s="420"/>
      <c r="Z67" s="420"/>
      <c r="AA67" s="420"/>
    </row>
    <row r="68">
      <c r="A68" s="420"/>
      <c r="B68" s="420"/>
      <c r="C68" s="420"/>
      <c r="D68" s="420"/>
      <c r="E68" s="420"/>
      <c r="F68" s="420"/>
      <c r="G68" s="420"/>
      <c r="H68" s="421"/>
      <c r="I68" s="420"/>
      <c r="J68" s="420"/>
      <c r="K68" s="420"/>
      <c r="L68" s="420"/>
      <c r="M68" s="420"/>
      <c r="N68" s="420"/>
      <c r="O68" s="420"/>
      <c r="P68" s="420"/>
      <c r="Q68" s="420"/>
      <c r="R68" s="420"/>
      <c r="S68" s="420"/>
      <c r="T68" s="420"/>
      <c r="U68" s="420"/>
      <c r="V68" s="420"/>
      <c r="W68" s="420"/>
      <c r="X68" s="420"/>
      <c r="Y68" s="420"/>
      <c r="Z68" s="420"/>
      <c r="AA68" s="420"/>
    </row>
    <row r="69">
      <c r="A69" s="420"/>
      <c r="B69" s="420"/>
      <c r="C69" s="420"/>
      <c r="D69" s="420"/>
      <c r="E69" s="420"/>
      <c r="F69" s="420"/>
      <c r="G69" s="420"/>
      <c r="H69" s="421"/>
      <c r="I69" s="420"/>
      <c r="J69" s="420"/>
      <c r="K69" s="420"/>
      <c r="L69" s="420"/>
      <c r="M69" s="420"/>
      <c r="N69" s="420"/>
      <c r="O69" s="420"/>
      <c r="P69" s="420"/>
      <c r="Q69" s="420"/>
      <c r="R69" s="420"/>
      <c r="S69" s="420"/>
      <c r="T69" s="420"/>
      <c r="U69" s="420"/>
      <c r="V69" s="420"/>
      <c r="W69" s="420"/>
      <c r="X69" s="420"/>
      <c r="Y69" s="420"/>
      <c r="Z69" s="420"/>
      <c r="AA69" s="420"/>
    </row>
    <row r="70">
      <c r="A70" s="420"/>
      <c r="B70" s="420"/>
      <c r="C70" s="420"/>
      <c r="D70" s="420"/>
      <c r="E70" s="420"/>
      <c r="F70" s="420"/>
      <c r="G70" s="420"/>
      <c r="H70" s="421"/>
      <c r="I70" s="420"/>
      <c r="J70" s="420"/>
      <c r="K70" s="420"/>
      <c r="L70" s="420"/>
      <c r="M70" s="420"/>
      <c r="N70" s="420"/>
      <c r="O70" s="420"/>
      <c r="P70" s="420"/>
      <c r="Q70" s="420"/>
      <c r="R70" s="420"/>
      <c r="S70" s="420"/>
      <c r="T70" s="420"/>
      <c r="U70" s="420"/>
      <c r="V70" s="420"/>
      <c r="W70" s="420"/>
      <c r="X70" s="420"/>
      <c r="Y70" s="420"/>
      <c r="Z70" s="420"/>
      <c r="AA70" s="420"/>
    </row>
    <row r="71">
      <c r="A71" s="420"/>
      <c r="B71" s="420"/>
      <c r="C71" s="420"/>
      <c r="D71" s="420"/>
      <c r="E71" s="420"/>
      <c r="F71" s="420"/>
      <c r="G71" s="420"/>
      <c r="H71" s="421"/>
      <c r="I71" s="420"/>
      <c r="J71" s="420"/>
      <c r="K71" s="420"/>
      <c r="L71" s="420"/>
      <c r="M71" s="420"/>
      <c r="N71" s="420"/>
      <c r="O71" s="420"/>
      <c r="P71" s="420"/>
      <c r="Q71" s="420"/>
      <c r="R71" s="420"/>
      <c r="S71" s="420"/>
      <c r="T71" s="420"/>
      <c r="U71" s="420"/>
      <c r="V71" s="420"/>
      <c r="W71" s="420"/>
      <c r="X71" s="420"/>
      <c r="Y71" s="420"/>
      <c r="Z71" s="420"/>
      <c r="AA71" s="420"/>
    </row>
    <row r="72">
      <c r="A72" s="420"/>
      <c r="B72" s="420"/>
      <c r="C72" s="420"/>
      <c r="D72" s="420"/>
      <c r="E72" s="420"/>
      <c r="F72" s="420"/>
      <c r="G72" s="420"/>
      <c r="H72" s="421"/>
      <c r="I72" s="420"/>
      <c r="J72" s="420"/>
      <c r="K72" s="420"/>
      <c r="L72" s="420"/>
      <c r="M72" s="420"/>
      <c r="N72" s="420"/>
      <c r="O72" s="420"/>
      <c r="P72" s="420"/>
      <c r="Q72" s="420"/>
      <c r="R72" s="420"/>
      <c r="S72" s="420"/>
      <c r="T72" s="420"/>
      <c r="U72" s="420"/>
      <c r="V72" s="420"/>
      <c r="W72" s="420"/>
      <c r="X72" s="420"/>
      <c r="Y72" s="420"/>
      <c r="Z72" s="420"/>
      <c r="AA72" s="420"/>
    </row>
    <row r="73">
      <c r="A73" s="420"/>
      <c r="B73" s="420"/>
      <c r="C73" s="420"/>
      <c r="D73" s="420"/>
      <c r="E73" s="420"/>
      <c r="F73" s="420"/>
      <c r="G73" s="420"/>
      <c r="H73" s="421"/>
      <c r="I73" s="420"/>
      <c r="J73" s="420"/>
      <c r="K73" s="420"/>
      <c r="L73" s="420"/>
      <c r="M73" s="420"/>
      <c r="N73" s="420"/>
      <c r="O73" s="420"/>
      <c r="P73" s="420"/>
      <c r="Q73" s="420"/>
      <c r="R73" s="420"/>
      <c r="S73" s="420"/>
      <c r="T73" s="420"/>
      <c r="U73" s="420"/>
      <c r="V73" s="420"/>
      <c r="W73" s="420"/>
      <c r="X73" s="420"/>
      <c r="Y73" s="420"/>
      <c r="Z73" s="420"/>
      <c r="AA73" s="420"/>
    </row>
    <row r="74">
      <c r="A74" s="420"/>
      <c r="B74" s="420"/>
      <c r="C74" s="420"/>
      <c r="D74" s="420"/>
      <c r="E74" s="420"/>
      <c r="F74" s="420"/>
      <c r="G74" s="420"/>
      <c r="H74" s="421"/>
      <c r="I74" s="420"/>
      <c r="J74" s="420"/>
      <c r="K74" s="420"/>
      <c r="L74" s="420"/>
      <c r="M74" s="420"/>
      <c r="N74" s="420"/>
      <c r="O74" s="420"/>
      <c r="P74" s="420"/>
      <c r="Q74" s="420"/>
      <c r="R74" s="420"/>
      <c r="S74" s="420"/>
      <c r="T74" s="420"/>
      <c r="U74" s="420"/>
      <c r="V74" s="420"/>
      <c r="W74" s="420"/>
      <c r="X74" s="420"/>
      <c r="Y74" s="420"/>
      <c r="Z74" s="420"/>
      <c r="AA74" s="420"/>
    </row>
    <row r="75">
      <c r="A75" s="420"/>
      <c r="B75" s="420"/>
      <c r="C75" s="420"/>
      <c r="D75" s="420"/>
      <c r="E75" s="420"/>
      <c r="F75" s="420"/>
      <c r="G75" s="420"/>
      <c r="H75" s="421"/>
      <c r="I75" s="420"/>
      <c r="J75" s="420"/>
      <c r="K75" s="420"/>
      <c r="L75" s="420"/>
      <c r="M75" s="420"/>
      <c r="N75" s="420"/>
      <c r="O75" s="420"/>
      <c r="P75" s="420"/>
      <c r="Q75" s="420"/>
      <c r="R75" s="420"/>
      <c r="S75" s="420"/>
      <c r="T75" s="420"/>
      <c r="U75" s="420"/>
      <c r="V75" s="420"/>
      <c r="W75" s="420"/>
      <c r="X75" s="420"/>
      <c r="Y75" s="420"/>
      <c r="Z75" s="420"/>
      <c r="AA75" s="420"/>
    </row>
    <row r="76">
      <c r="A76" s="420"/>
      <c r="B76" s="420"/>
      <c r="C76" s="420"/>
      <c r="D76" s="420"/>
      <c r="E76" s="420"/>
      <c r="F76" s="420"/>
      <c r="G76" s="420"/>
      <c r="H76" s="421"/>
      <c r="I76" s="420"/>
      <c r="J76" s="420"/>
      <c r="K76" s="420"/>
      <c r="L76" s="420"/>
      <c r="M76" s="420"/>
      <c r="N76" s="420"/>
      <c r="O76" s="420"/>
      <c r="P76" s="420"/>
      <c r="Q76" s="420"/>
      <c r="R76" s="420"/>
      <c r="S76" s="420"/>
      <c r="T76" s="420"/>
      <c r="U76" s="420"/>
      <c r="V76" s="420"/>
      <c r="W76" s="420"/>
      <c r="X76" s="420"/>
      <c r="Y76" s="420"/>
      <c r="Z76" s="420"/>
      <c r="AA76" s="420"/>
    </row>
    <row r="77">
      <c r="A77" s="420"/>
      <c r="B77" s="420"/>
      <c r="C77" s="420"/>
      <c r="D77" s="420"/>
      <c r="E77" s="420"/>
      <c r="F77" s="420"/>
      <c r="G77" s="420"/>
      <c r="H77" s="421"/>
      <c r="I77" s="420"/>
      <c r="J77" s="420"/>
      <c r="K77" s="420"/>
      <c r="L77" s="420"/>
      <c r="M77" s="420"/>
      <c r="N77" s="420"/>
      <c r="O77" s="420"/>
      <c r="P77" s="420"/>
      <c r="Q77" s="420"/>
      <c r="R77" s="420"/>
      <c r="S77" s="420"/>
      <c r="T77" s="420"/>
      <c r="U77" s="420"/>
      <c r="V77" s="420"/>
      <c r="W77" s="420"/>
      <c r="X77" s="420"/>
      <c r="Y77" s="420"/>
      <c r="Z77" s="420"/>
      <c r="AA77" s="420"/>
    </row>
    <row r="78">
      <c r="A78" s="420"/>
      <c r="B78" s="420"/>
      <c r="C78" s="420"/>
      <c r="D78" s="420"/>
      <c r="E78" s="420"/>
      <c r="F78" s="420"/>
      <c r="G78" s="420"/>
      <c r="H78" s="421"/>
      <c r="I78" s="420"/>
      <c r="J78" s="420"/>
      <c r="K78" s="420"/>
      <c r="L78" s="420"/>
      <c r="M78" s="420"/>
      <c r="N78" s="420"/>
      <c r="O78" s="420"/>
      <c r="P78" s="420"/>
      <c r="Q78" s="420"/>
      <c r="R78" s="420"/>
      <c r="S78" s="420"/>
      <c r="T78" s="420"/>
      <c r="U78" s="420"/>
      <c r="V78" s="420"/>
      <c r="W78" s="420"/>
      <c r="X78" s="420"/>
      <c r="Y78" s="420"/>
      <c r="Z78" s="420"/>
      <c r="AA78" s="420"/>
    </row>
    <row r="79">
      <c r="A79" s="420"/>
      <c r="B79" s="420"/>
      <c r="C79" s="420"/>
      <c r="D79" s="420"/>
      <c r="E79" s="420"/>
      <c r="F79" s="420"/>
      <c r="G79" s="420"/>
      <c r="H79" s="421"/>
      <c r="I79" s="420"/>
      <c r="J79" s="420"/>
      <c r="K79" s="420"/>
      <c r="L79" s="420"/>
      <c r="M79" s="420"/>
      <c r="N79" s="420"/>
      <c r="O79" s="420"/>
      <c r="P79" s="420"/>
      <c r="Q79" s="420"/>
      <c r="R79" s="420"/>
      <c r="S79" s="420"/>
      <c r="T79" s="420"/>
      <c r="U79" s="420"/>
      <c r="V79" s="420"/>
      <c r="W79" s="420"/>
      <c r="X79" s="420"/>
      <c r="Y79" s="420"/>
      <c r="Z79" s="420"/>
      <c r="AA79" s="420"/>
    </row>
    <row r="80">
      <c r="A80" s="420"/>
      <c r="B80" s="420"/>
      <c r="C80" s="420"/>
      <c r="D80" s="420"/>
      <c r="E80" s="420"/>
      <c r="F80" s="420"/>
      <c r="G80" s="420"/>
      <c r="H80" s="421"/>
      <c r="I80" s="420"/>
      <c r="J80" s="420"/>
      <c r="K80" s="420"/>
      <c r="L80" s="420"/>
      <c r="M80" s="420"/>
      <c r="N80" s="420"/>
      <c r="O80" s="420"/>
      <c r="P80" s="420"/>
      <c r="Q80" s="420"/>
      <c r="R80" s="420"/>
      <c r="S80" s="420"/>
      <c r="T80" s="420"/>
      <c r="U80" s="420"/>
      <c r="V80" s="420"/>
      <c r="W80" s="420"/>
      <c r="X80" s="420"/>
      <c r="Y80" s="420"/>
      <c r="Z80" s="420"/>
      <c r="AA80" s="420"/>
    </row>
    <row r="81">
      <c r="A81" s="420"/>
      <c r="B81" s="420"/>
      <c r="C81" s="420"/>
      <c r="D81" s="420"/>
      <c r="E81" s="420"/>
      <c r="F81" s="420"/>
      <c r="G81" s="420"/>
      <c r="H81" s="421"/>
      <c r="I81" s="420"/>
      <c r="J81" s="420"/>
      <c r="K81" s="420"/>
      <c r="L81" s="420"/>
      <c r="M81" s="420"/>
      <c r="N81" s="420"/>
      <c r="O81" s="420"/>
      <c r="P81" s="420"/>
      <c r="Q81" s="420"/>
      <c r="R81" s="420"/>
      <c r="S81" s="420"/>
      <c r="T81" s="420"/>
      <c r="U81" s="420"/>
      <c r="V81" s="420"/>
      <c r="W81" s="420"/>
      <c r="X81" s="420"/>
      <c r="Y81" s="420"/>
      <c r="Z81" s="420"/>
      <c r="AA81" s="420"/>
    </row>
    <row r="82">
      <c r="A82" s="420"/>
      <c r="B82" s="420"/>
      <c r="C82" s="420"/>
      <c r="D82" s="420"/>
      <c r="E82" s="420"/>
      <c r="F82" s="420"/>
      <c r="G82" s="420"/>
      <c r="H82" s="421"/>
      <c r="I82" s="420"/>
      <c r="J82" s="420"/>
      <c r="K82" s="420"/>
      <c r="L82" s="420"/>
      <c r="M82" s="420"/>
      <c r="N82" s="420"/>
      <c r="O82" s="420"/>
      <c r="P82" s="420"/>
      <c r="Q82" s="420"/>
      <c r="R82" s="420"/>
      <c r="S82" s="420"/>
      <c r="T82" s="420"/>
      <c r="U82" s="420"/>
      <c r="V82" s="420"/>
      <c r="W82" s="420"/>
      <c r="X82" s="420"/>
      <c r="Y82" s="420"/>
      <c r="Z82" s="420"/>
      <c r="AA82" s="420"/>
    </row>
    <row r="83">
      <c r="A83" s="420"/>
      <c r="B83" s="420"/>
      <c r="C83" s="420"/>
      <c r="D83" s="420"/>
      <c r="E83" s="420"/>
      <c r="F83" s="420"/>
      <c r="G83" s="420"/>
      <c r="H83" s="421"/>
      <c r="I83" s="420"/>
      <c r="J83" s="420"/>
      <c r="K83" s="420"/>
      <c r="L83" s="420"/>
      <c r="M83" s="420"/>
      <c r="N83" s="420"/>
      <c r="O83" s="420"/>
      <c r="P83" s="420"/>
      <c r="Q83" s="420"/>
      <c r="R83" s="420"/>
      <c r="S83" s="420"/>
      <c r="T83" s="420"/>
      <c r="U83" s="420"/>
      <c r="V83" s="420"/>
      <c r="W83" s="420"/>
      <c r="X83" s="420"/>
      <c r="Y83" s="420"/>
      <c r="Z83" s="420"/>
      <c r="AA83" s="420"/>
    </row>
    <row r="84">
      <c r="A84" s="420"/>
      <c r="B84" s="420"/>
      <c r="C84" s="420"/>
      <c r="D84" s="420"/>
      <c r="E84" s="420"/>
      <c r="F84" s="420"/>
      <c r="G84" s="420"/>
      <c r="H84" s="421"/>
      <c r="I84" s="420"/>
      <c r="J84" s="420"/>
      <c r="K84" s="420"/>
      <c r="L84" s="420"/>
      <c r="M84" s="420"/>
      <c r="N84" s="420"/>
      <c r="O84" s="420"/>
      <c r="P84" s="420"/>
      <c r="Q84" s="420"/>
      <c r="R84" s="420"/>
      <c r="S84" s="420"/>
      <c r="T84" s="420"/>
      <c r="U84" s="420"/>
      <c r="V84" s="420"/>
      <c r="W84" s="420"/>
      <c r="X84" s="420"/>
      <c r="Y84" s="420"/>
      <c r="Z84" s="420"/>
      <c r="AA84" s="420"/>
    </row>
    <row r="85">
      <c r="A85" s="420"/>
      <c r="B85" s="420"/>
      <c r="C85" s="420"/>
      <c r="D85" s="420"/>
      <c r="E85" s="420"/>
      <c r="F85" s="420"/>
      <c r="G85" s="420"/>
      <c r="H85" s="421"/>
      <c r="I85" s="420"/>
      <c r="J85" s="420"/>
      <c r="K85" s="420"/>
      <c r="L85" s="420"/>
      <c r="M85" s="420"/>
      <c r="N85" s="420"/>
      <c r="O85" s="420"/>
      <c r="P85" s="420"/>
      <c r="Q85" s="420"/>
      <c r="R85" s="420"/>
      <c r="S85" s="420"/>
      <c r="T85" s="420"/>
      <c r="U85" s="420"/>
      <c r="V85" s="420"/>
      <c r="W85" s="420"/>
      <c r="X85" s="420"/>
      <c r="Y85" s="420"/>
      <c r="Z85" s="420"/>
      <c r="AA85" s="420"/>
    </row>
    <row r="86">
      <c r="A86" s="420"/>
      <c r="B86" s="420"/>
      <c r="C86" s="420"/>
      <c r="D86" s="420"/>
      <c r="E86" s="420"/>
      <c r="F86" s="420"/>
      <c r="G86" s="420"/>
      <c r="H86" s="421"/>
      <c r="I86" s="420"/>
      <c r="J86" s="420"/>
      <c r="K86" s="420"/>
      <c r="L86" s="420"/>
      <c r="M86" s="420"/>
      <c r="N86" s="420"/>
      <c r="O86" s="420"/>
      <c r="P86" s="420"/>
      <c r="Q86" s="420"/>
      <c r="R86" s="420"/>
      <c r="S86" s="420"/>
      <c r="T86" s="420"/>
      <c r="U86" s="420"/>
      <c r="V86" s="420"/>
      <c r="W86" s="420"/>
      <c r="X86" s="420"/>
      <c r="Y86" s="420"/>
      <c r="Z86" s="420"/>
      <c r="AA86" s="420"/>
    </row>
    <row r="87">
      <c r="A87" s="420"/>
      <c r="B87" s="420"/>
      <c r="C87" s="420"/>
      <c r="D87" s="420"/>
      <c r="E87" s="420"/>
      <c r="F87" s="420"/>
      <c r="G87" s="420"/>
      <c r="H87" s="421"/>
      <c r="I87" s="420"/>
      <c r="J87" s="420"/>
      <c r="K87" s="420"/>
      <c r="L87" s="420"/>
      <c r="M87" s="420"/>
      <c r="N87" s="420"/>
      <c r="O87" s="420"/>
      <c r="P87" s="420"/>
      <c r="Q87" s="420"/>
      <c r="R87" s="420"/>
      <c r="S87" s="420"/>
      <c r="T87" s="420"/>
      <c r="U87" s="420"/>
      <c r="V87" s="420"/>
      <c r="W87" s="420"/>
      <c r="X87" s="420"/>
      <c r="Y87" s="420"/>
      <c r="Z87" s="420"/>
      <c r="AA87" s="420"/>
    </row>
    <row r="88">
      <c r="A88" s="420"/>
      <c r="B88" s="420"/>
      <c r="C88" s="420"/>
      <c r="D88" s="420"/>
      <c r="E88" s="420"/>
      <c r="F88" s="420"/>
      <c r="G88" s="420"/>
      <c r="H88" s="421"/>
      <c r="I88" s="420"/>
      <c r="J88" s="420"/>
      <c r="K88" s="420"/>
      <c r="L88" s="420"/>
      <c r="M88" s="420"/>
      <c r="N88" s="420"/>
      <c r="O88" s="420"/>
      <c r="P88" s="420"/>
      <c r="Q88" s="420"/>
      <c r="R88" s="420"/>
      <c r="S88" s="420"/>
      <c r="T88" s="420"/>
      <c r="U88" s="420"/>
      <c r="V88" s="420"/>
      <c r="W88" s="420"/>
      <c r="X88" s="420"/>
      <c r="Y88" s="420"/>
      <c r="Z88" s="420"/>
      <c r="AA88" s="420"/>
    </row>
    <row r="89">
      <c r="A89" s="420"/>
      <c r="B89" s="420"/>
      <c r="C89" s="420"/>
      <c r="D89" s="420"/>
      <c r="E89" s="420"/>
      <c r="F89" s="420"/>
      <c r="G89" s="420"/>
      <c r="H89" s="421"/>
      <c r="I89" s="420"/>
      <c r="J89" s="420"/>
      <c r="K89" s="420"/>
      <c r="L89" s="420"/>
      <c r="M89" s="420"/>
      <c r="N89" s="420"/>
      <c r="O89" s="420"/>
      <c r="P89" s="420"/>
      <c r="Q89" s="420"/>
      <c r="R89" s="420"/>
      <c r="S89" s="420"/>
      <c r="T89" s="420"/>
      <c r="U89" s="420"/>
      <c r="V89" s="420"/>
      <c r="W89" s="420"/>
      <c r="X89" s="420"/>
      <c r="Y89" s="420"/>
      <c r="Z89" s="420"/>
      <c r="AA89" s="420"/>
    </row>
    <row r="90">
      <c r="A90" s="420"/>
      <c r="B90" s="420"/>
      <c r="C90" s="420"/>
      <c r="D90" s="420"/>
      <c r="E90" s="420"/>
      <c r="F90" s="420"/>
      <c r="G90" s="420"/>
      <c r="H90" s="421"/>
      <c r="I90" s="420"/>
      <c r="J90" s="420"/>
      <c r="K90" s="420"/>
      <c r="L90" s="420"/>
      <c r="M90" s="420"/>
      <c r="N90" s="420"/>
      <c r="O90" s="420"/>
      <c r="P90" s="420"/>
      <c r="Q90" s="420"/>
      <c r="R90" s="420"/>
      <c r="S90" s="420"/>
      <c r="T90" s="420"/>
      <c r="U90" s="420"/>
      <c r="V90" s="420"/>
      <c r="W90" s="420"/>
      <c r="X90" s="420"/>
      <c r="Y90" s="420"/>
      <c r="Z90" s="420"/>
      <c r="AA90" s="420"/>
    </row>
    <row r="91">
      <c r="A91" s="420"/>
      <c r="B91" s="420"/>
      <c r="C91" s="420"/>
      <c r="D91" s="420"/>
      <c r="E91" s="420"/>
      <c r="F91" s="420"/>
      <c r="G91" s="420"/>
      <c r="H91" s="421"/>
      <c r="I91" s="420"/>
      <c r="J91" s="420"/>
      <c r="K91" s="420"/>
      <c r="L91" s="420"/>
      <c r="M91" s="420"/>
      <c r="N91" s="420"/>
      <c r="O91" s="420"/>
      <c r="P91" s="420"/>
      <c r="Q91" s="420"/>
      <c r="R91" s="420"/>
      <c r="S91" s="420"/>
      <c r="T91" s="420"/>
      <c r="U91" s="420"/>
      <c r="V91" s="420"/>
      <c r="W91" s="420"/>
      <c r="X91" s="420"/>
      <c r="Y91" s="420"/>
      <c r="Z91" s="420"/>
      <c r="AA91" s="420"/>
    </row>
    <row r="92">
      <c r="A92" s="420"/>
      <c r="B92" s="420"/>
      <c r="C92" s="420"/>
      <c r="D92" s="420"/>
      <c r="E92" s="420"/>
      <c r="F92" s="420"/>
      <c r="G92" s="420"/>
      <c r="H92" s="421"/>
      <c r="I92" s="420"/>
      <c r="J92" s="420"/>
      <c r="K92" s="420"/>
      <c r="L92" s="420"/>
      <c r="M92" s="420"/>
      <c r="N92" s="420"/>
      <c r="O92" s="420"/>
      <c r="P92" s="420"/>
      <c r="Q92" s="420"/>
      <c r="R92" s="420"/>
      <c r="S92" s="420"/>
      <c r="T92" s="420"/>
      <c r="U92" s="420"/>
      <c r="V92" s="420"/>
      <c r="W92" s="420"/>
      <c r="X92" s="420"/>
      <c r="Y92" s="420"/>
      <c r="Z92" s="420"/>
      <c r="AA92" s="420"/>
    </row>
    <row r="93">
      <c r="A93" s="420"/>
      <c r="B93" s="420"/>
      <c r="C93" s="420"/>
      <c r="D93" s="420"/>
      <c r="E93" s="420"/>
      <c r="F93" s="420"/>
      <c r="G93" s="420"/>
      <c r="H93" s="421"/>
      <c r="I93" s="420"/>
      <c r="J93" s="420"/>
      <c r="K93" s="420"/>
      <c r="L93" s="420"/>
      <c r="M93" s="420"/>
      <c r="N93" s="420"/>
      <c r="O93" s="420"/>
      <c r="P93" s="420"/>
      <c r="Q93" s="420"/>
      <c r="R93" s="420"/>
      <c r="S93" s="420"/>
      <c r="T93" s="420"/>
      <c r="U93" s="420"/>
      <c r="V93" s="420"/>
      <c r="W93" s="420"/>
      <c r="X93" s="420"/>
      <c r="Y93" s="420"/>
      <c r="Z93" s="420"/>
      <c r="AA93" s="420"/>
    </row>
    <row r="94">
      <c r="A94" s="420"/>
      <c r="B94" s="420"/>
      <c r="C94" s="420"/>
      <c r="D94" s="420"/>
      <c r="E94" s="420"/>
      <c r="F94" s="420"/>
      <c r="G94" s="420"/>
      <c r="H94" s="421"/>
      <c r="I94" s="420"/>
      <c r="J94" s="420"/>
      <c r="K94" s="420"/>
      <c r="L94" s="420"/>
      <c r="M94" s="420"/>
      <c r="N94" s="420"/>
      <c r="O94" s="420"/>
      <c r="P94" s="420"/>
      <c r="Q94" s="420"/>
      <c r="R94" s="420"/>
      <c r="S94" s="420"/>
      <c r="T94" s="420"/>
      <c r="U94" s="420"/>
      <c r="V94" s="420"/>
      <c r="W94" s="420"/>
      <c r="X94" s="420"/>
      <c r="Y94" s="420"/>
      <c r="Z94" s="420"/>
      <c r="AA94" s="420"/>
    </row>
    <row r="95">
      <c r="A95" s="420"/>
      <c r="B95" s="420"/>
      <c r="C95" s="420"/>
      <c r="D95" s="420"/>
      <c r="E95" s="420"/>
      <c r="F95" s="420"/>
      <c r="G95" s="420"/>
      <c r="H95" s="421"/>
      <c r="I95" s="420"/>
      <c r="J95" s="420"/>
      <c r="K95" s="420"/>
      <c r="L95" s="420"/>
      <c r="M95" s="420"/>
      <c r="N95" s="420"/>
      <c r="O95" s="420"/>
      <c r="P95" s="420"/>
      <c r="Q95" s="420"/>
      <c r="R95" s="420"/>
      <c r="S95" s="420"/>
      <c r="T95" s="420"/>
      <c r="U95" s="420"/>
      <c r="V95" s="420"/>
      <c r="W95" s="420"/>
      <c r="X95" s="420"/>
      <c r="Y95" s="420"/>
      <c r="Z95" s="420"/>
      <c r="AA95" s="420"/>
    </row>
    <row r="96">
      <c r="A96" s="420"/>
      <c r="B96" s="420"/>
      <c r="C96" s="420"/>
      <c r="D96" s="420"/>
      <c r="E96" s="420"/>
      <c r="F96" s="420"/>
      <c r="G96" s="420"/>
      <c r="H96" s="421"/>
      <c r="I96" s="420"/>
      <c r="J96" s="420"/>
      <c r="K96" s="420"/>
      <c r="L96" s="420"/>
      <c r="M96" s="420"/>
      <c r="N96" s="420"/>
      <c r="O96" s="420"/>
      <c r="P96" s="420"/>
      <c r="Q96" s="420"/>
      <c r="R96" s="420"/>
      <c r="S96" s="420"/>
      <c r="T96" s="420"/>
      <c r="U96" s="420"/>
      <c r="V96" s="420"/>
      <c r="W96" s="420"/>
      <c r="X96" s="420"/>
      <c r="Y96" s="420"/>
      <c r="Z96" s="420"/>
      <c r="AA96" s="420"/>
    </row>
    <row r="97">
      <c r="A97" s="420"/>
      <c r="B97" s="420"/>
      <c r="C97" s="420"/>
      <c r="D97" s="420"/>
      <c r="E97" s="420"/>
      <c r="F97" s="420"/>
      <c r="G97" s="420"/>
      <c r="H97" s="421"/>
      <c r="I97" s="420"/>
      <c r="J97" s="420"/>
      <c r="K97" s="420"/>
      <c r="L97" s="420"/>
      <c r="M97" s="420"/>
      <c r="N97" s="420"/>
      <c r="O97" s="420"/>
      <c r="P97" s="420"/>
      <c r="Q97" s="420"/>
      <c r="R97" s="420"/>
      <c r="S97" s="420"/>
      <c r="T97" s="420"/>
      <c r="U97" s="420"/>
      <c r="V97" s="420"/>
      <c r="W97" s="420"/>
      <c r="X97" s="420"/>
      <c r="Y97" s="420"/>
      <c r="Z97" s="420"/>
      <c r="AA97" s="420"/>
    </row>
    <row r="98">
      <c r="A98" s="420"/>
      <c r="B98" s="420"/>
      <c r="C98" s="420"/>
      <c r="D98" s="420"/>
      <c r="E98" s="420"/>
      <c r="F98" s="420"/>
      <c r="G98" s="420"/>
      <c r="H98" s="421"/>
      <c r="I98" s="420"/>
      <c r="J98" s="420"/>
      <c r="K98" s="420"/>
      <c r="L98" s="420"/>
      <c r="M98" s="420"/>
      <c r="N98" s="420"/>
      <c r="O98" s="420"/>
      <c r="P98" s="420"/>
      <c r="Q98" s="420"/>
      <c r="R98" s="420"/>
      <c r="S98" s="420"/>
      <c r="T98" s="420"/>
      <c r="U98" s="420"/>
      <c r="V98" s="420"/>
      <c r="W98" s="420"/>
      <c r="X98" s="420"/>
      <c r="Y98" s="420"/>
      <c r="Z98" s="420"/>
      <c r="AA98" s="420"/>
    </row>
    <row r="99">
      <c r="A99" s="420"/>
      <c r="B99" s="420"/>
      <c r="C99" s="420"/>
      <c r="D99" s="420"/>
      <c r="E99" s="420"/>
      <c r="F99" s="420"/>
      <c r="G99" s="420"/>
      <c r="H99" s="421"/>
      <c r="I99" s="420"/>
      <c r="J99" s="420"/>
      <c r="K99" s="420"/>
      <c r="L99" s="420"/>
      <c r="M99" s="420"/>
      <c r="N99" s="420"/>
      <c r="O99" s="420"/>
      <c r="P99" s="420"/>
      <c r="Q99" s="420"/>
      <c r="R99" s="420"/>
      <c r="S99" s="420"/>
      <c r="T99" s="420"/>
      <c r="U99" s="420"/>
      <c r="V99" s="420"/>
      <c r="W99" s="420"/>
      <c r="X99" s="420"/>
      <c r="Y99" s="420"/>
      <c r="Z99" s="420"/>
      <c r="AA99" s="420"/>
    </row>
    <row r="100">
      <c r="A100" s="420"/>
      <c r="B100" s="420"/>
      <c r="C100" s="420"/>
      <c r="D100" s="420"/>
      <c r="E100" s="420"/>
      <c r="F100" s="420"/>
      <c r="G100" s="420"/>
      <c r="H100" s="421"/>
      <c r="I100" s="420"/>
      <c r="J100" s="420"/>
      <c r="K100" s="420"/>
      <c r="L100" s="420"/>
      <c r="M100" s="420"/>
      <c r="N100" s="420"/>
      <c r="O100" s="420"/>
      <c r="P100" s="420"/>
      <c r="Q100" s="420"/>
      <c r="R100" s="420"/>
      <c r="S100" s="420"/>
      <c r="T100" s="420"/>
      <c r="U100" s="420"/>
      <c r="V100" s="420"/>
      <c r="W100" s="420"/>
      <c r="X100" s="420"/>
      <c r="Y100" s="420"/>
      <c r="Z100" s="420"/>
      <c r="AA100" s="420"/>
    </row>
    <row r="101">
      <c r="A101" s="420"/>
      <c r="B101" s="420"/>
      <c r="C101" s="420"/>
      <c r="D101" s="420"/>
      <c r="E101" s="420"/>
      <c r="F101" s="420"/>
      <c r="G101" s="420"/>
      <c r="H101" s="421"/>
      <c r="I101" s="420"/>
      <c r="J101" s="420"/>
      <c r="K101" s="420"/>
      <c r="L101" s="420"/>
      <c r="M101" s="420"/>
      <c r="N101" s="420"/>
      <c r="O101" s="420"/>
      <c r="P101" s="420"/>
      <c r="Q101" s="420"/>
      <c r="R101" s="420"/>
      <c r="S101" s="420"/>
      <c r="T101" s="420"/>
      <c r="U101" s="420"/>
      <c r="V101" s="420"/>
      <c r="W101" s="420"/>
      <c r="X101" s="420"/>
      <c r="Y101" s="420"/>
      <c r="Z101" s="420"/>
      <c r="AA101" s="420"/>
    </row>
    <row r="102">
      <c r="A102" s="420"/>
      <c r="B102" s="420"/>
      <c r="C102" s="420"/>
      <c r="D102" s="420"/>
      <c r="E102" s="420"/>
      <c r="F102" s="420"/>
      <c r="G102" s="420"/>
      <c r="H102" s="421"/>
      <c r="I102" s="420"/>
      <c r="J102" s="420"/>
      <c r="K102" s="420"/>
      <c r="L102" s="420"/>
      <c r="M102" s="420"/>
      <c r="N102" s="420"/>
      <c r="O102" s="420"/>
      <c r="P102" s="420"/>
      <c r="Q102" s="420"/>
      <c r="R102" s="420"/>
      <c r="S102" s="420"/>
      <c r="T102" s="420"/>
      <c r="U102" s="420"/>
      <c r="V102" s="420"/>
      <c r="W102" s="420"/>
      <c r="X102" s="420"/>
      <c r="Y102" s="420"/>
      <c r="Z102" s="420"/>
      <c r="AA102" s="420"/>
    </row>
    <row r="103">
      <c r="A103" s="420"/>
      <c r="B103" s="420"/>
      <c r="C103" s="420"/>
      <c r="D103" s="420"/>
      <c r="E103" s="420"/>
      <c r="F103" s="420"/>
      <c r="G103" s="420"/>
      <c r="H103" s="421"/>
      <c r="I103" s="420"/>
      <c r="J103" s="420"/>
      <c r="K103" s="420"/>
      <c r="L103" s="420"/>
      <c r="M103" s="420"/>
      <c r="N103" s="420"/>
      <c r="O103" s="420"/>
      <c r="P103" s="420"/>
      <c r="Q103" s="420"/>
      <c r="R103" s="420"/>
      <c r="S103" s="420"/>
      <c r="T103" s="420"/>
      <c r="U103" s="420"/>
      <c r="V103" s="420"/>
      <c r="W103" s="420"/>
      <c r="X103" s="420"/>
      <c r="Y103" s="420"/>
      <c r="Z103" s="420"/>
      <c r="AA103" s="420"/>
    </row>
    <row r="104">
      <c r="A104" s="420"/>
      <c r="B104" s="420"/>
      <c r="C104" s="420"/>
      <c r="D104" s="420"/>
      <c r="E104" s="420"/>
      <c r="F104" s="420"/>
      <c r="G104" s="420"/>
      <c r="H104" s="421"/>
      <c r="I104" s="420"/>
      <c r="J104" s="420"/>
      <c r="K104" s="420"/>
      <c r="L104" s="420"/>
      <c r="M104" s="420"/>
      <c r="N104" s="420"/>
      <c r="O104" s="420"/>
      <c r="P104" s="420"/>
      <c r="Q104" s="420"/>
      <c r="R104" s="420"/>
      <c r="S104" s="420"/>
      <c r="T104" s="420"/>
      <c r="U104" s="420"/>
      <c r="V104" s="420"/>
      <c r="W104" s="420"/>
      <c r="X104" s="420"/>
      <c r="Y104" s="420"/>
      <c r="Z104" s="420"/>
      <c r="AA104" s="420"/>
    </row>
    <row r="105">
      <c r="A105" s="420"/>
      <c r="B105" s="420"/>
      <c r="C105" s="420"/>
      <c r="D105" s="420"/>
      <c r="E105" s="420"/>
      <c r="F105" s="420"/>
      <c r="G105" s="420"/>
      <c r="H105" s="421"/>
      <c r="I105" s="420"/>
      <c r="J105" s="420"/>
      <c r="K105" s="420"/>
      <c r="L105" s="420"/>
      <c r="M105" s="420"/>
      <c r="N105" s="420"/>
      <c r="O105" s="420"/>
      <c r="P105" s="420"/>
      <c r="Q105" s="420"/>
      <c r="R105" s="420"/>
      <c r="S105" s="420"/>
      <c r="T105" s="420"/>
      <c r="U105" s="420"/>
      <c r="V105" s="420"/>
      <c r="W105" s="420"/>
      <c r="X105" s="420"/>
      <c r="Y105" s="420"/>
      <c r="Z105" s="420"/>
      <c r="AA105" s="420"/>
    </row>
    <row r="106">
      <c r="A106" s="420"/>
      <c r="B106" s="420"/>
      <c r="C106" s="420"/>
      <c r="D106" s="420"/>
      <c r="E106" s="420"/>
      <c r="F106" s="420"/>
      <c r="G106" s="420"/>
      <c r="H106" s="421"/>
      <c r="I106" s="420"/>
      <c r="J106" s="420"/>
      <c r="K106" s="420"/>
      <c r="L106" s="420"/>
      <c r="M106" s="420"/>
      <c r="N106" s="420"/>
      <c r="O106" s="420"/>
      <c r="P106" s="420"/>
      <c r="Q106" s="420"/>
      <c r="R106" s="420"/>
      <c r="S106" s="420"/>
      <c r="T106" s="420"/>
      <c r="U106" s="420"/>
      <c r="V106" s="420"/>
      <c r="W106" s="420"/>
      <c r="X106" s="420"/>
      <c r="Y106" s="420"/>
      <c r="Z106" s="420"/>
      <c r="AA106" s="420"/>
    </row>
    <row r="107">
      <c r="A107" s="420"/>
      <c r="B107" s="420"/>
      <c r="C107" s="420"/>
      <c r="D107" s="420"/>
      <c r="E107" s="420"/>
      <c r="F107" s="420"/>
      <c r="G107" s="420"/>
      <c r="H107" s="421"/>
      <c r="I107" s="420"/>
      <c r="J107" s="420"/>
      <c r="K107" s="420"/>
      <c r="L107" s="420"/>
      <c r="M107" s="420"/>
      <c r="N107" s="420"/>
      <c r="O107" s="420"/>
      <c r="P107" s="420"/>
      <c r="Q107" s="420"/>
      <c r="R107" s="420"/>
      <c r="S107" s="420"/>
      <c r="T107" s="420"/>
      <c r="U107" s="420"/>
      <c r="V107" s="420"/>
      <c r="W107" s="420"/>
      <c r="X107" s="420"/>
      <c r="Y107" s="420"/>
      <c r="Z107" s="420"/>
      <c r="AA107" s="420"/>
    </row>
    <row r="108">
      <c r="A108" s="420"/>
      <c r="B108" s="420"/>
      <c r="C108" s="420"/>
      <c r="D108" s="420"/>
      <c r="E108" s="420"/>
      <c r="F108" s="420"/>
      <c r="G108" s="420"/>
      <c r="H108" s="421"/>
      <c r="I108" s="420"/>
      <c r="J108" s="420"/>
      <c r="K108" s="420"/>
      <c r="L108" s="420"/>
      <c r="M108" s="420"/>
      <c r="N108" s="420"/>
      <c r="O108" s="420"/>
      <c r="P108" s="420"/>
      <c r="Q108" s="420"/>
      <c r="R108" s="420"/>
      <c r="S108" s="420"/>
      <c r="T108" s="420"/>
      <c r="U108" s="420"/>
      <c r="V108" s="420"/>
      <c r="W108" s="420"/>
      <c r="X108" s="420"/>
      <c r="Y108" s="420"/>
      <c r="Z108" s="420"/>
      <c r="AA108" s="420"/>
    </row>
    <row r="109">
      <c r="A109" s="420"/>
      <c r="B109" s="420"/>
      <c r="C109" s="420"/>
      <c r="D109" s="420"/>
      <c r="E109" s="420"/>
      <c r="F109" s="420"/>
      <c r="G109" s="420"/>
      <c r="H109" s="421"/>
      <c r="I109" s="420"/>
      <c r="J109" s="420"/>
      <c r="K109" s="420"/>
      <c r="L109" s="420"/>
      <c r="M109" s="420"/>
      <c r="N109" s="420"/>
      <c r="O109" s="420"/>
      <c r="P109" s="420"/>
      <c r="Q109" s="420"/>
      <c r="R109" s="420"/>
      <c r="S109" s="420"/>
      <c r="T109" s="420"/>
      <c r="U109" s="420"/>
      <c r="V109" s="420"/>
      <c r="W109" s="420"/>
      <c r="X109" s="420"/>
      <c r="Y109" s="420"/>
      <c r="Z109" s="420"/>
      <c r="AA109" s="420"/>
    </row>
    <row r="110">
      <c r="A110" s="420"/>
      <c r="B110" s="420"/>
      <c r="C110" s="420"/>
      <c r="D110" s="420"/>
      <c r="E110" s="420"/>
      <c r="F110" s="420"/>
      <c r="G110" s="420"/>
      <c r="H110" s="421"/>
      <c r="I110" s="420"/>
      <c r="J110" s="420"/>
      <c r="K110" s="420"/>
      <c r="L110" s="420"/>
      <c r="M110" s="420"/>
      <c r="N110" s="420"/>
      <c r="O110" s="420"/>
      <c r="P110" s="420"/>
      <c r="Q110" s="420"/>
      <c r="R110" s="420"/>
      <c r="S110" s="420"/>
      <c r="T110" s="420"/>
      <c r="U110" s="420"/>
      <c r="V110" s="420"/>
      <c r="W110" s="420"/>
      <c r="X110" s="420"/>
      <c r="Y110" s="420"/>
      <c r="Z110" s="420"/>
      <c r="AA110" s="420"/>
    </row>
    <row r="111">
      <c r="A111" s="420"/>
      <c r="B111" s="420"/>
      <c r="C111" s="420"/>
      <c r="D111" s="420"/>
      <c r="E111" s="420"/>
      <c r="F111" s="420"/>
      <c r="G111" s="420"/>
      <c r="H111" s="421"/>
      <c r="I111" s="420"/>
      <c r="J111" s="420"/>
      <c r="K111" s="420"/>
      <c r="L111" s="420"/>
      <c r="M111" s="420"/>
      <c r="N111" s="420"/>
      <c r="O111" s="420"/>
      <c r="P111" s="420"/>
      <c r="Q111" s="420"/>
      <c r="R111" s="420"/>
      <c r="S111" s="420"/>
      <c r="T111" s="420"/>
      <c r="U111" s="420"/>
      <c r="V111" s="420"/>
      <c r="W111" s="420"/>
      <c r="X111" s="420"/>
      <c r="Y111" s="420"/>
      <c r="Z111" s="420"/>
      <c r="AA111" s="420"/>
    </row>
    <row r="112">
      <c r="A112" s="420"/>
      <c r="B112" s="420"/>
      <c r="C112" s="420"/>
      <c r="D112" s="420"/>
      <c r="E112" s="420"/>
      <c r="F112" s="420"/>
      <c r="G112" s="420"/>
      <c r="H112" s="421"/>
      <c r="I112" s="420"/>
      <c r="J112" s="420"/>
      <c r="K112" s="420"/>
      <c r="L112" s="420"/>
      <c r="M112" s="420"/>
      <c r="N112" s="420"/>
      <c r="O112" s="420"/>
      <c r="P112" s="420"/>
      <c r="Q112" s="420"/>
      <c r="R112" s="420"/>
      <c r="S112" s="420"/>
      <c r="T112" s="420"/>
      <c r="U112" s="420"/>
      <c r="V112" s="420"/>
      <c r="W112" s="420"/>
      <c r="X112" s="420"/>
      <c r="Y112" s="420"/>
      <c r="Z112" s="420"/>
      <c r="AA112" s="420"/>
    </row>
    <row r="113">
      <c r="A113" s="420"/>
      <c r="B113" s="420"/>
      <c r="C113" s="420"/>
      <c r="D113" s="420"/>
      <c r="E113" s="420"/>
      <c r="F113" s="420"/>
      <c r="G113" s="420"/>
      <c r="H113" s="421"/>
      <c r="I113" s="420"/>
      <c r="J113" s="420"/>
      <c r="K113" s="420"/>
      <c r="L113" s="420"/>
      <c r="M113" s="420"/>
      <c r="N113" s="420"/>
      <c r="O113" s="420"/>
      <c r="P113" s="420"/>
      <c r="Q113" s="420"/>
      <c r="R113" s="420"/>
      <c r="S113" s="420"/>
      <c r="T113" s="420"/>
      <c r="U113" s="420"/>
      <c r="V113" s="420"/>
      <c r="W113" s="420"/>
      <c r="X113" s="420"/>
      <c r="Y113" s="420"/>
      <c r="Z113" s="420"/>
      <c r="AA113" s="420"/>
    </row>
    <row r="114">
      <c r="A114" s="420"/>
      <c r="B114" s="420"/>
      <c r="C114" s="420"/>
      <c r="D114" s="420"/>
      <c r="E114" s="420"/>
      <c r="F114" s="420"/>
      <c r="G114" s="420"/>
      <c r="H114" s="421"/>
      <c r="I114" s="420"/>
      <c r="J114" s="420"/>
      <c r="K114" s="420"/>
      <c r="L114" s="420"/>
      <c r="M114" s="420"/>
      <c r="N114" s="420"/>
      <c r="O114" s="420"/>
      <c r="P114" s="420"/>
      <c r="Q114" s="420"/>
      <c r="R114" s="420"/>
      <c r="S114" s="420"/>
      <c r="T114" s="420"/>
      <c r="U114" s="420"/>
      <c r="V114" s="420"/>
      <c r="W114" s="420"/>
      <c r="X114" s="420"/>
      <c r="Y114" s="420"/>
      <c r="Z114" s="420"/>
      <c r="AA114" s="420"/>
    </row>
    <row r="115">
      <c r="A115" s="420"/>
      <c r="B115" s="420"/>
      <c r="C115" s="420"/>
      <c r="D115" s="420"/>
      <c r="E115" s="420"/>
      <c r="F115" s="420"/>
      <c r="G115" s="420"/>
      <c r="H115" s="421"/>
      <c r="I115" s="420"/>
      <c r="J115" s="420"/>
      <c r="K115" s="420"/>
      <c r="L115" s="420"/>
      <c r="M115" s="420"/>
      <c r="N115" s="420"/>
      <c r="O115" s="420"/>
      <c r="P115" s="420"/>
      <c r="Q115" s="420"/>
      <c r="R115" s="420"/>
      <c r="S115" s="420"/>
      <c r="T115" s="420"/>
      <c r="U115" s="420"/>
      <c r="V115" s="420"/>
      <c r="W115" s="420"/>
      <c r="X115" s="420"/>
      <c r="Y115" s="420"/>
      <c r="Z115" s="420"/>
      <c r="AA115" s="420"/>
    </row>
    <row r="116">
      <c r="A116" s="420"/>
      <c r="B116" s="420"/>
      <c r="C116" s="420"/>
      <c r="D116" s="420"/>
      <c r="E116" s="420"/>
      <c r="F116" s="420"/>
      <c r="G116" s="420"/>
      <c r="H116" s="421"/>
      <c r="I116" s="420"/>
      <c r="J116" s="420"/>
      <c r="K116" s="420"/>
      <c r="L116" s="420"/>
      <c r="M116" s="420"/>
      <c r="N116" s="420"/>
      <c r="O116" s="420"/>
      <c r="P116" s="420"/>
      <c r="Q116" s="420"/>
      <c r="R116" s="420"/>
      <c r="S116" s="420"/>
      <c r="T116" s="420"/>
      <c r="U116" s="420"/>
      <c r="V116" s="420"/>
      <c r="W116" s="420"/>
      <c r="X116" s="420"/>
      <c r="Y116" s="420"/>
      <c r="Z116" s="420"/>
      <c r="AA116" s="420"/>
    </row>
    <row r="117">
      <c r="A117" s="420"/>
      <c r="B117" s="420"/>
      <c r="C117" s="420"/>
      <c r="D117" s="420"/>
      <c r="E117" s="420"/>
      <c r="F117" s="420"/>
      <c r="G117" s="420"/>
      <c r="H117" s="421"/>
      <c r="I117" s="420"/>
      <c r="J117" s="420"/>
      <c r="K117" s="420"/>
      <c r="L117" s="420"/>
      <c r="M117" s="420"/>
      <c r="N117" s="420"/>
      <c r="O117" s="420"/>
      <c r="P117" s="420"/>
      <c r="Q117" s="420"/>
      <c r="R117" s="420"/>
      <c r="S117" s="420"/>
      <c r="T117" s="420"/>
      <c r="U117" s="420"/>
      <c r="V117" s="420"/>
      <c r="W117" s="420"/>
      <c r="X117" s="420"/>
      <c r="Y117" s="420"/>
      <c r="Z117" s="420"/>
      <c r="AA117" s="420"/>
    </row>
    <row r="118">
      <c r="A118" s="420"/>
      <c r="B118" s="420"/>
      <c r="C118" s="420"/>
      <c r="D118" s="420"/>
      <c r="E118" s="420"/>
      <c r="F118" s="420"/>
      <c r="G118" s="420"/>
      <c r="H118" s="421"/>
      <c r="I118" s="420"/>
      <c r="J118" s="420"/>
      <c r="K118" s="420"/>
      <c r="L118" s="420"/>
      <c r="M118" s="420"/>
      <c r="N118" s="420"/>
      <c r="O118" s="420"/>
      <c r="P118" s="420"/>
      <c r="Q118" s="420"/>
      <c r="R118" s="420"/>
      <c r="S118" s="420"/>
      <c r="T118" s="420"/>
      <c r="U118" s="420"/>
      <c r="V118" s="420"/>
      <c r="W118" s="420"/>
      <c r="X118" s="420"/>
      <c r="Y118" s="420"/>
      <c r="Z118" s="420"/>
      <c r="AA118" s="420"/>
    </row>
    <row r="119">
      <c r="A119" s="420"/>
      <c r="B119" s="420"/>
      <c r="C119" s="420"/>
      <c r="D119" s="420"/>
      <c r="E119" s="420"/>
      <c r="F119" s="420"/>
      <c r="G119" s="420"/>
      <c r="H119" s="421"/>
      <c r="I119" s="420"/>
      <c r="J119" s="420"/>
      <c r="K119" s="420"/>
      <c r="L119" s="420"/>
      <c r="M119" s="420"/>
      <c r="N119" s="420"/>
      <c r="O119" s="420"/>
      <c r="P119" s="420"/>
      <c r="Q119" s="420"/>
      <c r="R119" s="420"/>
      <c r="S119" s="420"/>
      <c r="T119" s="420"/>
      <c r="U119" s="420"/>
      <c r="V119" s="420"/>
      <c r="W119" s="420"/>
      <c r="X119" s="420"/>
      <c r="Y119" s="420"/>
      <c r="Z119" s="420"/>
      <c r="AA119" s="420"/>
    </row>
    <row r="120">
      <c r="A120" s="420"/>
      <c r="B120" s="420"/>
      <c r="C120" s="420"/>
      <c r="D120" s="420"/>
      <c r="E120" s="420"/>
      <c r="F120" s="420"/>
      <c r="G120" s="420"/>
      <c r="H120" s="421"/>
      <c r="I120" s="420"/>
      <c r="J120" s="420"/>
      <c r="K120" s="420"/>
      <c r="L120" s="420"/>
      <c r="M120" s="420"/>
      <c r="N120" s="420"/>
      <c r="O120" s="420"/>
      <c r="P120" s="420"/>
      <c r="Q120" s="420"/>
      <c r="R120" s="420"/>
      <c r="S120" s="420"/>
      <c r="T120" s="420"/>
      <c r="U120" s="420"/>
      <c r="V120" s="420"/>
      <c r="W120" s="420"/>
      <c r="X120" s="420"/>
      <c r="Y120" s="420"/>
      <c r="Z120" s="420"/>
      <c r="AA120" s="420"/>
    </row>
    <row r="121">
      <c r="A121" s="420"/>
      <c r="B121" s="420"/>
      <c r="C121" s="420"/>
      <c r="D121" s="420"/>
      <c r="E121" s="420"/>
      <c r="F121" s="420"/>
      <c r="G121" s="420"/>
      <c r="H121" s="421"/>
      <c r="I121" s="420"/>
      <c r="J121" s="420"/>
      <c r="K121" s="420"/>
      <c r="L121" s="420"/>
      <c r="M121" s="420"/>
      <c r="N121" s="420"/>
      <c r="O121" s="420"/>
      <c r="P121" s="420"/>
      <c r="Q121" s="420"/>
      <c r="R121" s="420"/>
      <c r="S121" s="420"/>
      <c r="T121" s="420"/>
      <c r="U121" s="420"/>
      <c r="V121" s="420"/>
      <c r="W121" s="420"/>
      <c r="X121" s="420"/>
      <c r="Y121" s="420"/>
      <c r="Z121" s="420"/>
      <c r="AA121" s="420"/>
    </row>
    <row r="122">
      <c r="A122" s="420"/>
      <c r="B122" s="420"/>
      <c r="C122" s="420"/>
      <c r="D122" s="420"/>
      <c r="E122" s="420"/>
      <c r="F122" s="420"/>
      <c r="G122" s="420"/>
      <c r="H122" s="421"/>
      <c r="I122" s="420"/>
      <c r="J122" s="420"/>
      <c r="K122" s="420"/>
      <c r="L122" s="420"/>
      <c r="M122" s="420"/>
      <c r="N122" s="420"/>
      <c r="O122" s="420"/>
      <c r="P122" s="420"/>
      <c r="Q122" s="420"/>
      <c r="R122" s="420"/>
      <c r="S122" s="420"/>
      <c r="T122" s="420"/>
      <c r="U122" s="420"/>
      <c r="V122" s="420"/>
      <c r="W122" s="420"/>
      <c r="X122" s="420"/>
      <c r="Y122" s="420"/>
      <c r="Z122" s="420"/>
      <c r="AA122" s="420"/>
    </row>
    <row r="123">
      <c r="A123" s="420"/>
      <c r="B123" s="420"/>
      <c r="C123" s="420"/>
      <c r="D123" s="420"/>
      <c r="E123" s="420"/>
      <c r="F123" s="420"/>
      <c r="G123" s="420"/>
      <c r="H123" s="421"/>
      <c r="I123" s="420"/>
      <c r="J123" s="420"/>
      <c r="K123" s="420"/>
      <c r="L123" s="420"/>
      <c r="M123" s="420"/>
      <c r="N123" s="420"/>
      <c r="O123" s="420"/>
      <c r="P123" s="420"/>
      <c r="Q123" s="420"/>
      <c r="R123" s="420"/>
      <c r="S123" s="420"/>
      <c r="T123" s="420"/>
      <c r="U123" s="420"/>
      <c r="V123" s="420"/>
      <c r="W123" s="420"/>
      <c r="X123" s="420"/>
      <c r="Y123" s="420"/>
      <c r="Z123" s="420"/>
      <c r="AA123" s="420"/>
    </row>
    <row r="124">
      <c r="A124" s="420"/>
      <c r="B124" s="420"/>
      <c r="C124" s="420"/>
      <c r="D124" s="420"/>
      <c r="E124" s="420"/>
      <c r="F124" s="420"/>
      <c r="G124" s="420"/>
      <c r="H124" s="421"/>
      <c r="I124" s="420"/>
      <c r="J124" s="420"/>
      <c r="K124" s="420"/>
      <c r="L124" s="420"/>
      <c r="M124" s="420"/>
      <c r="N124" s="420"/>
      <c r="O124" s="420"/>
      <c r="P124" s="420"/>
      <c r="Q124" s="420"/>
      <c r="R124" s="420"/>
      <c r="S124" s="420"/>
      <c r="T124" s="420"/>
      <c r="U124" s="420"/>
      <c r="V124" s="420"/>
      <c r="W124" s="420"/>
      <c r="X124" s="420"/>
      <c r="Y124" s="420"/>
      <c r="Z124" s="420"/>
      <c r="AA124" s="420"/>
    </row>
    <row r="125">
      <c r="A125" s="420"/>
      <c r="B125" s="420"/>
      <c r="C125" s="420"/>
      <c r="D125" s="420"/>
      <c r="E125" s="420"/>
      <c r="F125" s="420"/>
      <c r="G125" s="420"/>
      <c r="H125" s="421"/>
      <c r="I125" s="420"/>
      <c r="J125" s="420"/>
      <c r="K125" s="420"/>
      <c r="L125" s="420"/>
      <c r="M125" s="420"/>
      <c r="N125" s="420"/>
      <c r="O125" s="420"/>
      <c r="P125" s="420"/>
      <c r="Q125" s="420"/>
      <c r="R125" s="420"/>
      <c r="S125" s="420"/>
      <c r="T125" s="420"/>
      <c r="U125" s="420"/>
      <c r="V125" s="420"/>
      <c r="W125" s="420"/>
      <c r="X125" s="420"/>
      <c r="Y125" s="420"/>
      <c r="Z125" s="420"/>
      <c r="AA125" s="420"/>
    </row>
    <row r="126">
      <c r="A126" s="420"/>
      <c r="B126" s="420"/>
      <c r="C126" s="420"/>
      <c r="D126" s="420"/>
      <c r="E126" s="420"/>
      <c r="F126" s="420"/>
      <c r="G126" s="420"/>
      <c r="H126" s="421"/>
      <c r="I126" s="420"/>
      <c r="J126" s="420"/>
      <c r="K126" s="420"/>
      <c r="L126" s="420"/>
      <c r="M126" s="420"/>
      <c r="N126" s="420"/>
      <c r="O126" s="420"/>
      <c r="P126" s="420"/>
      <c r="Q126" s="420"/>
      <c r="R126" s="420"/>
      <c r="S126" s="420"/>
      <c r="T126" s="420"/>
      <c r="U126" s="420"/>
      <c r="V126" s="420"/>
      <c r="W126" s="420"/>
      <c r="X126" s="420"/>
      <c r="Y126" s="420"/>
      <c r="Z126" s="420"/>
      <c r="AA126" s="420"/>
    </row>
    <row r="127">
      <c r="A127" s="420"/>
      <c r="B127" s="420"/>
      <c r="C127" s="420"/>
      <c r="D127" s="420"/>
      <c r="E127" s="420"/>
      <c r="F127" s="420"/>
      <c r="G127" s="420"/>
      <c r="H127" s="421"/>
      <c r="I127" s="420"/>
      <c r="J127" s="420"/>
      <c r="K127" s="420"/>
      <c r="L127" s="420"/>
      <c r="M127" s="420"/>
      <c r="N127" s="420"/>
      <c r="O127" s="420"/>
      <c r="P127" s="420"/>
      <c r="Q127" s="420"/>
      <c r="R127" s="420"/>
      <c r="S127" s="420"/>
      <c r="T127" s="420"/>
      <c r="U127" s="420"/>
      <c r="V127" s="420"/>
      <c r="W127" s="420"/>
      <c r="X127" s="420"/>
      <c r="Y127" s="420"/>
      <c r="Z127" s="420"/>
      <c r="AA127" s="420"/>
    </row>
    <row r="128">
      <c r="A128" s="420"/>
      <c r="B128" s="420"/>
      <c r="C128" s="420"/>
      <c r="D128" s="420"/>
      <c r="E128" s="420"/>
      <c r="F128" s="420"/>
      <c r="G128" s="420"/>
      <c r="H128" s="421"/>
      <c r="I128" s="420"/>
      <c r="J128" s="420"/>
      <c r="K128" s="420"/>
      <c r="L128" s="420"/>
      <c r="M128" s="420"/>
      <c r="N128" s="420"/>
      <c r="O128" s="420"/>
      <c r="P128" s="420"/>
      <c r="Q128" s="420"/>
      <c r="R128" s="420"/>
      <c r="S128" s="420"/>
      <c r="T128" s="420"/>
      <c r="U128" s="420"/>
      <c r="V128" s="420"/>
      <c r="W128" s="420"/>
      <c r="X128" s="420"/>
      <c r="Y128" s="420"/>
      <c r="Z128" s="420"/>
      <c r="AA128" s="420"/>
    </row>
    <row r="129">
      <c r="A129" s="420"/>
      <c r="B129" s="420"/>
      <c r="C129" s="420"/>
      <c r="D129" s="420"/>
      <c r="E129" s="420"/>
      <c r="F129" s="420"/>
      <c r="G129" s="420"/>
      <c r="H129" s="421"/>
      <c r="I129" s="420"/>
      <c r="J129" s="420"/>
      <c r="K129" s="420"/>
      <c r="L129" s="420"/>
      <c r="M129" s="420"/>
      <c r="N129" s="420"/>
      <c r="O129" s="420"/>
      <c r="P129" s="420"/>
      <c r="Q129" s="420"/>
      <c r="R129" s="420"/>
      <c r="S129" s="420"/>
      <c r="T129" s="420"/>
      <c r="U129" s="420"/>
      <c r="V129" s="420"/>
      <c r="W129" s="420"/>
      <c r="X129" s="420"/>
      <c r="Y129" s="420"/>
      <c r="Z129" s="420"/>
      <c r="AA129" s="420"/>
    </row>
    <row r="130">
      <c r="A130" s="420"/>
      <c r="B130" s="420"/>
      <c r="C130" s="420"/>
      <c r="D130" s="420"/>
      <c r="E130" s="420"/>
      <c r="F130" s="420"/>
      <c r="G130" s="420"/>
      <c r="H130" s="421"/>
      <c r="I130" s="420"/>
      <c r="J130" s="420"/>
      <c r="K130" s="420"/>
      <c r="L130" s="420"/>
      <c r="M130" s="420"/>
      <c r="N130" s="420"/>
      <c r="O130" s="420"/>
      <c r="P130" s="420"/>
      <c r="Q130" s="420"/>
      <c r="R130" s="420"/>
      <c r="S130" s="420"/>
      <c r="T130" s="420"/>
      <c r="U130" s="420"/>
      <c r="V130" s="420"/>
      <c r="W130" s="420"/>
      <c r="X130" s="420"/>
      <c r="Y130" s="420"/>
      <c r="Z130" s="420"/>
      <c r="AA130" s="420"/>
    </row>
    <row r="131">
      <c r="A131" s="420"/>
      <c r="B131" s="420"/>
      <c r="C131" s="420"/>
      <c r="D131" s="420"/>
      <c r="E131" s="420"/>
      <c r="F131" s="420"/>
      <c r="G131" s="420"/>
      <c r="H131" s="421"/>
      <c r="I131" s="420"/>
      <c r="J131" s="420"/>
      <c r="K131" s="420"/>
      <c r="L131" s="420"/>
      <c r="M131" s="420"/>
      <c r="N131" s="420"/>
      <c r="O131" s="420"/>
      <c r="P131" s="420"/>
      <c r="Q131" s="420"/>
      <c r="R131" s="420"/>
      <c r="S131" s="420"/>
      <c r="T131" s="420"/>
      <c r="U131" s="420"/>
      <c r="V131" s="420"/>
      <c r="W131" s="420"/>
      <c r="X131" s="420"/>
      <c r="Y131" s="420"/>
      <c r="Z131" s="420"/>
      <c r="AA131" s="420"/>
    </row>
    <row r="132">
      <c r="A132" s="420"/>
      <c r="B132" s="420"/>
      <c r="C132" s="420"/>
      <c r="D132" s="420"/>
      <c r="E132" s="420"/>
      <c r="F132" s="420"/>
      <c r="G132" s="420"/>
      <c r="H132" s="421"/>
      <c r="I132" s="420"/>
      <c r="J132" s="420"/>
      <c r="K132" s="420"/>
      <c r="L132" s="420"/>
      <c r="M132" s="420"/>
      <c r="N132" s="420"/>
      <c r="O132" s="420"/>
      <c r="P132" s="420"/>
      <c r="Q132" s="420"/>
      <c r="R132" s="420"/>
      <c r="S132" s="420"/>
      <c r="T132" s="420"/>
      <c r="U132" s="420"/>
      <c r="V132" s="420"/>
      <c r="W132" s="420"/>
      <c r="X132" s="420"/>
      <c r="Y132" s="420"/>
      <c r="Z132" s="420"/>
      <c r="AA132" s="420"/>
    </row>
    <row r="133">
      <c r="A133" s="420"/>
      <c r="B133" s="420"/>
      <c r="C133" s="420"/>
      <c r="D133" s="420"/>
      <c r="E133" s="420"/>
      <c r="F133" s="420"/>
      <c r="G133" s="420"/>
      <c r="H133" s="421"/>
      <c r="I133" s="420"/>
      <c r="J133" s="420"/>
      <c r="K133" s="420"/>
      <c r="L133" s="420"/>
      <c r="M133" s="420"/>
      <c r="N133" s="420"/>
      <c r="O133" s="420"/>
      <c r="P133" s="420"/>
      <c r="Q133" s="420"/>
      <c r="R133" s="420"/>
      <c r="S133" s="420"/>
      <c r="T133" s="420"/>
      <c r="U133" s="420"/>
      <c r="V133" s="420"/>
      <c r="W133" s="420"/>
      <c r="X133" s="420"/>
      <c r="Y133" s="420"/>
      <c r="Z133" s="420"/>
      <c r="AA133" s="420"/>
    </row>
    <row r="134">
      <c r="A134" s="420"/>
      <c r="B134" s="420"/>
      <c r="C134" s="420"/>
      <c r="D134" s="420"/>
      <c r="E134" s="420"/>
      <c r="F134" s="420"/>
      <c r="G134" s="420"/>
      <c r="H134" s="421"/>
      <c r="I134" s="420"/>
      <c r="J134" s="420"/>
      <c r="K134" s="420"/>
      <c r="L134" s="420"/>
      <c r="M134" s="420"/>
      <c r="N134" s="420"/>
      <c r="O134" s="420"/>
      <c r="P134" s="420"/>
      <c r="Q134" s="420"/>
      <c r="R134" s="420"/>
      <c r="S134" s="420"/>
      <c r="T134" s="420"/>
      <c r="U134" s="420"/>
      <c r="V134" s="420"/>
      <c r="W134" s="420"/>
      <c r="X134" s="420"/>
      <c r="Y134" s="420"/>
      <c r="Z134" s="420"/>
      <c r="AA134" s="420"/>
    </row>
    <row r="135">
      <c r="A135" s="420"/>
      <c r="B135" s="420"/>
      <c r="C135" s="420"/>
      <c r="D135" s="420"/>
      <c r="E135" s="420"/>
      <c r="F135" s="420"/>
      <c r="G135" s="420"/>
      <c r="H135" s="421"/>
      <c r="I135" s="420"/>
      <c r="J135" s="420"/>
      <c r="K135" s="420"/>
      <c r="L135" s="420"/>
      <c r="M135" s="420"/>
      <c r="N135" s="420"/>
      <c r="O135" s="420"/>
      <c r="P135" s="420"/>
      <c r="Q135" s="420"/>
      <c r="R135" s="420"/>
      <c r="S135" s="420"/>
      <c r="T135" s="420"/>
      <c r="U135" s="420"/>
      <c r="V135" s="420"/>
      <c r="W135" s="420"/>
      <c r="X135" s="420"/>
      <c r="Y135" s="420"/>
      <c r="Z135" s="420"/>
      <c r="AA135" s="420"/>
    </row>
    <row r="136">
      <c r="A136" s="420"/>
      <c r="B136" s="420"/>
      <c r="C136" s="420"/>
      <c r="D136" s="420"/>
      <c r="E136" s="420"/>
      <c r="F136" s="420"/>
      <c r="G136" s="420"/>
      <c r="H136" s="421"/>
      <c r="I136" s="420"/>
      <c r="J136" s="420"/>
      <c r="K136" s="420"/>
      <c r="L136" s="420"/>
      <c r="M136" s="420"/>
      <c r="N136" s="420"/>
      <c r="O136" s="420"/>
      <c r="P136" s="420"/>
      <c r="Q136" s="420"/>
      <c r="R136" s="420"/>
      <c r="S136" s="420"/>
      <c r="T136" s="420"/>
      <c r="U136" s="420"/>
      <c r="V136" s="420"/>
      <c r="W136" s="420"/>
      <c r="X136" s="420"/>
      <c r="Y136" s="420"/>
      <c r="Z136" s="420"/>
      <c r="AA136" s="420"/>
    </row>
    <row r="137">
      <c r="A137" s="420"/>
      <c r="B137" s="420"/>
      <c r="C137" s="420"/>
      <c r="D137" s="420"/>
      <c r="E137" s="420"/>
      <c r="F137" s="420"/>
      <c r="G137" s="420"/>
      <c r="H137" s="421"/>
      <c r="I137" s="420"/>
      <c r="J137" s="420"/>
      <c r="K137" s="420"/>
      <c r="L137" s="420"/>
      <c r="M137" s="420"/>
      <c r="N137" s="420"/>
      <c r="O137" s="420"/>
      <c r="P137" s="420"/>
      <c r="Q137" s="420"/>
      <c r="R137" s="420"/>
      <c r="S137" s="420"/>
      <c r="T137" s="420"/>
      <c r="U137" s="420"/>
      <c r="V137" s="420"/>
      <c r="W137" s="420"/>
      <c r="X137" s="420"/>
      <c r="Y137" s="420"/>
      <c r="Z137" s="420"/>
      <c r="AA137" s="420"/>
    </row>
    <row r="138">
      <c r="A138" s="420"/>
      <c r="B138" s="420"/>
      <c r="C138" s="420"/>
      <c r="D138" s="420"/>
      <c r="E138" s="420"/>
      <c r="F138" s="420"/>
      <c r="G138" s="420"/>
      <c r="H138" s="421"/>
      <c r="I138" s="420"/>
      <c r="J138" s="420"/>
      <c r="K138" s="420"/>
      <c r="L138" s="420"/>
      <c r="M138" s="420"/>
      <c r="N138" s="420"/>
      <c r="O138" s="420"/>
      <c r="P138" s="420"/>
      <c r="Q138" s="420"/>
      <c r="R138" s="420"/>
      <c r="S138" s="420"/>
      <c r="T138" s="420"/>
      <c r="U138" s="420"/>
      <c r="V138" s="420"/>
      <c r="W138" s="420"/>
      <c r="X138" s="420"/>
      <c r="Y138" s="420"/>
      <c r="Z138" s="420"/>
      <c r="AA138" s="420"/>
    </row>
    <row r="139">
      <c r="A139" s="420"/>
      <c r="B139" s="420"/>
      <c r="C139" s="420"/>
      <c r="D139" s="420"/>
      <c r="E139" s="420"/>
      <c r="F139" s="420"/>
      <c r="G139" s="420"/>
      <c r="H139" s="421"/>
      <c r="I139" s="420"/>
      <c r="J139" s="420"/>
      <c r="K139" s="420"/>
      <c r="L139" s="420"/>
      <c r="M139" s="420"/>
      <c r="N139" s="420"/>
      <c r="O139" s="420"/>
      <c r="P139" s="420"/>
      <c r="Q139" s="420"/>
      <c r="R139" s="420"/>
      <c r="S139" s="420"/>
      <c r="T139" s="420"/>
      <c r="U139" s="420"/>
      <c r="V139" s="420"/>
      <c r="W139" s="420"/>
      <c r="X139" s="420"/>
      <c r="Y139" s="420"/>
      <c r="Z139" s="420"/>
      <c r="AA139" s="420"/>
    </row>
    <row r="140">
      <c r="A140" s="420"/>
      <c r="B140" s="420"/>
      <c r="C140" s="420"/>
      <c r="D140" s="420"/>
      <c r="E140" s="420"/>
      <c r="F140" s="420"/>
      <c r="G140" s="420"/>
      <c r="H140" s="421"/>
      <c r="I140" s="420"/>
      <c r="J140" s="420"/>
      <c r="K140" s="420"/>
      <c r="L140" s="420"/>
      <c r="M140" s="420"/>
      <c r="N140" s="420"/>
      <c r="O140" s="420"/>
      <c r="P140" s="420"/>
      <c r="Q140" s="420"/>
      <c r="R140" s="420"/>
      <c r="S140" s="420"/>
      <c r="T140" s="420"/>
      <c r="U140" s="420"/>
      <c r="V140" s="420"/>
      <c r="W140" s="420"/>
      <c r="X140" s="420"/>
      <c r="Y140" s="420"/>
      <c r="Z140" s="420"/>
      <c r="AA140" s="420"/>
    </row>
    <row r="141">
      <c r="A141" s="420"/>
      <c r="B141" s="420"/>
      <c r="C141" s="420"/>
      <c r="D141" s="420"/>
      <c r="E141" s="420"/>
      <c r="F141" s="420"/>
      <c r="G141" s="420"/>
      <c r="H141" s="421"/>
      <c r="I141" s="420"/>
      <c r="J141" s="420"/>
      <c r="K141" s="420"/>
      <c r="L141" s="420"/>
      <c r="M141" s="420"/>
      <c r="N141" s="420"/>
      <c r="O141" s="420"/>
      <c r="P141" s="420"/>
      <c r="Q141" s="420"/>
      <c r="R141" s="420"/>
      <c r="S141" s="420"/>
      <c r="T141" s="420"/>
      <c r="U141" s="420"/>
      <c r="V141" s="420"/>
      <c r="W141" s="420"/>
      <c r="X141" s="420"/>
      <c r="Y141" s="420"/>
      <c r="Z141" s="420"/>
      <c r="AA141" s="420"/>
    </row>
    <row r="142">
      <c r="A142" s="420"/>
      <c r="B142" s="420"/>
      <c r="C142" s="420"/>
      <c r="D142" s="420"/>
      <c r="E142" s="420"/>
      <c r="F142" s="420"/>
      <c r="G142" s="420"/>
      <c r="H142" s="421"/>
      <c r="I142" s="420"/>
      <c r="J142" s="420"/>
      <c r="K142" s="420"/>
      <c r="L142" s="420"/>
      <c r="M142" s="420"/>
      <c r="N142" s="420"/>
      <c r="O142" s="420"/>
      <c r="P142" s="420"/>
      <c r="Q142" s="420"/>
      <c r="R142" s="420"/>
      <c r="S142" s="420"/>
      <c r="T142" s="420"/>
      <c r="U142" s="420"/>
      <c r="V142" s="420"/>
      <c r="W142" s="420"/>
      <c r="X142" s="420"/>
      <c r="Y142" s="420"/>
      <c r="Z142" s="420"/>
      <c r="AA142" s="420"/>
    </row>
    <row r="143">
      <c r="A143" s="420"/>
      <c r="B143" s="420"/>
      <c r="C143" s="420"/>
      <c r="D143" s="420"/>
      <c r="E143" s="420"/>
      <c r="F143" s="420"/>
      <c r="G143" s="420"/>
      <c r="H143" s="421"/>
      <c r="I143" s="420"/>
      <c r="J143" s="420"/>
      <c r="K143" s="420"/>
      <c r="L143" s="420"/>
      <c r="M143" s="420"/>
      <c r="N143" s="420"/>
      <c r="O143" s="420"/>
      <c r="P143" s="420"/>
      <c r="Q143" s="420"/>
      <c r="R143" s="420"/>
      <c r="S143" s="420"/>
      <c r="T143" s="420"/>
      <c r="U143" s="420"/>
      <c r="V143" s="420"/>
      <c r="W143" s="420"/>
      <c r="X143" s="420"/>
      <c r="Y143" s="420"/>
      <c r="Z143" s="420"/>
      <c r="AA143" s="420"/>
    </row>
    <row r="144">
      <c r="A144" s="420"/>
      <c r="B144" s="420"/>
      <c r="C144" s="420"/>
      <c r="D144" s="420"/>
      <c r="E144" s="420"/>
      <c r="F144" s="420"/>
      <c r="G144" s="420"/>
      <c r="H144" s="421"/>
      <c r="I144" s="420"/>
      <c r="J144" s="420"/>
      <c r="K144" s="420"/>
      <c r="L144" s="420"/>
      <c r="M144" s="420"/>
      <c r="N144" s="420"/>
      <c r="O144" s="420"/>
      <c r="P144" s="420"/>
      <c r="Q144" s="420"/>
      <c r="R144" s="420"/>
      <c r="S144" s="420"/>
      <c r="T144" s="420"/>
      <c r="U144" s="420"/>
      <c r="V144" s="420"/>
      <c r="W144" s="420"/>
      <c r="X144" s="420"/>
      <c r="Y144" s="420"/>
      <c r="Z144" s="420"/>
      <c r="AA144" s="420"/>
    </row>
    <row r="145">
      <c r="A145" s="420"/>
      <c r="B145" s="420"/>
      <c r="C145" s="420"/>
      <c r="D145" s="420"/>
      <c r="E145" s="420"/>
      <c r="F145" s="420"/>
      <c r="G145" s="420"/>
      <c r="H145" s="421"/>
      <c r="I145" s="420"/>
      <c r="J145" s="420"/>
      <c r="K145" s="420"/>
      <c r="L145" s="420"/>
      <c r="M145" s="420"/>
      <c r="N145" s="420"/>
      <c r="O145" s="420"/>
      <c r="P145" s="420"/>
      <c r="Q145" s="420"/>
      <c r="R145" s="420"/>
      <c r="S145" s="420"/>
      <c r="T145" s="420"/>
      <c r="U145" s="420"/>
      <c r="V145" s="420"/>
      <c r="W145" s="420"/>
      <c r="X145" s="420"/>
      <c r="Y145" s="420"/>
      <c r="Z145" s="420"/>
      <c r="AA145" s="420"/>
    </row>
    <row r="146">
      <c r="A146" s="420"/>
      <c r="B146" s="420"/>
      <c r="C146" s="420"/>
      <c r="D146" s="420"/>
      <c r="E146" s="420"/>
      <c r="F146" s="420"/>
      <c r="G146" s="420"/>
      <c r="H146" s="421"/>
      <c r="I146" s="420"/>
      <c r="J146" s="420"/>
      <c r="K146" s="420"/>
      <c r="L146" s="420"/>
      <c r="M146" s="420"/>
      <c r="N146" s="420"/>
      <c r="O146" s="420"/>
      <c r="P146" s="420"/>
      <c r="Q146" s="420"/>
      <c r="R146" s="420"/>
      <c r="S146" s="420"/>
      <c r="T146" s="420"/>
      <c r="U146" s="420"/>
      <c r="V146" s="420"/>
      <c r="W146" s="420"/>
      <c r="X146" s="420"/>
      <c r="Y146" s="420"/>
      <c r="Z146" s="420"/>
      <c r="AA146" s="420"/>
    </row>
    <row r="147">
      <c r="A147" s="420"/>
      <c r="B147" s="420"/>
      <c r="C147" s="420"/>
      <c r="D147" s="420"/>
      <c r="E147" s="420"/>
      <c r="F147" s="420"/>
      <c r="G147" s="420"/>
      <c r="H147" s="421"/>
      <c r="I147" s="420"/>
      <c r="J147" s="420"/>
      <c r="K147" s="420"/>
      <c r="L147" s="420"/>
      <c r="M147" s="420"/>
      <c r="N147" s="420"/>
      <c r="O147" s="420"/>
      <c r="P147" s="420"/>
      <c r="Q147" s="420"/>
      <c r="R147" s="420"/>
      <c r="S147" s="420"/>
      <c r="T147" s="420"/>
      <c r="U147" s="420"/>
      <c r="V147" s="420"/>
      <c r="W147" s="420"/>
      <c r="X147" s="420"/>
      <c r="Y147" s="420"/>
      <c r="Z147" s="420"/>
      <c r="AA147" s="420"/>
    </row>
    <row r="148">
      <c r="A148" s="420"/>
      <c r="B148" s="420"/>
      <c r="C148" s="420"/>
      <c r="D148" s="420"/>
      <c r="E148" s="420"/>
      <c r="F148" s="420"/>
      <c r="G148" s="420"/>
      <c r="H148" s="421"/>
      <c r="I148" s="420"/>
      <c r="J148" s="420"/>
      <c r="K148" s="420"/>
      <c r="L148" s="420"/>
      <c r="M148" s="420"/>
      <c r="N148" s="420"/>
      <c r="O148" s="420"/>
      <c r="P148" s="420"/>
      <c r="Q148" s="420"/>
      <c r="R148" s="420"/>
      <c r="S148" s="420"/>
      <c r="T148" s="420"/>
      <c r="U148" s="420"/>
      <c r="V148" s="420"/>
      <c r="W148" s="420"/>
      <c r="X148" s="420"/>
      <c r="Y148" s="420"/>
      <c r="Z148" s="420"/>
      <c r="AA148" s="420"/>
    </row>
    <row r="149">
      <c r="A149" s="420"/>
      <c r="B149" s="420"/>
      <c r="C149" s="420"/>
      <c r="D149" s="420"/>
      <c r="E149" s="420"/>
      <c r="F149" s="420"/>
      <c r="G149" s="420"/>
      <c r="H149" s="421"/>
      <c r="I149" s="420"/>
      <c r="J149" s="420"/>
      <c r="K149" s="420"/>
      <c r="L149" s="420"/>
      <c r="M149" s="420"/>
      <c r="N149" s="420"/>
      <c r="O149" s="420"/>
      <c r="P149" s="420"/>
      <c r="Q149" s="420"/>
      <c r="R149" s="420"/>
      <c r="S149" s="420"/>
      <c r="T149" s="420"/>
      <c r="U149" s="420"/>
      <c r="V149" s="420"/>
      <c r="W149" s="420"/>
      <c r="X149" s="420"/>
      <c r="Y149" s="420"/>
      <c r="Z149" s="420"/>
      <c r="AA149" s="420"/>
    </row>
    <row r="150">
      <c r="A150" s="420"/>
      <c r="B150" s="420"/>
      <c r="C150" s="420"/>
      <c r="D150" s="420"/>
      <c r="E150" s="420"/>
      <c r="F150" s="420"/>
      <c r="G150" s="420"/>
      <c r="H150" s="421"/>
      <c r="I150" s="420"/>
      <c r="J150" s="420"/>
      <c r="K150" s="420"/>
      <c r="L150" s="420"/>
      <c r="M150" s="420"/>
      <c r="N150" s="420"/>
      <c r="O150" s="420"/>
      <c r="P150" s="420"/>
      <c r="Q150" s="420"/>
      <c r="R150" s="420"/>
      <c r="S150" s="420"/>
      <c r="T150" s="420"/>
      <c r="U150" s="420"/>
      <c r="V150" s="420"/>
      <c r="W150" s="420"/>
      <c r="X150" s="420"/>
      <c r="Y150" s="420"/>
      <c r="Z150" s="420"/>
      <c r="AA150" s="420"/>
    </row>
    <row r="151">
      <c r="A151" s="420"/>
      <c r="B151" s="420"/>
      <c r="C151" s="420"/>
      <c r="D151" s="420"/>
      <c r="E151" s="420"/>
      <c r="F151" s="420"/>
      <c r="G151" s="420"/>
      <c r="H151" s="421"/>
      <c r="I151" s="420"/>
      <c r="J151" s="420"/>
      <c r="K151" s="420"/>
      <c r="L151" s="420"/>
      <c r="M151" s="420"/>
      <c r="N151" s="420"/>
      <c r="O151" s="420"/>
      <c r="P151" s="420"/>
      <c r="Q151" s="420"/>
      <c r="R151" s="420"/>
      <c r="S151" s="420"/>
      <c r="T151" s="420"/>
      <c r="U151" s="420"/>
      <c r="V151" s="420"/>
      <c r="W151" s="420"/>
      <c r="X151" s="420"/>
      <c r="Y151" s="420"/>
      <c r="Z151" s="420"/>
      <c r="AA151" s="420"/>
    </row>
    <row r="152">
      <c r="A152" s="420"/>
      <c r="B152" s="420"/>
      <c r="C152" s="420"/>
      <c r="D152" s="420"/>
      <c r="E152" s="420"/>
      <c r="F152" s="420"/>
      <c r="G152" s="420"/>
      <c r="H152" s="421"/>
      <c r="I152" s="420"/>
      <c r="J152" s="420"/>
      <c r="K152" s="420"/>
      <c r="L152" s="420"/>
      <c r="M152" s="420"/>
      <c r="N152" s="420"/>
      <c r="O152" s="420"/>
      <c r="P152" s="420"/>
      <c r="Q152" s="420"/>
      <c r="R152" s="420"/>
      <c r="S152" s="420"/>
      <c r="T152" s="420"/>
      <c r="U152" s="420"/>
      <c r="V152" s="420"/>
      <c r="W152" s="420"/>
      <c r="X152" s="420"/>
      <c r="Y152" s="420"/>
      <c r="Z152" s="420"/>
      <c r="AA152" s="420"/>
    </row>
    <row r="153">
      <c r="A153" s="420"/>
      <c r="B153" s="420"/>
      <c r="C153" s="420"/>
      <c r="D153" s="420"/>
      <c r="E153" s="420"/>
      <c r="F153" s="420"/>
      <c r="G153" s="420"/>
      <c r="H153" s="421"/>
      <c r="I153" s="420"/>
      <c r="J153" s="420"/>
      <c r="K153" s="420"/>
      <c r="L153" s="420"/>
      <c r="M153" s="420"/>
      <c r="N153" s="420"/>
      <c r="O153" s="420"/>
      <c r="P153" s="420"/>
      <c r="Q153" s="420"/>
      <c r="R153" s="420"/>
      <c r="S153" s="420"/>
      <c r="T153" s="420"/>
      <c r="U153" s="420"/>
      <c r="V153" s="420"/>
      <c r="W153" s="420"/>
      <c r="X153" s="420"/>
      <c r="Y153" s="420"/>
      <c r="Z153" s="420"/>
      <c r="AA153" s="420"/>
    </row>
    <row r="154">
      <c r="A154" s="420"/>
      <c r="B154" s="420"/>
      <c r="C154" s="420"/>
      <c r="D154" s="420"/>
      <c r="E154" s="420"/>
      <c r="F154" s="420"/>
      <c r="G154" s="420"/>
      <c r="H154" s="421"/>
      <c r="I154" s="420"/>
      <c r="J154" s="420"/>
      <c r="K154" s="420"/>
      <c r="L154" s="420"/>
      <c r="M154" s="420"/>
      <c r="N154" s="420"/>
      <c r="O154" s="420"/>
      <c r="P154" s="420"/>
      <c r="Q154" s="420"/>
      <c r="R154" s="420"/>
      <c r="S154" s="420"/>
      <c r="T154" s="420"/>
      <c r="U154" s="420"/>
      <c r="V154" s="420"/>
      <c r="W154" s="420"/>
      <c r="X154" s="420"/>
      <c r="Y154" s="420"/>
      <c r="Z154" s="420"/>
      <c r="AA154" s="420"/>
    </row>
    <row r="155">
      <c r="A155" s="420"/>
      <c r="B155" s="420"/>
      <c r="C155" s="420"/>
      <c r="D155" s="420"/>
      <c r="E155" s="420"/>
      <c r="F155" s="420"/>
      <c r="G155" s="420"/>
      <c r="H155" s="421"/>
      <c r="I155" s="420"/>
      <c r="J155" s="420"/>
      <c r="K155" s="420"/>
      <c r="L155" s="420"/>
      <c r="M155" s="420"/>
      <c r="N155" s="420"/>
      <c r="O155" s="420"/>
      <c r="P155" s="420"/>
      <c r="Q155" s="420"/>
      <c r="R155" s="420"/>
      <c r="S155" s="420"/>
      <c r="T155" s="420"/>
      <c r="U155" s="420"/>
      <c r="V155" s="420"/>
      <c r="W155" s="420"/>
      <c r="X155" s="420"/>
      <c r="Y155" s="420"/>
      <c r="Z155" s="420"/>
      <c r="AA155" s="420"/>
    </row>
    <row r="156">
      <c r="A156" s="420"/>
      <c r="B156" s="420"/>
      <c r="C156" s="420"/>
      <c r="D156" s="420"/>
      <c r="E156" s="420"/>
      <c r="F156" s="420"/>
      <c r="G156" s="420"/>
      <c r="H156" s="421"/>
      <c r="I156" s="420"/>
      <c r="J156" s="420"/>
      <c r="K156" s="420"/>
      <c r="L156" s="420"/>
      <c r="M156" s="420"/>
      <c r="N156" s="420"/>
      <c r="O156" s="420"/>
      <c r="P156" s="420"/>
      <c r="Q156" s="420"/>
      <c r="R156" s="420"/>
      <c r="S156" s="420"/>
      <c r="T156" s="420"/>
      <c r="U156" s="420"/>
      <c r="V156" s="420"/>
      <c r="W156" s="420"/>
      <c r="X156" s="420"/>
      <c r="Y156" s="420"/>
      <c r="Z156" s="420"/>
      <c r="AA156" s="420"/>
    </row>
    <row r="157">
      <c r="A157" s="420"/>
      <c r="B157" s="420"/>
      <c r="C157" s="420"/>
      <c r="D157" s="420"/>
      <c r="E157" s="420"/>
      <c r="F157" s="420"/>
      <c r="G157" s="420"/>
      <c r="H157" s="421"/>
      <c r="I157" s="420"/>
      <c r="J157" s="420"/>
      <c r="K157" s="420"/>
      <c r="L157" s="420"/>
      <c r="M157" s="420"/>
      <c r="N157" s="420"/>
      <c r="O157" s="420"/>
      <c r="P157" s="420"/>
      <c r="Q157" s="420"/>
      <c r="R157" s="420"/>
      <c r="S157" s="420"/>
      <c r="T157" s="420"/>
      <c r="U157" s="420"/>
      <c r="V157" s="420"/>
      <c r="W157" s="420"/>
      <c r="X157" s="420"/>
      <c r="Y157" s="420"/>
      <c r="Z157" s="420"/>
      <c r="AA157" s="420"/>
    </row>
    <row r="158">
      <c r="A158" s="420"/>
      <c r="B158" s="420"/>
      <c r="C158" s="420"/>
      <c r="D158" s="420"/>
      <c r="E158" s="420"/>
      <c r="F158" s="420"/>
      <c r="G158" s="420"/>
      <c r="H158" s="421"/>
      <c r="I158" s="420"/>
      <c r="J158" s="420"/>
      <c r="K158" s="420"/>
      <c r="L158" s="420"/>
      <c r="M158" s="420"/>
      <c r="N158" s="420"/>
      <c r="O158" s="420"/>
      <c r="P158" s="420"/>
      <c r="Q158" s="420"/>
      <c r="R158" s="420"/>
      <c r="S158" s="420"/>
      <c r="T158" s="420"/>
      <c r="U158" s="420"/>
      <c r="V158" s="420"/>
      <c r="W158" s="420"/>
      <c r="X158" s="420"/>
      <c r="Y158" s="420"/>
      <c r="Z158" s="420"/>
      <c r="AA158" s="420"/>
    </row>
    <row r="159">
      <c r="A159" s="420"/>
      <c r="B159" s="420"/>
      <c r="C159" s="420"/>
      <c r="D159" s="420"/>
      <c r="E159" s="420"/>
      <c r="F159" s="420"/>
      <c r="G159" s="420"/>
      <c r="H159" s="421"/>
      <c r="I159" s="420"/>
      <c r="J159" s="420"/>
      <c r="K159" s="420"/>
      <c r="L159" s="420"/>
      <c r="M159" s="420"/>
      <c r="N159" s="420"/>
      <c r="O159" s="420"/>
      <c r="P159" s="420"/>
      <c r="Q159" s="420"/>
      <c r="R159" s="420"/>
      <c r="S159" s="420"/>
      <c r="T159" s="420"/>
      <c r="U159" s="420"/>
      <c r="V159" s="420"/>
      <c r="W159" s="420"/>
      <c r="X159" s="420"/>
      <c r="Y159" s="420"/>
      <c r="Z159" s="420"/>
      <c r="AA159" s="420"/>
    </row>
    <row r="160">
      <c r="A160" s="420"/>
      <c r="B160" s="420"/>
      <c r="C160" s="420"/>
      <c r="D160" s="420"/>
      <c r="E160" s="420"/>
      <c r="F160" s="420"/>
      <c r="G160" s="420"/>
      <c r="H160" s="421"/>
      <c r="I160" s="420"/>
      <c r="J160" s="420"/>
      <c r="K160" s="420"/>
      <c r="L160" s="420"/>
      <c r="M160" s="420"/>
      <c r="N160" s="420"/>
      <c r="O160" s="420"/>
      <c r="P160" s="420"/>
      <c r="Q160" s="420"/>
      <c r="R160" s="420"/>
      <c r="S160" s="420"/>
      <c r="T160" s="420"/>
      <c r="U160" s="420"/>
      <c r="V160" s="420"/>
      <c r="W160" s="420"/>
      <c r="X160" s="420"/>
      <c r="Y160" s="420"/>
      <c r="Z160" s="420"/>
      <c r="AA160" s="420"/>
    </row>
    <row r="161">
      <c r="A161" s="420"/>
      <c r="B161" s="420"/>
      <c r="C161" s="420"/>
      <c r="D161" s="420"/>
      <c r="E161" s="420"/>
      <c r="F161" s="420"/>
      <c r="G161" s="420"/>
      <c r="H161" s="421"/>
      <c r="I161" s="420"/>
      <c r="J161" s="420"/>
      <c r="K161" s="420"/>
      <c r="L161" s="420"/>
      <c r="M161" s="420"/>
      <c r="N161" s="420"/>
      <c r="O161" s="420"/>
      <c r="P161" s="420"/>
      <c r="Q161" s="420"/>
      <c r="R161" s="420"/>
      <c r="S161" s="420"/>
      <c r="T161" s="420"/>
      <c r="U161" s="420"/>
      <c r="V161" s="420"/>
      <c r="W161" s="420"/>
      <c r="X161" s="420"/>
      <c r="Y161" s="420"/>
      <c r="Z161" s="420"/>
      <c r="AA161" s="420"/>
    </row>
    <row r="162">
      <c r="A162" s="420"/>
      <c r="B162" s="420"/>
      <c r="C162" s="420"/>
      <c r="D162" s="420"/>
      <c r="E162" s="420"/>
      <c r="F162" s="420"/>
      <c r="G162" s="420"/>
      <c r="H162" s="421"/>
      <c r="I162" s="420"/>
      <c r="J162" s="420"/>
      <c r="K162" s="420"/>
      <c r="L162" s="420"/>
      <c r="M162" s="420"/>
      <c r="N162" s="420"/>
      <c r="O162" s="420"/>
      <c r="P162" s="420"/>
      <c r="Q162" s="420"/>
      <c r="R162" s="420"/>
      <c r="S162" s="420"/>
      <c r="T162" s="420"/>
      <c r="U162" s="420"/>
      <c r="V162" s="420"/>
      <c r="W162" s="420"/>
      <c r="X162" s="420"/>
      <c r="Y162" s="420"/>
      <c r="Z162" s="420"/>
      <c r="AA162" s="420"/>
    </row>
    <row r="163">
      <c r="A163" s="420"/>
      <c r="B163" s="420"/>
      <c r="C163" s="420"/>
      <c r="D163" s="420"/>
      <c r="E163" s="420"/>
      <c r="F163" s="420"/>
      <c r="G163" s="420"/>
      <c r="H163" s="421"/>
      <c r="I163" s="420"/>
      <c r="J163" s="420"/>
      <c r="K163" s="420"/>
      <c r="L163" s="420"/>
      <c r="M163" s="420"/>
      <c r="N163" s="420"/>
      <c r="O163" s="420"/>
      <c r="P163" s="420"/>
      <c r="Q163" s="420"/>
      <c r="R163" s="420"/>
      <c r="S163" s="420"/>
      <c r="T163" s="420"/>
      <c r="U163" s="420"/>
      <c r="V163" s="420"/>
      <c r="W163" s="420"/>
      <c r="X163" s="420"/>
      <c r="Y163" s="420"/>
      <c r="Z163" s="420"/>
      <c r="AA163" s="420"/>
    </row>
    <row r="164">
      <c r="A164" s="420"/>
      <c r="B164" s="420"/>
      <c r="C164" s="420"/>
      <c r="D164" s="420"/>
      <c r="E164" s="420"/>
      <c r="F164" s="420"/>
      <c r="G164" s="420"/>
      <c r="H164" s="421"/>
      <c r="I164" s="420"/>
      <c r="J164" s="420"/>
      <c r="K164" s="420"/>
      <c r="L164" s="420"/>
      <c r="M164" s="420"/>
      <c r="N164" s="420"/>
      <c r="O164" s="420"/>
      <c r="P164" s="420"/>
      <c r="Q164" s="420"/>
      <c r="R164" s="420"/>
      <c r="S164" s="420"/>
      <c r="T164" s="420"/>
      <c r="U164" s="420"/>
      <c r="V164" s="420"/>
      <c r="W164" s="420"/>
      <c r="X164" s="420"/>
      <c r="Y164" s="420"/>
      <c r="Z164" s="420"/>
      <c r="AA164" s="420"/>
    </row>
    <row r="165">
      <c r="A165" s="420"/>
      <c r="B165" s="420"/>
      <c r="C165" s="420"/>
      <c r="D165" s="420"/>
      <c r="E165" s="420"/>
      <c r="F165" s="420"/>
      <c r="G165" s="420"/>
      <c r="H165" s="421"/>
      <c r="I165" s="420"/>
      <c r="J165" s="420"/>
      <c r="K165" s="420"/>
      <c r="L165" s="420"/>
      <c r="M165" s="420"/>
      <c r="N165" s="420"/>
      <c r="O165" s="420"/>
      <c r="P165" s="420"/>
      <c r="Q165" s="420"/>
      <c r="R165" s="420"/>
      <c r="S165" s="420"/>
      <c r="T165" s="420"/>
      <c r="U165" s="420"/>
      <c r="V165" s="420"/>
      <c r="W165" s="420"/>
      <c r="X165" s="420"/>
      <c r="Y165" s="420"/>
      <c r="Z165" s="420"/>
      <c r="AA165" s="420"/>
    </row>
    <row r="166">
      <c r="A166" s="420"/>
      <c r="B166" s="420"/>
      <c r="C166" s="420"/>
      <c r="D166" s="420"/>
      <c r="E166" s="420"/>
      <c r="F166" s="420"/>
      <c r="G166" s="420"/>
      <c r="H166" s="421"/>
      <c r="I166" s="420"/>
      <c r="J166" s="420"/>
      <c r="K166" s="420"/>
      <c r="L166" s="420"/>
      <c r="M166" s="420"/>
      <c r="N166" s="420"/>
      <c r="O166" s="420"/>
      <c r="P166" s="420"/>
      <c r="Q166" s="420"/>
      <c r="R166" s="420"/>
      <c r="S166" s="420"/>
      <c r="T166" s="420"/>
      <c r="U166" s="420"/>
      <c r="V166" s="420"/>
      <c r="W166" s="420"/>
      <c r="X166" s="420"/>
      <c r="Y166" s="420"/>
      <c r="Z166" s="420"/>
      <c r="AA166" s="420"/>
    </row>
    <row r="167">
      <c r="A167" s="420"/>
      <c r="B167" s="420"/>
      <c r="C167" s="420"/>
      <c r="D167" s="420"/>
      <c r="E167" s="420"/>
      <c r="F167" s="420"/>
      <c r="G167" s="420"/>
      <c r="H167" s="421"/>
      <c r="I167" s="420"/>
      <c r="J167" s="420"/>
      <c r="K167" s="420"/>
      <c r="L167" s="420"/>
      <c r="M167" s="420"/>
      <c r="N167" s="420"/>
      <c r="O167" s="420"/>
      <c r="P167" s="420"/>
      <c r="Q167" s="420"/>
      <c r="R167" s="420"/>
      <c r="S167" s="420"/>
      <c r="T167" s="420"/>
      <c r="U167" s="420"/>
      <c r="V167" s="420"/>
      <c r="W167" s="420"/>
      <c r="X167" s="420"/>
      <c r="Y167" s="420"/>
      <c r="Z167" s="420"/>
      <c r="AA167" s="420"/>
    </row>
    <row r="168">
      <c r="A168" s="420"/>
      <c r="B168" s="420"/>
      <c r="C168" s="420"/>
      <c r="D168" s="420"/>
      <c r="E168" s="420"/>
      <c r="F168" s="420"/>
      <c r="G168" s="420"/>
      <c r="H168" s="421"/>
      <c r="I168" s="420"/>
      <c r="J168" s="420"/>
      <c r="K168" s="420"/>
      <c r="L168" s="420"/>
      <c r="M168" s="420"/>
      <c r="N168" s="420"/>
      <c r="O168" s="420"/>
      <c r="P168" s="420"/>
      <c r="Q168" s="420"/>
      <c r="R168" s="420"/>
      <c r="S168" s="420"/>
      <c r="T168" s="420"/>
      <c r="U168" s="420"/>
      <c r="V168" s="420"/>
      <c r="W168" s="420"/>
      <c r="X168" s="420"/>
      <c r="Y168" s="420"/>
      <c r="Z168" s="420"/>
      <c r="AA168" s="420"/>
    </row>
    <row r="169">
      <c r="A169" s="420"/>
      <c r="B169" s="420"/>
      <c r="C169" s="420"/>
      <c r="D169" s="420"/>
      <c r="E169" s="420"/>
      <c r="F169" s="420"/>
      <c r="G169" s="420"/>
      <c r="H169" s="421"/>
      <c r="I169" s="420"/>
      <c r="J169" s="420"/>
      <c r="K169" s="420"/>
      <c r="L169" s="420"/>
      <c r="M169" s="420"/>
      <c r="N169" s="420"/>
      <c r="O169" s="420"/>
      <c r="P169" s="420"/>
      <c r="Q169" s="420"/>
      <c r="R169" s="420"/>
      <c r="S169" s="420"/>
      <c r="T169" s="420"/>
      <c r="U169" s="420"/>
      <c r="V169" s="420"/>
      <c r="W169" s="420"/>
      <c r="X169" s="420"/>
      <c r="Y169" s="420"/>
      <c r="Z169" s="420"/>
      <c r="AA169" s="420"/>
    </row>
    <row r="170">
      <c r="A170" s="420"/>
      <c r="B170" s="420"/>
      <c r="C170" s="420"/>
      <c r="D170" s="420"/>
      <c r="E170" s="420"/>
      <c r="F170" s="420"/>
      <c r="G170" s="420"/>
      <c r="H170" s="421"/>
      <c r="I170" s="420"/>
      <c r="J170" s="420"/>
      <c r="K170" s="420"/>
      <c r="L170" s="420"/>
      <c r="M170" s="420"/>
      <c r="N170" s="420"/>
      <c r="O170" s="420"/>
      <c r="P170" s="420"/>
      <c r="Q170" s="420"/>
      <c r="R170" s="420"/>
      <c r="S170" s="420"/>
      <c r="T170" s="420"/>
      <c r="U170" s="420"/>
      <c r="V170" s="420"/>
      <c r="W170" s="420"/>
      <c r="X170" s="420"/>
      <c r="Y170" s="420"/>
      <c r="Z170" s="420"/>
      <c r="AA170" s="420"/>
    </row>
    <row r="171">
      <c r="A171" s="420"/>
      <c r="B171" s="420"/>
      <c r="C171" s="420"/>
      <c r="D171" s="420"/>
      <c r="E171" s="420"/>
      <c r="F171" s="420"/>
      <c r="G171" s="420"/>
      <c r="H171" s="421"/>
      <c r="I171" s="420"/>
      <c r="J171" s="420"/>
      <c r="K171" s="420"/>
      <c r="L171" s="420"/>
      <c r="M171" s="420"/>
      <c r="N171" s="420"/>
      <c r="O171" s="420"/>
      <c r="P171" s="420"/>
      <c r="Q171" s="420"/>
      <c r="R171" s="420"/>
      <c r="S171" s="420"/>
      <c r="T171" s="420"/>
      <c r="U171" s="420"/>
      <c r="V171" s="420"/>
      <c r="W171" s="420"/>
      <c r="X171" s="420"/>
      <c r="Y171" s="420"/>
      <c r="Z171" s="420"/>
      <c r="AA171" s="420"/>
    </row>
    <row r="172">
      <c r="A172" s="420"/>
      <c r="B172" s="420"/>
      <c r="C172" s="420"/>
      <c r="D172" s="420"/>
      <c r="E172" s="420"/>
      <c r="F172" s="420"/>
      <c r="G172" s="420"/>
      <c r="H172" s="421"/>
      <c r="I172" s="420"/>
      <c r="J172" s="420"/>
      <c r="K172" s="420"/>
      <c r="L172" s="420"/>
      <c r="M172" s="420"/>
      <c r="N172" s="420"/>
      <c r="O172" s="420"/>
      <c r="P172" s="420"/>
      <c r="Q172" s="420"/>
      <c r="R172" s="420"/>
      <c r="S172" s="420"/>
      <c r="T172" s="420"/>
      <c r="U172" s="420"/>
      <c r="V172" s="420"/>
      <c r="W172" s="420"/>
      <c r="X172" s="420"/>
      <c r="Y172" s="420"/>
      <c r="Z172" s="420"/>
      <c r="AA172" s="420"/>
    </row>
    <row r="173">
      <c r="A173" s="420"/>
      <c r="B173" s="420"/>
      <c r="C173" s="420"/>
      <c r="D173" s="420"/>
      <c r="E173" s="420"/>
      <c r="F173" s="420"/>
      <c r="G173" s="420"/>
      <c r="H173" s="421"/>
      <c r="I173" s="420"/>
      <c r="J173" s="420"/>
      <c r="K173" s="420"/>
      <c r="L173" s="420"/>
      <c r="M173" s="420"/>
      <c r="N173" s="420"/>
      <c r="O173" s="420"/>
      <c r="P173" s="420"/>
      <c r="Q173" s="420"/>
      <c r="R173" s="420"/>
      <c r="S173" s="420"/>
      <c r="T173" s="420"/>
      <c r="U173" s="420"/>
      <c r="V173" s="420"/>
      <c r="W173" s="420"/>
      <c r="X173" s="420"/>
      <c r="Y173" s="420"/>
      <c r="Z173" s="420"/>
      <c r="AA173" s="420"/>
    </row>
    <row r="174">
      <c r="A174" s="420"/>
      <c r="B174" s="420"/>
      <c r="C174" s="420"/>
      <c r="D174" s="420"/>
      <c r="E174" s="420"/>
      <c r="F174" s="420"/>
      <c r="G174" s="420"/>
      <c r="H174" s="421"/>
      <c r="I174" s="420"/>
      <c r="J174" s="420"/>
      <c r="K174" s="420"/>
      <c r="L174" s="420"/>
      <c r="M174" s="420"/>
      <c r="N174" s="420"/>
      <c r="O174" s="420"/>
      <c r="P174" s="420"/>
      <c r="Q174" s="420"/>
      <c r="R174" s="420"/>
      <c r="S174" s="420"/>
      <c r="T174" s="420"/>
      <c r="U174" s="420"/>
      <c r="V174" s="420"/>
      <c r="W174" s="420"/>
      <c r="X174" s="420"/>
      <c r="Y174" s="420"/>
      <c r="Z174" s="420"/>
      <c r="AA174" s="420"/>
    </row>
    <row r="175">
      <c r="A175" s="420"/>
      <c r="B175" s="420"/>
      <c r="C175" s="420"/>
      <c r="D175" s="420"/>
      <c r="E175" s="420"/>
      <c r="F175" s="420"/>
      <c r="G175" s="420"/>
      <c r="H175" s="421"/>
      <c r="I175" s="420"/>
      <c r="J175" s="420"/>
      <c r="K175" s="420"/>
      <c r="L175" s="420"/>
      <c r="M175" s="420"/>
      <c r="N175" s="420"/>
      <c r="O175" s="420"/>
      <c r="P175" s="420"/>
      <c r="Q175" s="420"/>
      <c r="R175" s="420"/>
      <c r="S175" s="420"/>
      <c r="T175" s="420"/>
      <c r="U175" s="420"/>
      <c r="V175" s="420"/>
      <c r="W175" s="420"/>
      <c r="X175" s="420"/>
      <c r="Y175" s="420"/>
      <c r="Z175" s="420"/>
      <c r="AA175" s="420"/>
    </row>
    <row r="176">
      <c r="A176" s="420"/>
      <c r="B176" s="420"/>
      <c r="C176" s="420"/>
      <c r="D176" s="420"/>
      <c r="E176" s="420"/>
      <c r="F176" s="420"/>
      <c r="G176" s="420"/>
      <c r="H176" s="421"/>
      <c r="I176" s="420"/>
      <c r="J176" s="420"/>
      <c r="K176" s="420"/>
      <c r="L176" s="420"/>
      <c r="M176" s="420"/>
      <c r="N176" s="420"/>
      <c r="O176" s="420"/>
      <c r="P176" s="420"/>
      <c r="Q176" s="420"/>
      <c r="R176" s="420"/>
      <c r="S176" s="420"/>
      <c r="T176" s="420"/>
      <c r="U176" s="420"/>
      <c r="V176" s="420"/>
      <c r="W176" s="420"/>
      <c r="X176" s="420"/>
      <c r="Y176" s="420"/>
      <c r="Z176" s="420"/>
      <c r="AA176" s="420"/>
    </row>
    <row r="177">
      <c r="A177" s="420"/>
      <c r="B177" s="420"/>
      <c r="C177" s="420"/>
      <c r="D177" s="420"/>
      <c r="E177" s="420"/>
      <c r="F177" s="420"/>
      <c r="G177" s="420"/>
      <c r="H177" s="421"/>
      <c r="I177" s="420"/>
      <c r="J177" s="420"/>
      <c r="K177" s="420"/>
      <c r="L177" s="420"/>
      <c r="M177" s="420"/>
      <c r="N177" s="420"/>
      <c r="O177" s="420"/>
      <c r="P177" s="420"/>
      <c r="Q177" s="420"/>
      <c r="R177" s="420"/>
      <c r="S177" s="420"/>
      <c r="T177" s="420"/>
      <c r="U177" s="420"/>
      <c r="V177" s="420"/>
      <c r="W177" s="420"/>
      <c r="X177" s="420"/>
      <c r="Y177" s="420"/>
      <c r="Z177" s="420"/>
      <c r="AA177" s="420"/>
    </row>
    <row r="178">
      <c r="A178" s="420"/>
      <c r="B178" s="420"/>
      <c r="C178" s="420"/>
      <c r="D178" s="420"/>
      <c r="E178" s="420"/>
      <c r="F178" s="420"/>
      <c r="G178" s="420"/>
      <c r="H178" s="421"/>
      <c r="I178" s="420"/>
      <c r="J178" s="420"/>
      <c r="K178" s="420"/>
      <c r="L178" s="420"/>
      <c r="M178" s="420"/>
      <c r="N178" s="420"/>
      <c r="O178" s="420"/>
      <c r="P178" s="420"/>
      <c r="Q178" s="420"/>
      <c r="R178" s="420"/>
      <c r="S178" s="420"/>
      <c r="T178" s="420"/>
      <c r="U178" s="420"/>
      <c r="V178" s="420"/>
      <c r="W178" s="420"/>
      <c r="X178" s="420"/>
      <c r="Y178" s="420"/>
      <c r="Z178" s="420"/>
      <c r="AA178" s="420"/>
    </row>
    <row r="179">
      <c r="A179" s="420"/>
      <c r="B179" s="420"/>
      <c r="C179" s="420"/>
      <c r="D179" s="420"/>
      <c r="E179" s="420"/>
      <c r="F179" s="420"/>
      <c r="G179" s="420"/>
      <c r="H179" s="421"/>
      <c r="I179" s="420"/>
      <c r="J179" s="420"/>
      <c r="K179" s="420"/>
      <c r="L179" s="420"/>
      <c r="M179" s="420"/>
      <c r="N179" s="420"/>
      <c r="O179" s="420"/>
      <c r="P179" s="420"/>
      <c r="Q179" s="420"/>
      <c r="R179" s="420"/>
      <c r="S179" s="420"/>
      <c r="T179" s="420"/>
      <c r="U179" s="420"/>
      <c r="V179" s="420"/>
      <c r="W179" s="420"/>
      <c r="X179" s="420"/>
      <c r="Y179" s="420"/>
      <c r="Z179" s="420"/>
      <c r="AA179" s="420"/>
    </row>
    <row r="180">
      <c r="A180" s="420"/>
      <c r="B180" s="420"/>
      <c r="C180" s="420"/>
      <c r="D180" s="420"/>
      <c r="E180" s="420"/>
      <c r="F180" s="420"/>
      <c r="G180" s="420"/>
      <c r="H180" s="421"/>
      <c r="I180" s="420"/>
      <c r="J180" s="420"/>
      <c r="K180" s="420"/>
      <c r="L180" s="420"/>
      <c r="M180" s="420"/>
      <c r="N180" s="420"/>
      <c r="O180" s="420"/>
      <c r="P180" s="420"/>
      <c r="Q180" s="420"/>
      <c r="R180" s="420"/>
      <c r="S180" s="420"/>
      <c r="T180" s="420"/>
      <c r="U180" s="420"/>
      <c r="V180" s="420"/>
      <c r="W180" s="420"/>
      <c r="X180" s="420"/>
      <c r="Y180" s="420"/>
      <c r="Z180" s="420"/>
      <c r="AA180" s="420"/>
    </row>
    <row r="181">
      <c r="A181" s="420"/>
      <c r="B181" s="420"/>
      <c r="C181" s="420"/>
      <c r="D181" s="420"/>
      <c r="E181" s="420"/>
      <c r="F181" s="420"/>
      <c r="G181" s="420"/>
      <c r="H181" s="421"/>
      <c r="I181" s="420"/>
      <c r="J181" s="420"/>
      <c r="K181" s="420"/>
      <c r="L181" s="420"/>
      <c r="M181" s="420"/>
      <c r="N181" s="420"/>
      <c r="O181" s="420"/>
      <c r="P181" s="420"/>
      <c r="Q181" s="420"/>
      <c r="R181" s="420"/>
      <c r="S181" s="420"/>
      <c r="T181" s="420"/>
      <c r="U181" s="420"/>
      <c r="V181" s="420"/>
      <c r="W181" s="420"/>
      <c r="X181" s="420"/>
      <c r="Y181" s="420"/>
      <c r="Z181" s="420"/>
      <c r="AA181" s="420"/>
    </row>
    <row r="182">
      <c r="A182" s="420"/>
      <c r="B182" s="420"/>
      <c r="C182" s="420"/>
      <c r="D182" s="420"/>
      <c r="E182" s="420"/>
      <c r="F182" s="420"/>
      <c r="G182" s="420"/>
      <c r="H182" s="421"/>
      <c r="I182" s="420"/>
      <c r="J182" s="420"/>
      <c r="K182" s="420"/>
      <c r="L182" s="420"/>
      <c r="M182" s="420"/>
      <c r="N182" s="420"/>
      <c r="O182" s="420"/>
      <c r="P182" s="420"/>
      <c r="Q182" s="420"/>
      <c r="R182" s="420"/>
      <c r="S182" s="420"/>
      <c r="T182" s="420"/>
      <c r="U182" s="420"/>
      <c r="V182" s="420"/>
      <c r="W182" s="420"/>
      <c r="X182" s="420"/>
      <c r="Y182" s="420"/>
      <c r="Z182" s="420"/>
      <c r="AA182" s="420"/>
    </row>
    <row r="183">
      <c r="A183" s="420"/>
      <c r="B183" s="420"/>
      <c r="C183" s="420"/>
      <c r="D183" s="420"/>
      <c r="E183" s="420"/>
      <c r="F183" s="420"/>
      <c r="G183" s="420"/>
      <c r="H183" s="421"/>
      <c r="I183" s="420"/>
      <c r="J183" s="420"/>
      <c r="K183" s="420"/>
      <c r="L183" s="420"/>
      <c r="M183" s="420"/>
      <c r="N183" s="420"/>
      <c r="O183" s="420"/>
      <c r="P183" s="420"/>
      <c r="Q183" s="420"/>
      <c r="R183" s="420"/>
      <c r="S183" s="420"/>
      <c r="T183" s="420"/>
      <c r="U183" s="420"/>
      <c r="V183" s="420"/>
      <c r="W183" s="420"/>
      <c r="X183" s="420"/>
      <c r="Y183" s="420"/>
      <c r="Z183" s="420"/>
      <c r="AA183" s="420"/>
    </row>
    <row r="184">
      <c r="A184" s="420"/>
      <c r="B184" s="420"/>
      <c r="C184" s="420"/>
      <c r="D184" s="420"/>
      <c r="E184" s="420"/>
      <c r="F184" s="420"/>
      <c r="G184" s="420"/>
      <c r="H184" s="421"/>
      <c r="I184" s="420"/>
      <c r="J184" s="420"/>
      <c r="K184" s="420"/>
      <c r="L184" s="420"/>
      <c r="M184" s="420"/>
      <c r="N184" s="420"/>
      <c r="O184" s="420"/>
      <c r="P184" s="420"/>
      <c r="Q184" s="420"/>
      <c r="R184" s="420"/>
      <c r="S184" s="420"/>
      <c r="T184" s="420"/>
      <c r="U184" s="420"/>
      <c r="V184" s="420"/>
      <c r="W184" s="420"/>
      <c r="X184" s="420"/>
      <c r="Y184" s="420"/>
      <c r="Z184" s="420"/>
      <c r="AA184" s="420"/>
    </row>
    <row r="185">
      <c r="A185" s="420"/>
      <c r="B185" s="420"/>
      <c r="C185" s="420"/>
      <c r="D185" s="420"/>
      <c r="E185" s="420"/>
      <c r="F185" s="420"/>
      <c r="G185" s="420"/>
      <c r="H185" s="421"/>
      <c r="I185" s="420"/>
      <c r="J185" s="420"/>
      <c r="K185" s="420"/>
      <c r="L185" s="420"/>
      <c r="M185" s="420"/>
      <c r="N185" s="420"/>
      <c r="O185" s="420"/>
      <c r="P185" s="420"/>
      <c r="Q185" s="420"/>
      <c r="R185" s="420"/>
      <c r="S185" s="420"/>
      <c r="T185" s="420"/>
      <c r="U185" s="420"/>
      <c r="V185" s="420"/>
      <c r="W185" s="420"/>
      <c r="X185" s="420"/>
      <c r="Y185" s="420"/>
      <c r="Z185" s="420"/>
      <c r="AA185" s="420"/>
    </row>
    <row r="186">
      <c r="A186" s="420"/>
      <c r="B186" s="420"/>
      <c r="C186" s="420"/>
      <c r="D186" s="420"/>
      <c r="E186" s="420"/>
      <c r="F186" s="420"/>
      <c r="G186" s="420"/>
      <c r="H186" s="421"/>
      <c r="I186" s="420"/>
      <c r="J186" s="420"/>
      <c r="K186" s="420"/>
      <c r="L186" s="420"/>
      <c r="M186" s="420"/>
      <c r="N186" s="420"/>
      <c r="O186" s="420"/>
      <c r="P186" s="420"/>
      <c r="Q186" s="420"/>
      <c r="R186" s="420"/>
      <c r="S186" s="420"/>
      <c r="T186" s="420"/>
      <c r="U186" s="420"/>
      <c r="V186" s="420"/>
      <c r="W186" s="420"/>
      <c r="X186" s="420"/>
      <c r="Y186" s="420"/>
      <c r="Z186" s="420"/>
      <c r="AA186" s="420"/>
    </row>
    <row r="187">
      <c r="A187" s="420"/>
      <c r="B187" s="420"/>
      <c r="C187" s="420"/>
      <c r="D187" s="420"/>
      <c r="E187" s="420"/>
      <c r="F187" s="420"/>
      <c r="G187" s="420"/>
      <c r="H187" s="421"/>
      <c r="I187" s="420"/>
      <c r="J187" s="420"/>
      <c r="K187" s="420"/>
      <c r="L187" s="420"/>
      <c r="M187" s="420"/>
      <c r="N187" s="420"/>
      <c r="O187" s="420"/>
      <c r="P187" s="420"/>
      <c r="Q187" s="420"/>
      <c r="R187" s="420"/>
      <c r="S187" s="420"/>
      <c r="T187" s="420"/>
      <c r="U187" s="420"/>
      <c r="V187" s="420"/>
      <c r="W187" s="420"/>
      <c r="X187" s="420"/>
      <c r="Y187" s="420"/>
      <c r="Z187" s="420"/>
      <c r="AA187" s="420"/>
    </row>
    <row r="188">
      <c r="A188" s="420"/>
      <c r="B188" s="420"/>
      <c r="C188" s="420"/>
      <c r="D188" s="420"/>
      <c r="E188" s="420"/>
      <c r="F188" s="420"/>
      <c r="G188" s="420"/>
      <c r="H188" s="421"/>
      <c r="I188" s="420"/>
      <c r="J188" s="420"/>
      <c r="K188" s="420"/>
      <c r="L188" s="420"/>
      <c r="M188" s="420"/>
      <c r="N188" s="420"/>
      <c r="O188" s="420"/>
      <c r="P188" s="420"/>
      <c r="Q188" s="420"/>
      <c r="R188" s="420"/>
      <c r="S188" s="420"/>
      <c r="T188" s="420"/>
      <c r="U188" s="420"/>
      <c r="V188" s="420"/>
      <c r="W188" s="420"/>
      <c r="X188" s="420"/>
      <c r="Y188" s="420"/>
      <c r="Z188" s="420"/>
      <c r="AA188" s="420"/>
    </row>
    <row r="189">
      <c r="A189" s="420"/>
      <c r="B189" s="420"/>
      <c r="C189" s="420"/>
      <c r="D189" s="420"/>
      <c r="E189" s="420"/>
      <c r="F189" s="420"/>
      <c r="G189" s="420"/>
      <c r="H189" s="421"/>
      <c r="I189" s="420"/>
      <c r="J189" s="420"/>
      <c r="K189" s="420"/>
      <c r="L189" s="420"/>
      <c r="M189" s="420"/>
      <c r="N189" s="420"/>
      <c r="O189" s="420"/>
      <c r="P189" s="420"/>
      <c r="Q189" s="420"/>
      <c r="R189" s="420"/>
      <c r="S189" s="420"/>
      <c r="T189" s="420"/>
      <c r="U189" s="420"/>
      <c r="V189" s="420"/>
      <c r="W189" s="420"/>
      <c r="X189" s="420"/>
      <c r="Y189" s="420"/>
      <c r="Z189" s="420"/>
      <c r="AA189" s="420"/>
    </row>
    <row r="190">
      <c r="A190" s="420"/>
      <c r="B190" s="420"/>
      <c r="C190" s="420"/>
      <c r="D190" s="420"/>
      <c r="E190" s="420"/>
      <c r="F190" s="420"/>
      <c r="G190" s="420"/>
      <c r="H190" s="421"/>
      <c r="I190" s="420"/>
      <c r="J190" s="420"/>
      <c r="K190" s="420"/>
      <c r="L190" s="420"/>
      <c r="M190" s="420"/>
      <c r="N190" s="420"/>
      <c r="O190" s="420"/>
      <c r="P190" s="420"/>
      <c r="Q190" s="420"/>
      <c r="R190" s="420"/>
      <c r="S190" s="420"/>
      <c r="T190" s="420"/>
      <c r="U190" s="420"/>
      <c r="V190" s="420"/>
      <c r="W190" s="420"/>
      <c r="X190" s="420"/>
      <c r="Y190" s="420"/>
      <c r="Z190" s="420"/>
      <c r="AA190" s="420"/>
    </row>
    <row r="191">
      <c r="A191" s="420"/>
      <c r="B191" s="420"/>
      <c r="C191" s="420"/>
      <c r="D191" s="420"/>
      <c r="E191" s="420"/>
      <c r="F191" s="420"/>
      <c r="G191" s="420"/>
      <c r="H191" s="421"/>
      <c r="I191" s="420"/>
      <c r="J191" s="420"/>
      <c r="K191" s="420"/>
      <c r="L191" s="420"/>
      <c r="M191" s="420"/>
      <c r="N191" s="420"/>
      <c r="O191" s="420"/>
      <c r="P191" s="420"/>
      <c r="Q191" s="420"/>
      <c r="R191" s="420"/>
      <c r="S191" s="420"/>
      <c r="T191" s="420"/>
      <c r="U191" s="420"/>
      <c r="V191" s="420"/>
      <c r="W191" s="420"/>
      <c r="X191" s="420"/>
      <c r="Y191" s="420"/>
      <c r="Z191" s="420"/>
      <c r="AA191" s="420"/>
    </row>
    <row r="192">
      <c r="A192" s="420"/>
      <c r="B192" s="420"/>
      <c r="C192" s="420"/>
      <c r="D192" s="420"/>
      <c r="E192" s="420"/>
      <c r="F192" s="420"/>
      <c r="G192" s="420"/>
      <c r="H192" s="421"/>
      <c r="I192" s="420"/>
      <c r="J192" s="420"/>
      <c r="K192" s="420"/>
      <c r="L192" s="420"/>
      <c r="M192" s="420"/>
      <c r="N192" s="420"/>
      <c r="O192" s="420"/>
      <c r="P192" s="420"/>
      <c r="Q192" s="420"/>
      <c r="R192" s="420"/>
      <c r="S192" s="420"/>
      <c r="T192" s="420"/>
      <c r="U192" s="420"/>
      <c r="V192" s="420"/>
      <c r="W192" s="420"/>
      <c r="X192" s="420"/>
      <c r="Y192" s="420"/>
      <c r="Z192" s="420"/>
      <c r="AA192" s="420"/>
    </row>
    <row r="193">
      <c r="A193" s="420"/>
      <c r="B193" s="420"/>
      <c r="C193" s="420"/>
      <c r="D193" s="420"/>
      <c r="E193" s="420"/>
      <c r="F193" s="420"/>
      <c r="G193" s="420"/>
      <c r="H193" s="421"/>
      <c r="I193" s="420"/>
      <c r="J193" s="420"/>
      <c r="K193" s="420"/>
      <c r="L193" s="420"/>
      <c r="M193" s="420"/>
      <c r="N193" s="420"/>
      <c r="O193" s="420"/>
      <c r="P193" s="420"/>
      <c r="Q193" s="420"/>
      <c r="R193" s="420"/>
      <c r="S193" s="420"/>
      <c r="T193" s="420"/>
      <c r="U193" s="420"/>
      <c r="V193" s="420"/>
      <c r="W193" s="420"/>
      <c r="X193" s="420"/>
      <c r="Y193" s="420"/>
      <c r="Z193" s="420"/>
      <c r="AA193" s="420"/>
    </row>
    <row r="194">
      <c r="A194" s="420"/>
      <c r="B194" s="420"/>
      <c r="C194" s="420"/>
      <c r="D194" s="420"/>
      <c r="E194" s="420"/>
      <c r="F194" s="420"/>
      <c r="G194" s="420"/>
      <c r="H194" s="421"/>
      <c r="I194" s="420"/>
      <c r="J194" s="420"/>
      <c r="K194" s="420"/>
      <c r="L194" s="420"/>
      <c r="M194" s="420"/>
      <c r="N194" s="420"/>
      <c r="O194" s="420"/>
      <c r="P194" s="420"/>
      <c r="Q194" s="420"/>
      <c r="R194" s="420"/>
      <c r="S194" s="420"/>
      <c r="T194" s="420"/>
      <c r="U194" s="420"/>
      <c r="V194" s="420"/>
      <c r="W194" s="420"/>
      <c r="X194" s="420"/>
      <c r="Y194" s="420"/>
      <c r="Z194" s="420"/>
      <c r="AA194" s="420"/>
    </row>
    <row r="195">
      <c r="A195" s="420"/>
      <c r="B195" s="420"/>
      <c r="C195" s="420"/>
      <c r="D195" s="420"/>
      <c r="E195" s="420"/>
      <c r="F195" s="420"/>
      <c r="G195" s="420"/>
      <c r="H195" s="421"/>
      <c r="I195" s="420"/>
      <c r="J195" s="420"/>
      <c r="K195" s="420"/>
      <c r="L195" s="420"/>
      <c r="M195" s="420"/>
      <c r="N195" s="420"/>
      <c r="O195" s="420"/>
      <c r="P195" s="420"/>
      <c r="Q195" s="420"/>
      <c r="R195" s="420"/>
      <c r="S195" s="420"/>
      <c r="T195" s="420"/>
      <c r="U195" s="420"/>
      <c r="V195" s="420"/>
      <c r="W195" s="420"/>
      <c r="X195" s="420"/>
      <c r="Y195" s="420"/>
      <c r="Z195" s="420"/>
      <c r="AA195" s="420"/>
    </row>
    <row r="196">
      <c r="A196" s="420"/>
      <c r="B196" s="420"/>
      <c r="C196" s="420"/>
      <c r="D196" s="420"/>
      <c r="E196" s="420"/>
      <c r="F196" s="420"/>
      <c r="G196" s="420"/>
      <c r="H196" s="421"/>
      <c r="I196" s="420"/>
      <c r="J196" s="420"/>
      <c r="K196" s="420"/>
      <c r="L196" s="420"/>
      <c r="M196" s="420"/>
      <c r="N196" s="420"/>
      <c r="O196" s="420"/>
      <c r="P196" s="420"/>
      <c r="Q196" s="420"/>
      <c r="R196" s="420"/>
      <c r="S196" s="420"/>
      <c r="T196" s="420"/>
      <c r="U196" s="420"/>
      <c r="V196" s="420"/>
      <c r="W196" s="420"/>
      <c r="X196" s="420"/>
      <c r="Y196" s="420"/>
      <c r="Z196" s="420"/>
      <c r="AA196" s="420"/>
    </row>
    <row r="197">
      <c r="A197" s="420"/>
      <c r="B197" s="420"/>
      <c r="C197" s="420"/>
      <c r="D197" s="420"/>
      <c r="E197" s="420"/>
      <c r="F197" s="420"/>
      <c r="G197" s="420"/>
      <c r="H197" s="421"/>
      <c r="I197" s="420"/>
      <c r="J197" s="420"/>
      <c r="K197" s="420"/>
      <c r="L197" s="420"/>
      <c r="M197" s="420"/>
      <c r="N197" s="420"/>
      <c r="O197" s="420"/>
      <c r="P197" s="420"/>
      <c r="Q197" s="420"/>
      <c r="R197" s="420"/>
      <c r="S197" s="420"/>
      <c r="T197" s="420"/>
      <c r="U197" s="420"/>
      <c r="V197" s="420"/>
      <c r="W197" s="420"/>
      <c r="X197" s="420"/>
      <c r="Y197" s="420"/>
      <c r="Z197" s="420"/>
      <c r="AA197" s="420"/>
    </row>
    <row r="198">
      <c r="A198" s="420"/>
      <c r="B198" s="420"/>
      <c r="C198" s="420"/>
      <c r="D198" s="420"/>
      <c r="E198" s="420"/>
      <c r="F198" s="420"/>
      <c r="G198" s="420"/>
      <c r="H198" s="421"/>
      <c r="I198" s="420"/>
      <c r="J198" s="420"/>
      <c r="K198" s="420"/>
      <c r="L198" s="420"/>
      <c r="M198" s="420"/>
      <c r="N198" s="420"/>
      <c r="O198" s="420"/>
      <c r="P198" s="420"/>
      <c r="Q198" s="420"/>
      <c r="R198" s="420"/>
      <c r="S198" s="420"/>
      <c r="T198" s="420"/>
      <c r="U198" s="420"/>
      <c r="V198" s="420"/>
      <c r="W198" s="420"/>
      <c r="X198" s="420"/>
      <c r="Y198" s="420"/>
      <c r="Z198" s="420"/>
      <c r="AA198" s="420"/>
    </row>
    <row r="199">
      <c r="A199" s="420"/>
      <c r="B199" s="420"/>
      <c r="C199" s="420"/>
      <c r="D199" s="420"/>
      <c r="E199" s="420"/>
      <c r="F199" s="420"/>
      <c r="G199" s="420"/>
      <c r="H199" s="421"/>
      <c r="I199" s="420"/>
      <c r="J199" s="420"/>
      <c r="K199" s="420"/>
      <c r="L199" s="420"/>
      <c r="M199" s="420"/>
      <c r="N199" s="420"/>
      <c r="O199" s="420"/>
      <c r="P199" s="420"/>
      <c r="Q199" s="420"/>
      <c r="R199" s="420"/>
      <c r="S199" s="420"/>
      <c r="T199" s="420"/>
      <c r="U199" s="420"/>
      <c r="V199" s="420"/>
      <c r="W199" s="420"/>
      <c r="X199" s="420"/>
      <c r="Y199" s="420"/>
      <c r="Z199" s="420"/>
      <c r="AA199" s="420"/>
    </row>
    <row r="200">
      <c r="A200" s="420"/>
      <c r="B200" s="420"/>
      <c r="C200" s="420"/>
      <c r="D200" s="420"/>
      <c r="E200" s="420"/>
      <c r="F200" s="420"/>
      <c r="G200" s="420"/>
      <c r="H200" s="421"/>
      <c r="I200" s="420"/>
      <c r="J200" s="420"/>
      <c r="K200" s="420"/>
      <c r="L200" s="420"/>
      <c r="M200" s="420"/>
      <c r="N200" s="420"/>
      <c r="O200" s="420"/>
      <c r="P200" s="420"/>
      <c r="Q200" s="420"/>
      <c r="R200" s="420"/>
      <c r="S200" s="420"/>
      <c r="T200" s="420"/>
      <c r="U200" s="420"/>
      <c r="V200" s="420"/>
      <c r="W200" s="420"/>
      <c r="X200" s="420"/>
      <c r="Y200" s="420"/>
      <c r="Z200" s="420"/>
      <c r="AA200" s="420"/>
    </row>
    <row r="201">
      <c r="A201" s="420"/>
      <c r="B201" s="420"/>
      <c r="C201" s="420"/>
      <c r="D201" s="420"/>
      <c r="E201" s="420"/>
      <c r="F201" s="420"/>
      <c r="G201" s="420"/>
      <c r="H201" s="421"/>
      <c r="I201" s="420"/>
      <c r="J201" s="420"/>
      <c r="K201" s="420"/>
      <c r="L201" s="420"/>
      <c r="M201" s="420"/>
      <c r="N201" s="420"/>
      <c r="O201" s="420"/>
      <c r="P201" s="420"/>
      <c r="Q201" s="420"/>
      <c r="R201" s="420"/>
      <c r="S201" s="420"/>
      <c r="T201" s="420"/>
      <c r="U201" s="420"/>
      <c r="V201" s="420"/>
      <c r="W201" s="420"/>
      <c r="X201" s="420"/>
      <c r="Y201" s="420"/>
      <c r="Z201" s="420"/>
      <c r="AA201" s="420"/>
    </row>
    <row r="202">
      <c r="A202" s="420"/>
      <c r="B202" s="420"/>
      <c r="C202" s="420"/>
      <c r="D202" s="420"/>
      <c r="E202" s="420"/>
      <c r="F202" s="420"/>
      <c r="G202" s="420"/>
      <c r="H202" s="421"/>
      <c r="I202" s="420"/>
      <c r="J202" s="420"/>
      <c r="K202" s="420"/>
      <c r="L202" s="420"/>
      <c r="M202" s="420"/>
      <c r="N202" s="420"/>
      <c r="O202" s="420"/>
      <c r="P202" s="420"/>
      <c r="Q202" s="420"/>
      <c r="R202" s="420"/>
      <c r="S202" s="420"/>
      <c r="T202" s="420"/>
      <c r="U202" s="420"/>
      <c r="V202" s="420"/>
      <c r="W202" s="420"/>
      <c r="X202" s="420"/>
      <c r="Y202" s="420"/>
      <c r="Z202" s="420"/>
      <c r="AA202" s="420"/>
    </row>
    <row r="203">
      <c r="A203" s="420"/>
      <c r="B203" s="420"/>
      <c r="C203" s="420"/>
      <c r="D203" s="420"/>
      <c r="E203" s="420"/>
      <c r="F203" s="420"/>
      <c r="G203" s="420"/>
      <c r="H203" s="421"/>
      <c r="I203" s="420"/>
      <c r="J203" s="420"/>
      <c r="K203" s="420"/>
      <c r="L203" s="420"/>
      <c r="M203" s="420"/>
      <c r="N203" s="420"/>
      <c r="O203" s="420"/>
      <c r="P203" s="420"/>
      <c r="Q203" s="420"/>
      <c r="R203" s="420"/>
      <c r="S203" s="420"/>
      <c r="T203" s="420"/>
      <c r="U203" s="420"/>
      <c r="V203" s="420"/>
      <c r="W203" s="420"/>
      <c r="X203" s="420"/>
      <c r="Y203" s="420"/>
      <c r="Z203" s="420"/>
      <c r="AA203" s="420"/>
    </row>
    <row r="204">
      <c r="A204" s="420"/>
      <c r="B204" s="420"/>
      <c r="C204" s="420"/>
      <c r="D204" s="420"/>
      <c r="E204" s="420"/>
      <c r="F204" s="420"/>
      <c r="G204" s="420"/>
      <c r="H204" s="421"/>
      <c r="I204" s="420"/>
      <c r="J204" s="420"/>
      <c r="K204" s="420"/>
      <c r="L204" s="420"/>
      <c r="M204" s="420"/>
      <c r="N204" s="420"/>
      <c r="O204" s="420"/>
      <c r="P204" s="420"/>
      <c r="Q204" s="420"/>
      <c r="R204" s="420"/>
      <c r="S204" s="420"/>
      <c r="T204" s="420"/>
      <c r="U204" s="420"/>
      <c r="V204" s="420"/>
      <c r="W204" s="420"/>
      <c r="X204" s="420"/>
      <c r="Y204" s="420"/>
      <c r="Z204" s="420"/>
      <c r="AA204" s="420"/>
    </row>
    <row r="205">
      <c r="A205" s="420"/>
      <c r="B205" s="420"/>
      <c r="C205" s="420"/>
      <c r="D205" s="420"/>
      <c r="E205" s="420"/>
      <c r="F205" s="420"/>
      <c r="G205" s="420"/>
      <c r="H205" s="421"/>
      <c r="I205" s="420"/>
      <c r="J205" s="420"/>
      <c r="K205" s="420"/>
      <c r="L205" s="420"/>
      <c r="M205" s="420"/>
      <c r="N205" s="420"/>
      <c r="O205" s="420"/>
      <c r="P205" s="420"/>
      <c r="Q205" s="420"/>
      <c r="R205" s="420"/>
      <c r="S205" s="420"/>
      <c r="T205" s="420"/>
      <c r="U205" s="420"/>
      <c r="V205" s="420"/>
      <c r="W205" s="420"/>
      <c r="X205" s="420"/>
      <c r="Y205" s="420"/>
      <c r="Z205" s="420"/>
      <c r="AA205" s="420"/>
    </row>
    <row r="206">
      <c r="A206" s="420"/>
      <c r="B206" s="420"/>
      <c r="C206" s="420"/>
      <c r="D206" s="420"/>
      <c r="E206" s="420"/>
      <c r="F206" s="420"/>
      <c r="G206" s="420"/>
      <c r="H206" s="421"/>
      <c r="I206" s="420"/>
      <c r="J206" s="420"/>
      <c r="K206" s="420"/>
      <c r="L206" s="420"/>
      <c r="M206" s="420"/>
      <c r="N206" s="420"/>
      <c r="O206" s="420"/>
      <c r="P206" s="420"/>
      <c r="Q206" s="420"/>
      <c r="R206" s="420"/>
      <c r="S206" s="420"/>
      <c r="T206" s="420"/>
      <c r="U206" s="420"/>
      <c r="V206" s="420"/>
      <c r="W206" s="420"/>
      <c r="X206" s="420"/>
      <c r="Y206" s="420"/>
      <c r="Z206" s="420"/>
      <c r="AA206" s="420"/>
    </row>
    <row r="207">
      <c r="A207" s="420"/>
      <c r="B207" s="420"/>
      <c r="C207" s="420"/>
      <c r="D207" s="420"/>
      <c r="E207" s="420"/>
      <c r="F207" s="420"/>
      <c r="G207" s="420"/>
      <c r="H207" s="421"/>
      <c r="I207" s="420"/>
      <c r="J207" s="420"/>
      <c r="K207" s="420"/>
      <c r="L207" s="420"/>
      <c r="M207" s="420"/>
      <c r="N207" s="420"/>
      <c r="O207" s="420"/>
      <c r="P207" s="420"/>
      <c r="Q207" s="420"/>
      <c r="R207" s="420"/>
      <c r="S207" s="420"/>
      <c r="T207" s="420"/>
      <c r="U207" s="420"/>
      <c r="V207" s="420"/>
      <c r="W207" s="420"/>
      <c r="X207" s="420"/>
      <c r="Y207" s="420"/>
      <c r="Z207" s="420"/>
      <c r="AA207" s="420"/>
    </row>
    <row r="208">
      <c r="A208" s="420"/>
      <c r="B208" s="420"/>
      <c r="C208" s="420"/>
      <c r="D208" s="420"/>
      <c r="E208" s="420"/>
      <c r="F208" s="420"/>
      <c r="G208" s="420"/>
      <c r="H208" s="421"/>
      <c r="I208" s="420"/>
      <c r="J208" s="420"/>
      <c r="K208" s="420"/>
      <c r="L208" s="420"/>
      <c r="M208" s="420"/>
      <c r="N208" s="420"/>
      <c r="O208" s="420"/>
      <c r="P208" s="420"/>
      <c r="Q208" s="420"/>
      <c r="R208" s="420"/>
      <c r="S208" s="420"/>
      <c r="T208" s="420"/>
      <c r="U208" s="420"/>
      <c r="V208" s="420"/>
      <c r="W208" s="420"/>
      <c r="X208" s="420"/>
      <c r="Y208" s="420"/>
      <c r="Z208" s="420"/>
      <c r="AA208" s="420"/>
    </row>
    <row r="209">
      <c r="A209" s="420"/>
      <c r="B209" s="420"/>
      <c r="C209" s="420"/>
      <c r="D209" s="420"/>
      <c r="E209" s="420"/>
      <c r="F209" s="420"/>
      <c r="G209" s="420"/>
      <c r="H209" s="421"/>
      <c r="I209" s="420"/>
      <c r="J209" s="420"/>
      <c r="K209" s="420"/>
      <c r="L209" s="420"/>
      <c r="M209" s="420"/>
      <c r="N209" s="420"/>
      <c r="O209" s="420"/>
      <c r="P209" s="420"/>
      <c r="Q209" s="420"/>
      <c r="R209" s="420"/>
      <c r="S209" s="420"/>
      <c r="T209" s="420"/>
      <c r="U209" s="420"/>
      <c r="V209" s="420"/>
      <c r="W209" s="420"/>
      <c r="X209" s="420"/>
      <c r="Y209" s="420"/>
      <c r="Z209" s="420"/>
      <c r="AA209" s="420"/>
    </row>
    <row r="210">
      <c r="A210" s="420"/>
      <c r="B210" s="420"/>
      <c r="C210" s="420"/>
      <c r="D210" s="420"/>
      <c r="E210" s="420"/>
      <c r="F210" s="420"/>
      <c r="G210" s="420"/>
      <c r="H210" s="421"/>
      <c r="I210" s="420"/>
      <c r="J210" s="420"/>
      <c r="K210" s="420"/>
      <c r="L210" s="420"/>
      <c r="M210" s="420"/>
      <c r="N210" s="420"/>
      <c r="O210" s="420"/>
      <c r="P210" s="420"/>
      <c r="Q210" s="420"/>
      <c r="R210" s="420"/>
      <c r="S210" s="420"/>
      <c r="T210" s="420"/>
      <c r="U210" s="420"/>
      <c r="V210" s="420"/>
      <c r="W210" s="420"/>
      <c r="X210" s="420"/>
      <c r="Y210" s="420"/>
      <c r="Z210" s="420"/>
      <c r="AA210" s="420"/>
    </row>
    <row r="211">
      <c r="A211" s="420"/>
      <c r="B211" s="420"/>
      <c r="C211" s="420"/>
      <c r="D211" s="420"/>
      <c r="E211" s="420"/>
      <c r="F211" s="420"/>
      <c r="G211" s="420"/>
      <c r="H211" s="421"/>
      <c r="I211" s="420"/>
      <c r="J211" s="420"/>
      <c r="K211" s="420"/>
      <c r="L211" s="420"/>
      <c r="M211" s="420"/>
      <c r="N211" s="420"/>
      <c r="O211" s="420"/>
      <c r="P211" s="420"/>
      <c r="Q211" s="420"/>
      <c r="R211" s="420"/>
      <c r="S211" s="420"/>
      <c r="T211" s="420"/>
      <c r="U211" s="420"/>
      <c r="V211" s="420"/>
      <c r="W211" s="420"/>
      <c r="X211" s="420"/>
      <c r="Y211" s="420"/>
      <c r="Z211" s="420"/>
      <c r="AA211" s="420"/>
    </row>
    <row r="212">
      <c r="A212" s="420"/>
      <c r="B212" s="420"/>
      <c r="C212" s="420"/>
      <c r="D212" s="420"/>
      <c r="E212" s="420"/>
      <c r="F212" s="420"/>
      <c r="G212" s="420"/>
      <c r="H212" s="421"/>
      <c r="I212" s="420"/>
      <c r="J212" s="420"/>
      <c r="K212" s="420"/>
      <c r="L212" s="420"/>
      <c r="M212" s="420"/>
      <c r="N212" s="420"/>
      <c r="O212" s="420"/>
      <c r="P212" s="420"/>
      <c r="Q212" s="420"/>
      <c r="R212" s="420"/>
      <c r="S212" s="420"/>
      <c r="T212" s="420"/>
      <c r="U212" s="420"/>
      <c r="V212" s="420"/>
      <c r="W212" s="420"/>
      <c r="X212" s="420"/>
      <c r="Y212" s="420"/>
      <c r="Z212" s="420"/>
      <c r="AA212" s="420"/>
    </row>
    <row r="213">
      <c r="A213" s="420"/>
      <c r="B213" s="420"/>
      <c r="C213" s="420"/>
      <c r="D213" s="420"/>
      <c r="E213" s="420"/>
      <c r="F213" s="420"/>
      <c r="G213" s="420"/>
      <c r="H213" s="421"/>
      <c r="I213" s="420"/>
      <c r="J213" s="420"/>
      <c r="K213" s="420"/>
      <c r="L213" s="420"/>
      <c r="M213" s="420"/>
      <c r="N213" s="420"/>
      <c r="O213" s="420"/>
      <c r="P213" s="420"/>
      <c r="Q213" s="420"/>
      <c r="R213" s="420"/>
      <c r="S213" s="420"/>
      <c r="T213" s="420"/>
      <c r="U213" s="420"/>
      <c r="V213" s="420"/>
      <c r="W213" s="420"/>
      <c r="X213" s="420"/>
      <c r="Y213" s="420"/>
      <c r="Z213" s="420"/>
      <c r="AA213" s="420"/>
    </row>
    <row r="214">
      <c r="A214" s="420"/>
      <c r="B214" s="420"/>
      <c r="C214" s="420"/>
      <c r="D214" s="420"/>
      <c r="E214" s="420"/>
      <c r="F214" s="420"/>
      <c r="G214" s="420"/>
      <c r="H214" s="421"/>
      <c r="I214" s="420"/>
      <c r="J214" s="420"/>
      <c r="K214" s="420"/>
      <c r="L214" s="420"/>
      <c r="M214" s="420"/>
      <c r="N214" s="420"/>
      <c r="O214" s="420"/>
      <c r="P214" s="420"/>
      <c r="Q214" s="420"/>
      <c r="R214" s="420"/>
      <c r="S214" s="420"/>
      <c r="T214" s="420"/>
      <c r="U214" s="420"/>
      <c r="V214" s="420"/>
      <c r="W214" s="420"/>
      <c r="X214" s="420"/>
      <c r="Y214" s="420"/>
      <c r="Z214" s="420"/>
      <c r="AA214" s="420"/>
    </row>
    <row r="215">
      <c r="A215" s="420"/>
      <c r="B215" s="420"/>
      <c r="C215" s="420"/>
      <c r="D215" s="420"/>
      <c r="E215" s="420"/>
      <c r="F215" s="420"/>
      <c r="G215" s="420"/>
      <c r="H215" s="421"/>
      <c r="I215" s="420"/>
      <c r="J215" s="420"/>
      <c r="K215" s="420"/>
      <c r="L215" s="420"/>
      <c r="M215" s="420"/>
      <c r="N215" s="420"/>
      <c r="O215" s="420"/>
      <c r="P215" s="420"/>
      <c r="Q215" s="420"/>
      <c r="R215" s="420"/>
      <c r="S215" s="420"/>
      <c r="T215" s="420"/>
      <c r="U215" s="420"/>
      <c r="V215" s="420"/>
      <c r="W215" s="420"/>
      <c r="X215" s="420"/>
      <c r="Y215" s="420"/>
      <c r="Z215" s="420"/>
      <c r="AA215" s="420"/>
    </row>
    <row r="216">
      <c r="A216" s="420"/>
      <c r="B216" s="420"/>
      <c r="C216" s="420"/>
      <c r="D216" s="420"/>
      <c r="E216" s="420"/>
      <c r="F216" s="420"/>
      <c r="G216" s="420"/>
      <c r="H216" s="421"/>
      <c r="I216" s="420"/>
      <c r="J216" s="420"/>
      <c r="K216" s="420"/>
      <c r="L216" s="420"/>
      <c r="M216" s="420"/>
      <c r="N216" s="420"/>
      <c r="O216" s="420"/>
      <c r="P216" s="420"/>
      <c r="Q216" s="420"/>
      <c r="R216" s="420"/>
      <c r="S216" s="420"/>
      <c r="T216" s="420"/>
      <c r="U216" s="420"/>
      <c r="V216" s="420"/>
      <c r="W216" s="420"/>
      <c r="X216" s="420"/>
      <c r="Y216" s="420"/>
      <c r="Z216" s="420"/>
      <c r="AA216" s="420"/>
    </row>
    <row r="217">
      <c r="A217" s="420"/>
      <c r="B217" s="420"/>
      <c r="C217" s="420"/>
      <c r="D217" s="420"/>
      <c r="E217" s="420"/>
      <c r="F217" s="420"/>
      <c r="G217" s="420"/>
      <c r="H217" s="421"/>
      <c r="I217" s="420"/>
      <c r="J217" s="420"/>
      <c r="K217" s="420"/>
      <c r="L217" s="420"/>
      <c r="M217" s="420"/>
      <c r="N217" s="420"/>
      <c r="O217" s="420"/>
      <c r="P217" s="420"/>
      <c r="Q217" s="420"/>
      <c r="R217" s="420"/>
      <c r="S217" s="420"/>
      <c r="T217" s="420"/>
      <c r="U217" s="420"/>
      <c r="V217" s="420"/>
      <c r="W217" s="420"/>
      <c r="X217" s="420"/>
      <c r="Y217" s="420"/>
      <c r="Z217" s="420"/>
      <c r="AA217" s="420"/>
    </row>
    <row r="218">
      <c r="A218" s="420"/>
      <c r="B218" s="420"/>
      <c r="C218" s="420"/>
      <c r="D218" s="420"/>
      <c r="E218" s="420"/>
      <c r="F218" s="420"/>
      <c r="G218" s="420"/>
      <c r="H218" s="421"/>
      <c r="I218" s="420"/>
      <c r="J218" s="420"/>
      <c r="K218" s="420"/>
      <c r="L218" s="420"/>
      <c r="M218" s="420"/>
      <c r="N218" s="420"/>
      <c r="O218" s="420"/>
      <c r="P218" s="420"/>
      <c r="Q218" s="420"/>
      <c r="R218" s="420"/>
      <c r="S218" s="420"/>
      <c r="T218" s="420"/>
      <c r="U218" s="420"/>
      <c r="V218" s="420"/>
      <c r="W218" s="420"/>
      <c r="X218" s="420"/>
      <c r="Y218" s="420"/>
      <c r="Z218" s="420"/>
      <c r="AA218" s="420"/>
    </row>
    <row r="219">
      <c r="A219" s="420"/>
      <c r="B219" s="420"/>
      <c r="C219" s="420"/>
      <c r="D219" s="420"/>
      <c r="E219" s="420"/>
      <c r="F219" s="420"/>
      <c r="G219" s="420"/>
      <c r="H219" s="421"/>
      <c r="I219" s="420"/>
      <c r="J219" s="420"/>
      <c r="K219" s="420"/>
      <c r="L219" s="420"/>
      <c r="M219" s="420"/>
      <c r="N219" s="420"/>
      <c r="O219" s="420"/>
      <c r="P219" s="420"/>
      <c r="Q219" s="420"/>
      <c r="R219" s="420"/>
      <c r="S219" s="420"/>
      <c r="T219" s="420"/>
      <c r="U219" s="420"/>
      <c r="V219" s="420"/>
      <c r="W219" s="420"/>
      <c r="X219" s="420"/>
      <c r="Y219" s="420"/>
      <c r="Z219" s="420"/>
      <c r="AA219" s="420"/>
    </row>
    <row r="220">
      <c r="A220" s="420"/>
      <c r="B220" s="420"/>
      <c r="C220" s="420"/>
      <c r="D220" s="420"/>
      <c r="E220" s="420"/>
      <c r="F220" s="420"/>
      <c r="G220" s="420"/>
      <c r="H220" s="421"/>
      <c r="I220" s="420"/>
      <c r="J220" s="420"/>
      <c r="K220" s="420"/>
      <c r="L220" s="420"/>
      <c r="M220" s="420"/>
      <c r="N220" s="420"/>
      <c r="O220" s="420"/>
      <c r="P220" s="420"/>
      <c r="Q220" s="420"/>
      <c r="R220" s="420"/>
      <c r="S220" s="420"/>
      <c r="T220" s="420"/>
      <c r="U220" s="420"/>
      <c r="V220" s="420"/>
      <c r="W220" s="420"/>
      <c r="X220" s="420"/>
      <c r="Y220" s="420"/>
      <c r="Z220" s="420"/>
      <c r="AA220" s="420"/>
    </row>
    <row r="221">
      <c r="A221" s="420"/>
      <c r="B221" s="420"/>
      <c r="C221" s="420"/>
      <c r="D221" s="420"/>
      <c r="E221" s="420"/>
      <c r="F221" s="420"/>
      <c r="G221" s="420"/>
      <c r="H221" s="421"/>
      <c r="I221" s="420"/>
      <c r="J221" s="420"/>
      <c r="K221" s="420"/>
      <c r="L221" s="420"/>
      <c r="M221" s="420"/>
      <c r="N221" s="420"/>
      <c r="O221" s="420"/>
      <c r="P221" s="420"/>
      <c r="Q221" s="420"/>
      <c r="R221" s="420"/>
      <c r="S221" s="420"/>
      <c r="T221" s="420"/>
      <c r="U221" s="420"/>
      <c r="V221" s="420"/>
      <c r="W221" s="420"/>
      <c r="X221" s="420"/>
      <c r="Y221" s="420"/>
      <c r="Z221" s="420"/>
      <c r="AA221" s="420"/>
    </row>
    <row r="222">
      <c r="A222" s="420"/>
      <c r="B222" s="420"/>
      <c r="C222" s="420"/>
      <c r="D222" s="420"/>
      <c r="E222" s="420"/>
      <c r="F222" s="420"/>
      <c r="G222" s="420"/>
      <c r="H222" s="421"/>
      <c r="I222" s="420"/>
      <c r="J222" s="420"/>
      <c r="K222" s="420"/>
      <c r="L222" s="420"/>
      <c r="M222" s="420"/>
      <c r="N222" s="420"/>
      <c r="O222" s="420"/>
      <c r="P222" s="420"/>
      <c r="Q222" s="420"/>
      <c r="R222" s="420"/>
      <c r="S222" s="420"/>
      <c r="T222" s="420"/>
      <c r="U222" s="420"/>
      <c r="V222" s="420"/>
      <c r="W222" s="420"/>
      <c r="X222" s="420"/>
      <c r="Y222" s="420"/>
      <c r="Z222" s="420"/>
      <c r="AA222" s="420"/>
    </row>
    <row r="223">
      <c r="A223" s="420"/>
      <c r="B223" s="420"/>
      <c r="C223" s="420"/>
      <c r="D223" s="420"/>
      <c r="E223" s="420"/>
      <c r="F223" s="420"/>
      <c r="G223" s="420"/>
      <c r="H223" s="421"/>
      <c r="I223" s="420"/>
      <c r="J223" s="420"/>
      <c r="K223" s="420"/>
      <c r="L223" s="420"/>
      <c r="M223" s="420"/>
      <c r="N223" s="420"/>
      <c r="O223" s="420"/>
      <c r="P223" s="420"/>
      <c r="Q223" s="420"/>
      <c r="R223" s="420"/>
      <c r="S223" s="420"/>
      <c r="T223" s="420"/>
      <c r="U223" s="420"/>
      <c r="V223" s="420"/>
      <c r="W223" s="420"/>
      <c r="X223" s="420"/>
      <c r="Y223" s="420"/>
      <c r="Z223" s="420"/>
      <c r="AA223" s="420"/>
    </row>
    <row r="224">
      <c r="A224" s="420"/>
      <c r="B224" s="420"/>
      <c r="C224" s="420"/>
      <c r="D224" s="420"/>
      <c r="E224" s="420"/>
      <c r="F224" s="420"/>
      <c r="G224" s="420"/>
      <c r="H224" s="421"/>
      <c r="I224" s="420"/>
      <c r="J224" s="420"/>
      <c r="K224" s="420"/>
      <c r="L224" s="420"/>
      <c r="M224" s="420"/>
      <c r="N224" s="420"/>
      <c r="O224" s="420"/>
      <c r="P224" s="420"/>
      <c r="Q224" s="420"/>
      <c r="R224" s="420"/>
      <c r="S224" s="420"/>
      <c r="T224" s="420"/>
      <c r="U224" s="420"/>
      <c r="V224" s="420"/>
      <c r="W224" s="420"/>
      <c r="X224" s="420"/>
      <c r="Y224" s="420"/>
      <c r="Z224" s="420"/>
      <c r="AA224" s="420"/>
    </row>
    <row r="225">
      <c r="A225" s="420"/>
      <c r="B225" s="420"/>
      <c r="C225" s="420"/>
      <c r="D225" s="420"/>
      <c r="E225" s="420"/>
      <c r="F225" s="420"/>
      <c r="G225" s="420"/>
      <c r="H225" s="421"/>
      <c r="I225" s="420"/>
      <c r="J225" s="420"/>
      <c r="K225" s="420"/>
      <c r="L225" s="420"/>
      <c r="M225" s="420"/>
      <c r="N225" s="420"/>
      <c r="O225" s="420"/>
      <c r="P225" s="420"/>
      <c r="Q225" s="420"/>
      <c r="R225" s="420"/>
      <c r="S225" s="420"/>
      <c r="T225" s="420"/>
      <c r="U225" s="420"/>
      <c r="V225" s="420"/>
      <c r="W225" s="420"/>
      <c r="X225" s="420"/>
      <c r="Y225" s="420"/>
      <c r="Z225" s="420"/>
      <c r="AA225" s="420"/>
    </row>
    <row r="226">
      <c r="A226" s="420"/>
      <c r="B226" s="420"/>
      <c r="C226" s="420"/>
      <c r="D226" s="420"/>
      <c r="E226" s="420"/>
      <c r="F226" s="420"/>
      <c r="G226" s="420"/>
      <c r="H226" s="421"/>
      <c r="I226" s="420"/>
      <c r="J226" s="420"/>
      <c r="K226" s="420"/>
      <c r="L226" s="420"/>
      <c r="M226" s="420"/>
      <c r="N226" s="420"/>
      <c r="O226" s="420"/>
      <c r="P226" s="420"/>
      <c r="Q226" s="420"/>
      <c r="R226" s="420"/>
      <c r="S226" s="420"/>
      <c r="T226" s="420"/>
      <c r="U226" s="420"/>
      <c r="V226" s="420"/>
      <c r="W226" s="420"/>
      <c r="X226" s="420"/>
      <c r="Y226" s="420"/>
      <c r="Z226" s="420"/>
      <c r="AA226" s="420"/>
    </row>
    <row r="227">
      <c r="A227" s="420"/>
      <c r="B227" s="420"/>
      <c r="C227" s="420"/>
      <c r="D227" s="420"/>
      <c r="E227" s="420"/>
      <c r="F227" s="420"/>
      <c r="G227" s="420"/>
      <c r="H227" s="421"/>
      <c r="I227" s="420"/>
      <c r="J227" s="420"/>
      <c r="K227" s="420"/>
      <c r="L227" s="420"/>
      <c r="M227" s="420"/>
      <c r="N227" s="420"/>
      <c r="O227" s="420"/>
      <c r="P227" s="420"/>
      <c r="Q227" s="420"/>
      <c r="R227" s="420"/>
      <c r="S227" s="420"/>
      <c r="T227" s="420"/>
      <c r="U227" s="420"/>
      <c r="V227" s="420"/>
      <c r="W227" s="420"/>
      <c r="X227" s="420"/>
      <c r="Y227" s="420"/>
      <c r="Z227" s="420"/>
      <c r="AA227" s="420"/>
    </row>
    <row r="228">
      <c r="A228" s="420"/>
      <c r="B228" s="420"/>
      <c r="C228" s="420"/>
      <c r="D228" s="420"/>
      <c r="E228" s="420"/>
      <c r="F228" s="420"/>
      <c r="G228" s="420"/>
      <c r="H228" s="421"/>
      <c r="I228" s="420"/>
      <c r="J228" s="420"/>
      <c r="K228" s="420"/>
      <c r="L228" s="420"/>
      <c r="M228" s="420"/>
      <c r="N228" s="420"/>
      <c r="O228" s="420"/>
      <c r="P228" s="420"/>
      <c r="Q228" s="420"/>
      <c r="R228" s="420"/>
      <c r="S228" s="420"/>
      <c r="T228" s="420"/>
      <c r="U228" s="420"/>
      <c r="V228" s="420"/>
      <c r="W228" s="420"/>
      <c r="X228" s="420"/>
      <c r="Y228" s="420"/>
      <c r="Z228" s="420"/>
      <c r="AA228" s="420"/>
    </row>
    <row r="229">
      <c r="A229" s="420"/>
      <c r="B229" s="420"/>
      <c r="C229" s="420"/>
      <c r="D229" s="420"/>
      <c r="E229" s="420"/>
      <c r="F229" s="420"/>
      <c r="G229" s="420"/>
      <c r="H229" s="421"/>
      <c r="I229" s="420"/>
      <c r="J229" s="420"/>
      <c r="K229" s="420"/>
      <c r="L229" s="420"/>
      <c r="M229" s="420"/>
      <c r="N229" s="420"/>
      <c r="O229" s="420"/>
      <c r="P229" s="420"/>
      <c r="Q229" s="420"/>
      <c r="R229" s="420"/>
      <c r="S229" s="420"/>
      <c r="T229" s="420"/>
      <c r="U229" s="420"/>
      <c r="V229" s="420"/>
      <c r="W229" s="420"/>
      <c r="X229" s="420"/>
      <c r="Y229" s="420"/>
      <c r="Z229" s="420"/>
      <c r="AA229" s="420"/>
    </row>
    <row r="230">
      <c r="A230" s="420"/>
      <c r="B230" s="420"/>
      <c r="C230" s="420"/>
      <c r="D230" s="420"/>
      <c r="E230" s="420"/>
      <c r="F230" s="420"/>
      <c r="G230" s="420"/>
      <c r="H230" s="421"/>
      <c r="I230" s="420"/>
      <c r="J230" s="420"/>
      <c r="K230" s="420"/>
      <c r="L230" s="420"/>
      <c r="M230" s="420"/>
      <c r="N230" s="420"/>
      <c r="O230" s="420"/>
      <c r="P230" s="420"/>
      <c r="Q230" s="420"/>
      <c r="R230" s="420"/>
      <c r="S230" s="420"/>
      <c r="T230" s="420"/>
      <c r="U230" s="420"/>
      <c r="V230" s="420"/>
      <c r="W230" s="420"/>
      <c r="X230" s="420"/>
      <c r="Y230" s="420"/>
      <c r="Z230" s="420"/>
      <c r="AA230" s="420"/>
    </row>
    <row r="231">
      <c r="A231" s="420"/>
      <c r="B231" s="420"/>
      <c r="C231" s="420"/>
      <c r="D231" s="420"/>
      <c r="E231" s="420"/>
      <c r="F231" s="420"/>
      <c r="G231" s="420"/>
      <c r="H231" s="421"/>
      <c r="I231" s="420"/>
      <c r="J231" s="420"/>
      <c r="K231" s="420"/>
      <c r="L231" s="420"/>
      <c r="M231" s="420"/>
      <c r="N231" s="420"/>
      <c r="O231" s="420"/>
      <c r="P231" s="420"/>
      <c r="Q231" s="420"/>
      <c r="R231" s="420"/>
      <c r="S231" s="420"/>
      <c r="T231" s="420"/>
      <c r="U231" s="420"/>
      <c r="V231" s="420"/>
      <c r="W231" s="420"/>
      <c r="X231" s="420"/>
      <c r="Y231" s="420"/>
      <c r="Z231" s="420"/>
      <c r="AA231" s="420"/>
    </row>
    <row r="232">
      <c r="A232" s="420"/>
      <c r="B232" s="420"/>
      <c r="C232" s="420"/>
      <c r="D232" s="420"/>
      <c r="E232" s="420"/>
      <c r="F232" s="420"/>
      <c r="G232" s="420"/>
      <c r="H232" s="421"/>
      <c r="I232" s="420"/>
      <c r="J232" s="420"/>
      <c r="K232" s="420"/>
      <c r="L232" s="420"/>
      <c r="M232" s="420"/>
      <c r="N232" s="420"/>
      <c r="O232" s="420"/>
      <c r="P232" s="420"/>
      <c r="Q232" s="420"/>
      <c r="R232" s="420"/>
      <c r="S232" s="420"/>
      <c r="T232" s="420"/>
      <c r="U232" s="420"/>
      <c r="V232" s="420"/>
      <c r="W232" s="420"/>
      <c r="X232" s="420"/>
      <c r="Y232" s="420"/>
      <c r="Z232" s="420"/>
      <c r="AA232" s="420"/>
    </row>
    <row r="233">
      <c r="A233" s="420"/>
      <c r="B233" s="420"/>
      <c r="C233" s="420"/>
      <c r="D233" s="420"/>
      <c r="E233" s="420"/>
      <c r="F233" s="420"/>
      <c r="G233" s="420"/>
      <c r="H233" s="421"/>
      <c r="I233" s="420"/>
      <c r="J233" s="420"/>
      <c r="K233" s="420"/>
      <c r="L233" s="420"/>
      <c r="M233" s="420"/>
      <c r="N233" s="420"/>
      <c r="O233" s="420"/>
      <c r="P233" s="420"/>
      <c r="Q233" s="420"/>
      <c r="R233" s="420"/>
      <c r="S233" s="420"/>
      <c r="T233" s="420"/>
      <c r="U233" s="420"/>
      <c r="V233" s="420"/>
      <c r="W233" s="420"/>
      <c r="X233" s="420"/>
      <c r="Y233" s="420"/>
      <c r="Z233" s="420"/>
      <c r="AA233" s="420"/>
    </row>
    <row r="234">
      <c r="A234" s="420"/>
      <c r="B234" s="420"/>
      <c r="C234" s="420"/>
      <c r="D234" s="420"/>
      <c r="E234" s="420"/>
      <c r="F234" s="420"/>
      <c r="G234" s="420"/>
      <c r="H234" s="421"/>
      <c r="I234" s="420"/>
      <c r="J234" s="420"/>
      <c r="K234" s="420"/>
      <c r="L234" s="420"/>
      <c r="M234" s="420"/>
      <c r="N234" s="420"/>
      <c r="O234" s="420"/>
      <c r="P234" s="420"/>
      <c r="Q234" s="420"/>
      <c r="R234" s="420"/>
      <c r="S234" s="420"/>
      <c r="T234" s="420"/>
      <c r="U234" s="420"/>
      <c r="V234" s="420"/>
      <c r="W234" s="420"/>
      <c r="X234" s="420"/>
      <c r="Y234" s="420"/>
      <c r="Z234" s="420"/>
      <c r="AA234" s="420"/>
    </row>
    <row r="235">
      <c r="A235" s="420"/>
      <c r="B235" s="420"/>
      <c r="C235" s="420"/>
      <c r="D235" s="420"/>
      <c r="E235" s="420"/>
      <c r="F235" s="420"/>
      <c r="G235" s="420"/>
      <c r="H235" s="421"/>
      <c r="I235" s="420"/>
      <c r="J235" s="420"/>
      <c r="K235" s="420"/>
      <c r="L235" s="420"/>
      <c r="M235" s="420"/>
      <c r="N235" s="420"/>
      <c r="O235" s="420"/>
      <c r="P235" s="420"/>
      <c r="Q235" s="420"/>
      <c r="R235" s="420"/>
      <c r="S235" s="420"/>
      <c r="T235" s="420"/>
      <c r="U235" s="420"/>
      <c r="V235" s="420"/>
      <c r="W235" s="420"/>
      <c r="X235" s="420"/>
      <c r="Y235" s="420"/>
      <c r="Z235" s="420"/>
      <c r="AA235" s="420"/>
    </row>
    <row r="236">
      <c r="A236" s="420"/>
      <c r="B236" s="420"/>
      <c r="C236" s="420"/>
      <c r="D236" s="420"/>
      <c r="E236" s="420"/>
      <c r="F236" s="420"/>
      <c r="G236" s="420"/>
      <c r="H236" s="421"/>
      <c r="I236" s="420"/>
      <c r="J236" s="420"/>
      <c r="K236" s="420"/>
      <c r="L236" s="420"/>
      <c r="M236" s="420"/>
      <c r="N236" s="420"/>
      <c r="O236" s="420"/>
      <c r="P236" s="420"/>
      <c r="Q236" s="420"/>
      <c r="R236" s="420"/>
      <c r="S236" s="420"/>
      <c r="T236" s="420"/>
      <c r="U236" s="420"/>
      <c r="V236" s="420"/>
      <c r="W236" s="420"/>
      <c r="X236" s="420"/>
      <c r="Y236" s="420"/>
      <c r="Z236" s="420"/>
      <c r="AA236" s="420"/>
    </row>
    <row r="237">
      <c r="A237" s="420"/>
      <c r="B237" s="420"/>
      <c r="C237" s="420"/>
      <c r="D237" s="420"/>
      <c r="E237" s="420"/>
      <c r="F237" s="420"/>
      <c r="G237" s="420"/>
      <c r="H237" s="421"/>
      <c r="I237" s="420"/>
      <c r="J237" s="420"/>
      <c r="K237" s="420"/>
      <c r="L237" s="420"/>
      <c r="M237" s="420"/>
      <c r="N237" s="420"/>
      <c r="O237" s="420"/>
      <c r="P237" s="420"/>
      <c r="Q237" s="420"/>
      <c r="R237" s="420"/>
      <c r="S237" s="420"/>
      <c r="T237" s="420"/>
      <c r="U237" s="420"/>
      <c r="V237" s="420"/>
      <c r="W237" s="420"/>
      <c r="X237" s="420"/>
      <c r="Y237" s="420"/>
      <c r="Z237" s="420"/>
      <c r="AA237" s="420"/>
    </row>
    <row r="238">
      <c r="A238" s="420"/>
      <c r="B238" s="420"/>
      <c r="C238" s="420"/>
      <c r="D238" s="420"/>
      <c r="E238" s="420"/>
      <c r="F238" s="420"/>
      <c r="G238" s="420"/>
      <c r="H238" s="421"/>
      <c r="I238" s="420"/>
      <c r="J238" s="420"/>
      <c r="K238" s="420"/>
      <c r="L238" s="420"/>
      <c r="M238" s="420"/>
      <c r="N238" s="420"/>
      <c r="O238" s="420"/>
      <c r="P238" s="420"/>
      <c r="Q238" s="420"/>
      <c r="R238" s="420"/>
      <c r="S238" s="420"/>
      <c r="T238" s="420"/>
      <c r="U238" s="420"/>
      <c r="V238" s="420"/>
      <c r="W238" s="420"/>
      <c r="X238" s="420"/>
      <c r="Y238" s="420"/>
      <c r="Z238" s="420"/>
      <c r="AA238" s="420"/>
    </row>
    <row r="239">
      <c r="A239" s="420"/>
      <c r="B239" s="420"/>
      <c r="C239" s="420"/>
      <c r="D239" s="420"/>
      <c r="E239" s="420"/>
      <c r="F239" s="420"/>
      <c r="G239" s="420"/>
      <c r="H239" s="421"/>
      <c r="I239" s="420"/>
      <c r="J239" s="420"/>
      <c r="K239" s="420"/>
      <c r="L239" s="420"/>
      <c r="M239" s="420"/>
      <c r="N239" s="420"/>
      <c r="O239" s="420"/>
      <c r="P239" s="420"/>
      <c r="Q239" s="420"/>
      <c r="R239" s="420"/>
      <c r="S239" s="420"/>
      <c r="T239" s="420"/>
      <c r="U239" s="420"/>
      <c r="V239" s="420"/>
      <c r="W239" s="420"/>
      <c r="X239" s="420"/>
      <c r="Y239" s="420"/>
      <c r="Z239" s="420"/>
      <c r="AA239" s="420"/>
    </row>
    <row r="240">
      <c r="A240" s="420"/>
      <c r="B240" s="420"/>
      <c r="C240" s="420"/>
      <c r="D240" s="420"/>
      <c r="E240" s="420"/>
      <c r="F240" s="420"/>
      <c r="G240" s="420"/>
      <c r="H240" s="421"/>
      <c r="I240" s="420"/>
      <c r="J240" s="420"/>
      <c r="K240" s="420"/>
      <c r="L240" s="420"/>
      <c r="M240" s="420"/>
      <c r="N240" s="420"/>
      <c r="O240" s="420"/>
      <c r="P240" s="420"/>
      <c r="Q240" s="420"/>
      <c r="R240" s="420"/>
      <c r="S240" s="420"/>
      <c r="T240" s="420"/>
      <c r="U240" s="420"/>
      <c r="V240" s="420"/>
      <c r="W240" s="420"/>
      <c r="X240" s="420"/>
      <c r="Y240" s="420"/>
      <c r="Z240" s="420"/>
      <c r="AA240" s="420"/>
    </row>
    <row r="241">
      <c r="A241" s="420"/>
      <c r="B241" s="420"/>
      <c r="C241" s="420"/>
      <c r="D241" s="420"/>
      <c r="E241" s="420"/>
      <c r="F241" s="420"/>
      <c r="G241" s="420"/>
      <c r="H241" s="421"/>
      <c r="I241" s="420"/>
      <c r="J241" s="420"/>
      <c r="K241" s="420"/>
      <c r="L241" s="420"/>
      <c r="M241" s="420"/>
      <c r="N241" s="420"/>
      <c r="O241" s="420"/>
      <c r="P241" s="420"/>
      <c r="Q241" s="420"/>
      <c r="R241" s="420"/>
      <c r="S241" s="420"/>
      <c r="T241" s="420"/>
      <c r="U241" s="420"/>
      <c r="V241" s="420"/>
      <c r="W241" s="420"/>
      <c r="X241" s="420"/>
      <c r="Y241" s="420"/>
      <c r="Z241" s="420"/>
      <c r="AA241" s="420"/>
    </row>
    <row r="242">
      <c r="A242" s="420"/>
      <c r="B242" s="420"/>
      <c r="C242" s="420"/>
      <c r="D242" s="420"/>
      <c r="E242" s="420"/>
      <c r="F242" s="420"/>
      <c r="G242" s="420"/>
      <c r="H242" s="421"/>
      <c r="I242" s="420"/>
      <c r="J242" s="420"/>
      <c r="K242" s="420"/>
      <c r="L242" s="420"/>
      <c r="M242" s="420"/>
      <c r="N242" s="420"/>
      <c r="O242" s="420"/>
      <c r="P242" s="420"/>
      <c r="Q242" s="420"/>
      <c r="R242" s="420"/>
      <c r="S242" s="420"/>
      <c r="T242" s="420"/>
      <c r="U242" s="420"/>
      <c r="V242" s="420"/>
      <c r="W242" s="420"/>
      <c r="X242" s="420"/>
      <c r="Y242" s="420"/>
      <c r="Z242" s="420"/>
      <c r="AA242" s="420"/>
    </row>
    <row r="243">
      <c r="A243" s="420"/>
      <c r="B243" s="420"/>
      <c r="C243" s="420"/>
      <c r="D243" s="420"/>
      <c r="E243" s="420"/>
      <c r="F243" s="420"/>
      <c r="G243" s="420"/>
      <c r="H243" s="421"/>
      <c r="I243" s="420"/>
      <c r="J243" s="420"/>
      <c r="K243" s="420"/>
      <c r="L243" s="420"/>
      <c r="M243" s="420"/>
      <c r="N243" s="420"/>
      <c r="O243" s="420"/>
      <c r="P243" s="420"/>
      <c r="Q243" s="420"/>
      <c r="R243" s="420"/>
      <c r="S243" s="420"/>
      <c r="T243" s="420"/>
      <c r="U243" s="420"/>
      <c r="V243" s="420"/>
      <c r="W243" s="420"/>
      <c r="X243" s="420"/>
      <c r="Y243" s="420"/>
      <c r="Z243" s="420"/>
      <c r="AA243" s="420"/>
    </row>
    <row r="244">
      <c r="A244" s="420"/>
      <c r="B244" s="420"/>
      <c r="C244" s="420"/>
      <c r="D244" s="420"/>
      <c r="E244" s="420"/>
      <c r="F244" s="420"/>
      <c r="G244" s="420"/>
      <c r="H244" s="421"/>
      <c r="I244" s="420"/>
      <c r="J244" s="420"/>
      <c r="K244" s="420"/>
      <c r="L244" s="420"/>
      <c r="M244" s="420"/>
      <c r="N244" s="420"/>
      <c r="O244" s="420"/>
      <c r="P244" s="420"/>
      <c r="Q244" s="420"/>
      <c r="R244" s="420"/>
      <c r="S244" s="420"/>
      <c r="T244" s="420"/>
      <c r="U244" s="420"/>
      <c r="V244" s="420"/>
      <c r="W244" s="420"/>
      <c r="X244" s="420"/>
      <c r="Y244" s="420"/>
      <c r="Z244" s="420"/>
      <c r="AA244" s="420"/>
    </row>
    <row r="245">
      <c r="A245" s="420"/>
      <c r="B245" s="420"/>
      <c r="C245" s="420"/>
      <c r="D245" s="420"/>
      <c r="E245" s="420"/>
      <c r="F245" s="420"/>
      <c r="G245" s="420"/>
      <c r="H245" s="421"/>
      <c r="I245" s="420"/>
      <c r="J245" s="420"/>
      <c r="K245" s="420"/>
      <c r="L245" s="420"/>
      <c r="M245" s="420"/>
      <c r="N245" s="420"/>
      <c r="O245" s="420"/>
      <c r="P245" s="420"/>
      <c r="Q245" s="420"/>
      <c r="R245" s="420"/>
      <c r="S245" s="420"/>
      <c r="T245" s="420"/>
      <c r="U245" s="420"/>
      <c r="V245" s="420"/>
      <c r="W245" s="420"/>
      <c r="X245" s="420"/>
      <c r="Y245" s="420"/>
      <c r="Z245" s="420"/>
      <c r="AA245" s="420"/>
    </row>
    <row r="246">
      <c r="A246" s="420"/>
      <c r="B246" s="420"/>
      <c r="C246" s="420"/>
      <c r="D246" s="420"/>
      <c r="E246" s="420"/>
      <c r="F246" s="420"/>
      <c r="G246" s="420"/>
      <c r="H246" s="421"/>
      <c r="I246" s="420"/>
      <c r="J246" s="420"/>
      <c r="K246" s="420"/>
      <c r="L246" s="420"/>
      <c r="M246" s="420"/>
      <c r="N246" s="420"/>
      <c r="O246" s="420"/>
      <c r="P246" s="420"/>
      <c r="Q246" s="420"/>
      <c r="R246" s="420"/>
      <c r="S246" s="420"/>
      <c r="T246" s="420"/>
      <c r="U246" s="420"/>
      <c r="V246" s="420"/>
      <c r="W246" s="420"/>
      <c r="X246" s="420"/>
      <c r="Y246" s="420"/>
      <c r="Z246" s="420"/>
      <c r="AA246" s="420"/>
    </row>
    <row r="247">
      <c r="A247" s="420"/>
      <c r="B247" s="420"/>
      <c r="C247" s="420"/>
      <c r="D247" s="420"/>
      <c r="E247" s="420"/>
      <c r="F247" s="420"/>
      <c r="G247" s="420"/>
      <c r="H247" s="421"/>
      <c r="I247" s="420"/>
      <c r="J247" s="420"/>
      <c r="K247" s="420"/>
      <c r="L247" s="420"/>
      <c r="M247" s="420"/>
      <c r="N247" s="420"/>
      <c r="O247" s="420"/>
      <c r="P247" s="420"/>
      <c r="Q247" s="420"/>
      <c r="R247" s="420"/>
      <c r="S247" s="420"/>
      <c r="T247" s="420"/>
      <c r="U247" s="420"/>
      <c r="V247" s="420"/>
      <c r="W247" s="420"/>
      <c r="X247" s="420"/>
      <c r="Y247" s="420"/>
      <c r="Z247" s="420"/>
      <c r="AA247" s="420"/>
    </row>
    <row r="248">
      <c r="A248" s="420"/>
      <c r="B248" s="420"/>
      <c r="C248" s="420"/>
      <c r="D248" s="420"/>
      <c r="E248" s="420"/>
      <c r="F248" s="420"/>
      <c r="G248" s="420"/>
      <c r="H248" s="421"/>
      <c r="I248" s="420"/>
      <c r="J248" s="420"/>
      <c r="K248" s="420"/>
      <c r="L248" s="420"/>
      <c r="M248" s="420"/>
      <c r="N248" s="420"/>
      <c r="O248" s="420"/>
      <c r="P248" s="420"/>
      <c r="Q248" s="420"/>
      <c r="R248" s="420"/>
      <c r="S248" s="420"/>
      <c r="T248" s="420"/>
      <c r="U248" s="420"/>
      <c r="V248" s="420"/>
      <c r="W248" s="420"/>
      <c r="X248" s="420"/>
      <c r="Y248" s="420"/>
      <c r="Z248" s="420"/>
      <c r="AA248" s="420"/>
    </row>
    <row r="249">
      <c r="A249" s="420"/>
      <c r="B249" s="420"/>
      <c r="C249" s="420"/>
      <c r="D249" s="420"/>
      <c r="E249" s="420"/>
      <c r="F249" s="420"/>
      <c r="G249" s="420"/>
      <c r="H249" s="421"/>
      <c r="I249" s="420"/>
      <c r="J249" s="420"/>
      <c r="K249" s="420"/>
      <c r="L249" s="420"/>
      <c r="M249" s="420"/>
      <c r="N249" s="420"/>
      <c r="O249" s="420"/>
      <c r="P249" s="420"/>
      <c r="Q249" s="420"/>
      <c r="R249" s="420"/>
      <c r="S249" s="420"/>
      <c r="T249" s="420"/>
      <c r="U249" s="420"/>
      <c r="V249" s="420"/>
      <c r="W249" s="420"/>
      <c r="X249" s="420"/>
      <c r="Y249" s="420"/>
      <c r="Z249" s="420"/>
      <c r="AA249" s="420"/>
    </row>
    <row r="250">
      <c r="A250" s="420"/>
      <c r="B250" s="420"/>
      <c r="C250" s="420"/>
      <c r="D250" s="420"/>
      <c r="E250" s="420"/>
      <c r="F250" s="420"/>
      <c r="G250" s="420"/>
      <c r="H250" s="421"/>
      <c r="I250" s="420"/>
      <c r="J250" s="420"/>
      <c r="K250" s="420"/>
      <c r="L250" s="420"/>
      <c r="M250" s="420"/>
      <c r="N250" s="420"/>
      <c r="O250" s="420"/>
      <c r="P250" s="420"/>
      <c r="Q250" s="420"/>
      <c r="R250" s="420"/>
      <c r="S250" s="420"/>
      <c r="T250" s="420"/>
      <c r="U250" s="420"/>
      <c r="V250" s="420"/>
      <c r="W250" s="420"/>
      <c r="X250" s="420"/>
      <c r="Y250" s="420"/>
      <c r="Z250" s="420"/>
      <c r="AA250" s="420"/>
    </row>
    <row r="251">
      <c r="A251" s="420"/>
      <c r="B251" s="420"/>
      <c r="C251" s="420"/>
      <c r="D251" s="420"/>
      <c r="E251" s="420"/>
      <c r="F251" s="420"/>
      <c r="G251" s="420"/>
      <c r="H251" s="421"/>
      <c r="I251" s="420"/>
      <c r="J251" s="420"/>
      <c r="K251" s="420"/>
      <c r="L251" s="420"/>
      <c r="M251" s="420"/>
      <c r="N251" s="420"/>
      <c r="O251" s="420"/>
      <c r="P251" s="420"/>
      <c r="Q251" s="420"/>
      <c r="R251" s="420"/>
      <c r="S251" s="420"/>
      <c r="T251" s="420"/>
      <c r="U251" s="420"/>
      <c r="V251" s="420"/>
      <c r="W251" s="420"/>
      <c r="X251" s="420"/>
      <c r="Y251" s="420"/>
      <c r="Z251" s="420"/>
      <c r="AA251" s="420"/>
    </row>
    <row r="252">
      <c r="A252" s="420"/>
      <c r="B252" s="420"/>
      <c r="C252" s="420"/>
      <c r="D252" s="420"/>
      <c r="E252" s="420"/>
      <c r="F252" s="420"/>
      <c r="G252" s="420"/>
      <c r="H252" s="421"/>
      <c r="I252" s="420"/>
      <c r="J252" s="420"/>
      <c r="K252" s="420"/>
      <c r="L252" s="420"/>
      <c r="M252" s="420"/>
      <c r="N252" s="420"/>
      <c r="O252" s="420"/>
      <c r="P252" s="420"/>
      <c r="Q252" s="420"/>
      <c r="R252" s="420"/>
      <c r="S252" s="420"/>
      <c r="T252" s="420"/>
      <c r="U252" s="420"/>
      <c r="V252" s="420"/>
      <c r="W252" s="420"/>
      <c r="X252" s="420"/>
      <c r="Y252" s="420"/>
      <c r="Z252" s="420"/>
      <c r="AA252" s="420"/>
    </row>
    <row r="253">
      <c r="A253" s="420"/>
      <c r="B253" s="420"/>
      <c r="C253" s="420"/>
      <c r="D253" s="420"/>
      <c r="E253" s="420"/>
      <c r="F253" s="420"/>
      <c r="G253" s="420"/>
      <c r="H253" s="421"/>
      <c r="I253" s="420"/>
      <c r="J253" s="420"/>
      <c r="K253" s="420"/>
      <c r="L253" s="420"/>
      <c r="M253" s="420"/>
      <c r="N253" s="420"/>
      <c r="O253" s="420"/>
      <c r="P253" s="420"/>
      <c r="Q253" s="420"/>
      <c r="R253" s="420"/>
      <c r="S253" s="420"/>
      <c r="T253" s="420"/>
      <c r="U253" s="420"/>
      <c r="V253" s="420"/>
      <c r="W253" s="420"/>
      <c r="X253" s="420"/>
      <c r="Y253" s="420"/>
      <c r="Z253" s="420"/>
      <c r="AA253" s="420"/>
    </row>
    <row r="254">
      <c r="A254" s="420"/>
      <c r="B254" s="420"/>
      <c r="C254" s="420"/>
      <c r="D254" s="420"/>
      <c r="E254" s="420"/>
      <c r="F254" s="420"/>
      <c r="G254" s="420"/>
      <c r="H254" s="421"/>
      <c r="I254" s="420"/>
      <c r="J254" s="420"/>
      <c r="K254" s="420"/>
      <c r="L254" s="420"/>
      <c r="M254" s="420"/>
      <c r="N254" s="420"/>
      <c r="O254" s="420"/>
      <c r="P254" s="420"/>
      <c r="Q254" s="420"/>
      <c r="R254" s="420"/>
      <c r="S254" s="420"/>
      <c r="T254" s="420"/>
      <c r="U254" s="420"/>
      <c r="V254" s="420"/>
      <c r="W254" s="420"/>
      <c r="X254" s="420"/>
      <c r="Y254" s="420"/>
      <c r="Z254" s="420"/>
      <c r="AA254" s="420"/>
    </row>
    <row r="255">
      <c r="A255" s="420"/>
      <c r="B255" s="420"/>
      <c r="C255" s="420"/>
      <c r="D255" s="420"/>
      <c r="E255" s="420"/>
      <c r="F255" s="420"/>
      <c r="G255" s="420"/>
      <c r="H255" s="421"/>
      <c r="I255" s="420"/>
      <c r="J255" s="420"/>
      <c r="K255" s="420"/>
      <c r="L255" s="420"/>
      <c r="M255" s="420"/>
      <c r="N255" s="420"/>
      <c r="O255" s="420"/>
      <c r="P255" s="420"/>
      <c r="Q255" s="420"/>
      <c r="R255" s="420"/>
      <c r="S255" s="420"/>
      <c r="T255" s="420"/>
      <c r="U255" s="420"/>
      <c r="V255" s="420"/>
      <c r="W255" s="420"/>
      <c r="X255" s="420"/>
      <c r="Y255" s="420"/>
      <c r="Z255" s="420"/>
      <c r="AA255" s="420"/>
    </row>
    <row r="256">
      <c r="A256" s="420"/>
      <c r="B256" s="420"/>
      <c r="C256" s="420"/>
      <c r="D256" s="420"/>
      <c r="E256" s="420"/>
      <c r="F256" s="420"/>
      <c r="G256" s="420"/>
      <c r="H256" s="421"/>
      <c r="I256" s="420"/>
      <c r="J256" s="420"/>
      <c r="K256" s="420"/>
      <c r="L256" s="420"/>
      <c r="M256" s="420"/>
      <c r="N256" s="420"/>
      <c r="O256" s="420"/>
      <c r="P256" s="420"/>
      <c r="Q256" s="420"/>
      <c r="R256" s="420"/>
      <c r="S256" s="420"/>
      <c r="T256" s="420"/>
      <c r="U256" s="420"/>
      <c r="V256" s="420"/>
      <c r="W256" s="420"/>
      <c r="X256" s="420"/>
      <c r="Y256" s="420"/>
      <c r="Z256" s="420"/>
      <c r="AA256" s="420"/>
    </row>
    <row r="257">
      <c r="A257" s="420"/>
      <c r="B257" s="420"/>
      <c r="C257" s="420"/>
      <c r="D257" s="420"/>
      <c r="E257" s="420"/>
      <c r="F257" s="420"/>
      <c r="G257" s="420"/>
      <c r="H257" s="421"/>
      <c r="I257" s="420"/>
      <c r="J257" s="420"/>
      <c r="K257" s="420"/>
      <c r="L257" s="420"/>
      <c r="M257" s="420"/>
      <c r="N257" s="420"/>
      <c r="O257" s="420"/>
      <c r="P257" s="420"/>
      <c r="Q257" s="420"/>
      <c r="R257" s="420"/>
      <c r="S257" s="420"/>
      <c r="T257" s="420"/>
      <c r="U257" s="420"/>
      <c r="V257" s="420"/>
      <c r="W257" s="420"/>
      <c r="X257" s="420"/>
      <c r="Y257" s="420"/>
      <c r="Z257" s="420"/>
      <c r="AA257" s="420"/>
    </row>
    <row r="258">
      <c r="A258" s="420"/>
      <c r="B258" s="420"/>
      <c r="C258" s="420"/>
      <c r="D258" s="420"/>
      <c r="E258" s="420"/>
      <c r="F258" s="420"/>
      <c r="G258" s="420"/>
      <c r="H258" s="421"/>
      <c r="I258" s="420"/>
      <c r="J258" s="420"/>
      <c r="K258" s="420"/>
      <c r="L258" s="420"/>
      <c r="M258" s="420"/>
      <c r="N258" s="420"/>
      <c r="O258" s="420"/>
      <c r="P258" s="420"/>
      <c r="Q258" s="420"/>
      <c r="R258" s="420"/>
      <c r="S258" s="420"/>
      <c r="T258" s="420"/>
      <c r="U258" s="420"/>
      <c r="V258" s="420"/>
      <c r="W258" s="420"/>
      <c r="X258" s="420"/>
      <c r="Y258" s="420"/>
      <c r="Z258" s="420"/>
      <c r="AA258" s="420"/>
    </row>
    <row r="259">
      <c r="A259" s="420"/>
      <c r="B259" s="420"/>
      <c r="C259" s="420"/>
      <c r="D259" s="420"/>
      <c r="E259" s="420"/>
      <c r="F259" s="420"/>
      <c r="G259" s="420"/>
      <c r="H259" s="421"/>
      <c r="I259" s="420"/>
      <c r="J259" s="420"/>
      <c r="K259" s="420"/>
      <c r="L259" s="420"/>
      <c r="M259" s="420"/>
      <c r="N259" s="420"/>
      <c r="O259" s="420"/>
      <c r="P259" s="420"/>
      <c r="Q259" s="420"/>
      <c r="R259" s="420"/>
      <c r="S259" s="420"/>
      <c r="T259" s="420"/>
      <c r="U259" s="420"/>
      <c r="V259" s="420"/>
      <c r="W259" s="420"/>
      <c r="X259" s="420"/>
      <c r="Y259" s="420"/>
      <c r="Z259" s="420"/>
      <c r="AA259" s="420"/>
    </row>
    <row r="260">
      <c r="A260" s="420"/>
      <c r="B260" s="420"/>
      <c r="C260" s="420"/>
      <c r="D260" s="420"/>
      <c r="E260" s="420"/>
      <c r="F260" s="420"/>
      <c r="G260" s="420"/>
      <c r="H260" s="421"/>
      <c r="I260" s="420"/>
      <c r="J260" s="420"/>
      <c r="K260" s="420"/>
      <c r="L260" s="420"/>
      <c r="M260" s="420"/>
      <c r="N260" s="420"/>
      <c r="O260" s="420"/>
      <c r="P260" s="420"/>
      <c r="Q260" s="420"/>
      <c r="R260" s="420"/>
      <c r="S260" s="420"/>
      <c r="T260" s="420"/>
      <c r="U260" s="420"/>
      <c r="V260" s="420"/>
      <c r="W260" s="420"/>
      <c r="X260" s="420"/>
      <c r="Y260" s="420"/>
      <c r="Z260" s="420"/>
      <c r="AA260" s="420"/>
    </row>
    <row r="261">
      <c r="A261" s="420"/>
      <c r="B261" s="420"/>
      <c r="C261" s="420"/>
      <c r="D261" s="420"/>
      <c r="E261" s="420"/>
      <c r="F261" s="420"/>
      <c r="G261" s="420"/>
      <c r="H261" s="421"/>
      <c r="I261" s="420"/>
      <c r="J261" s="420"/>
      <c r="K261" s="420"/>
      <c r="L261" s="420"/>
      <c r="M261" s="420"/>
      <c r="N261" s="420"/>
      <c r="O261" s="420"/>
      <c r="P261" s="420"/>
      <c r="Q261" s="420"/>
      <c r="R261" s="420"/>
      <c r="S261" s="420"/>
      <c r="T261" s="420"/>
      <c r="U261" s="420"/>
      <c r="V261" s="420"/>
      <c r="W261" s="420"/>
      <c r="X261" s="420"/>
      <c r="Y261" s="420"/>
      <c r="Z261" s="420"/>
      <c r="AA261" s="420"/>
    </row>
    <row r="262">
      <c r="A262" s="420"/>
      <c r="B262" s="420"/>
      <c r="C262" s="420"/>
      <c r="D262" s="420"/>
      <c r="E262" s="420"/>
      <c r="F262" s="420"/>
      <c r="G262" s="420"/>
      <c r="H262" s="421"/>
      <c r="I262" s="420"/>
      <c r="J262" s="420"/>
      <c r="K262" s="420"/>
      <c r="L262" s="420"/>
      <c r="M262" s="420"/>
      <c r="N262" s="420"/>
      <c r="O262" s="420"/>
      <c r="P262" s="420"/>
      <c r="Q262" s="420"/>
      <c r="R262" s="420"/>
      <c r="S262" s="420"/>
      <c r="T262" s="420"/>
      <c r="U262" s="420"/>
      <c r="V262" s="420"/>
      <c r="W262" s="420"/>
      <c r="X262" s="420"/>
      <c r="Y262" s="420"/>
      <c r="Z262" s="420"/>
      <c r="AA262" s="420"/>
    </row>
    <row r="263">
      <c r="A263" s="420"/>
      <c r="B263" s="420"/>
      <c r="C263" s="420"/>
      <c r="D263" s="420"/>
      <c r="E263" s="420"/>
      <c r="F263" s="420"/>
      <c r="G263" s="420"/>
      <c r="H263" s="421"/>
      <c r="I263" s="420"/>
      <c r="J263" s="420"/>
      <c r="K263" s="420"/>
      <c r="L263" s="420"/>
      <c r="M263" s="420"/>
      <c r="N263" s="420"/>
      <c r="O263" s="420"/>
      <c r="P263" s="420"/>
      <c r="Q263" s="420"/>
      <c r="R263" s="420"/>
      <c r="S263" s="420"/>
      <c r="T263" s="420"/>
      <c r="U263" s="420"/>
      <c r="V263" s="420"/>
      <c r="W263" s="420"/>
      <c r="X263" s="420"/>
      <c r="Y263" s="420"/>
      <c r="Z263" s="420"/>
      <c r="AA263" s="420"/>
    </row>
    <row r="264">
      <c r="A264" s="420"/>
      <c r="B264" s="420"/>
      <c r="C264" s="420"/>
      <c r="D264" s="420"/>
      <c r="E264" s="420"/>
      <c r="F264" s="420"/>
      <c r="G264" s="420"/>
      <c r="H264" s="421"/>
      <c r="I264" s="420"/>
      <c r="J264" s="420"/>
      <c r="K264" s="420"/>
      <c r="L264" s="420"/>
      <c r="M264" s="420"/>
      <c r="N264" s="420"/>
      <c r="O264" s="420"/>
      <c r="P264" s="420"/>
      <c r="Q264" s="420"/>
      <c r="R264" s="420"/>
      <c r="S264" s="420"/>
      <c r="T264" s="420"/>
      <c r="U264" s="420"/>
      <c r="V264" s="420"/>
      <c r="W264" s="420"/>
      <c r="X264" s="420"/>
      <c r="Y264" s="420"/>
      <c r="Z264" s="420"/>
      <c r="AA264" s="420"/>
    </row>
    <row r="265">
      <c r="A265" s="420"/>
      <c r="B265" s="420"/>
      <c r="C265" s="420"/>
      <c r="D265" s="420"/>
      <c r="E265" s="420"/>
      <c r="F265" s="420"/>
      <c r="G265" s="420"/>
      <c r="H265" s="421"/>
      <c r="I265" s="420"/>
      <c r="J265" s="420"/>
      <c r="K265" s="420"/>
      <c r="L265" s="420"/>
      <c r="M265" s="420"/>
      <c r="N265" s="420"/>
      <c r="O265" s="420"/>
      <c r="P265" s="420"/>
      <c r="Q265" s="420"/>
      <c r="R265" s="420"/>
      <c r="S265" s="420"/>
      <c r="T265" s="420"/>
      <c r="U265" s="420"/>
      <c r="V265" s="420"/>
      <c r="W265" s="420"/>
      <c r="X265" s="420"/>
      <c r="Y265" s="420"/>
      <c r="Z265" s="420"/>
      <c r="AA265" s="420"/>
    </row>
    <row r="266">
      <c r="A266" s="420"/>
      <c r="B266" s="420"/>
      <c r="C266" s="420"/>
      <c r="D266" s="420"/>
      <c r="E266" s="420"/>
      <c r="F266" s="420"/>
      <c r="G266" s="420"/>
      <c r="H266" s="421"/>
      <c r="I266" s="420"/>
      <c r="J266" s="420"/>
      <c r="K266" s="420"/>
      <c r="L266" s="420"/>
      <c r="M266" s="420"/>
      <c r="N266" s="420"/>
      <c r="O266" s="420"/>
      <c r="P266" s="420"/>
      <c r="Q266" s="420"/>
      <c r="R266" s="420"/>
      <c r="S266" s="420"/>
      <c r="T266" s="420"/>
      <c r="U266" s="420"/>
      <c r="V266" s="420"/>
      <c r="W266" s="420"/>
      <c r="X266" s="420"/>
      <c r="Y266" s="420"/>
      <c r="Z266" s="420"/>
      <c r="AA266" s="420"/>
    </row>
    <row r="267">
      <c r="A267" s="420"/>
      <c r="B267" s="420"/>
      <c r="C267" s="420"/>
      <c r="D267" s="420"/>
      <c r="E267" s="420"/>
      <c r="F267" s="420"/>
      <c r="G267" s="420"/>
      <c r="H267" s="421"/>
      <c r="I267" s="420"/>
      <c r="J267" s="420"/>
      <c r="K267" s="420"/>
      <c r="L267" s="420"/>
      <c r="M267" s="420"/>
      <c r="N267" s="420"/>
      <c r="O267" s="420"/>
      <c r="P267" s="420"/>
      <c r="Q267" s="420"/>
      <c r="R267" s="420"/>
      <c r="S267" s="420"/>
      <c r="T267" s="420"/>
      <c r="U267" s="420"/>
      <c r="V267" s="420"/>
      <c r="W267" s="420"/>
      <c r="X267" s="420"/>
      <c r="Y267" s="420"/>
      <c r="Z267" s="420"/>
      <c r="AA267" s="420"/>
    </row>
    <row r="268">
      <c r="A268" s="420"/>
      <c r="B268" s="420"/>
      <c r="C268" s="420"/>
      <c r="D268" s="420"/>
      <c r="E268" s="420"/>
      <c r="F268" s="420"/>
      <c r="G268" s="420"/>
      <c r="H268" s="421"/>
      <c r="I268" s="420"/>
      <c r="J268" s="420"/>
      <c r="K268" s="420"/>
      <c r="L268" s="420"/>
      <c r="M268" s="420"/>
      <c r="N268" s="420"/>
      <c r="O268" s="420"/>
      <c r="P268" s="420"/>
      <c r="Q268" s="420"/>
      <c r="R268" s="420"/>
      <c r="S268" s="420"/>
      <c r="T268" s="420"/>
      <c r="U268" s="420"/>
      <c r="V268" s="420"/>
      <c r="W268" s="420"/>
      <c r="X268" s="420"/>
      <c r="Y268" s="420"/>
      <c r="Z268" s="420"/>
      <c r="AA268" s="420"/>
    </row>
    <row r="269">
      <c r="A269" s="420"/>
      <c r="B269" s="420"/>
      <c r="C269" s="420"/>
      <c r="D269" s="420"/>
      <c r="E269" s="420"/>
      <c r="F269" s="420"/>
      <c r="G269" s="420"/>
      <c r="H269" s="421"/>
      <c r="I269" s="420"/>
      <c r="J269" s="420"/>
      <c r="K269" s="420"/>
      <c r="L269" s="420"/>
      <c r="M269" s="420"/>
      <c r="N269" s="420"/>
      <c r="O269" s="420"/>
      <c r="P269" s="420"/>
      <c r="Q269" s="420"/>
      <c r="R269" s="420"/>
      <c r="S269" s="420"/>
      <c r="T269" s="420"/>
      <c r="U269" s="420"/>
      <c r="V269" s="420"/>
      <c r="W269" s="420"/>
      <c r="X269" s="420"/>
      <c r="Y269" s="420"/>
      <c r="Z269" s="420"/>
      <c r="AA269" s="420"/>
    </row>
    <row r="270">
      <c r="A270" s="420"/>
      <c r="B270" s="420"/>
      <c r="C270" s="420"/>
      <c r="D270" s="420"/>
      <c r="E270" s="420"/>
      <c r="F270" s="420"/>
      <c r="G270" s="420"/>
      <c r="H270" s="421"/>
      <c r="I270" s="420"/>
      <c r="J270" s="420"/>
      <c r="K270" s="420"/>
      <c r="L270" s="420"/>
      <c r="M270" s="420"/>
      <c r="N270" s="420"/>
      <c r="O270" s="420"/>
      <c r="P270" s="420"/>
      <c r="Q270" s="420"/>
      <c r="R270" s="420"/>
      <c r="S270" s="420"/>
      <c r="T270" s="420"/>
      <c r="U270" s="420"/>
      <c r="V270" s="420"/>
      <c r="W270" s="420"/>
      <c r="X270" s="420"/>
      <c r="Y270" s="420"/>
      <c r="Z270" s="420"/>
      <c r="AA270" s="420"/>
    </row>
    <row r="271">
      <c r="A271" s="420"/>
      <c r="B271" s="420"/>
      <c r="C271" s="420"/>
      <c r="D271" s="420"/>
      <c r="E271" s="420"/>
      <c r="F271" s="420"/>
      <c r="G271" s="420"/>
      <c r="H271" s="421"/>
      <c r="I271" s="420"/>
      <c r="J271" s="420"/>
      <c r="K271" s="420"/>
      <c r="L271" s="420"/>
      <c r="M271" s="420"/>
      <c r="N271" s="420"/>
      <c r="O271" s="420"/>
      <c r="P271" s="420"/>
      <c r="Q271" s="420"/>
      <c r="R271" s="420"/>
      <c r="S271" s="420"/>
      <c r="T271" s="420"/>
      <c r="U271" s="420"/>
      <c r="V271" s="420"/>
      <c r="W271" s="420"/>
      <c r="X271" s="420"/>
      <c r="Y271" s="420"/>
      <c r="Z271" s="420"/>
      <c r="AA271" s="420"/>
    </row>
    <row r="272">
      <c r="A272" s="420"/>
      <c r="B272" s="420"/>
      <c r="C272" s="420"/>
      <c r="D272" s="420"/>
      <c r="E272" s="420"/>
      <c r="F272" s="420"/>
      <c r="G272" s="420"/>
      <c r="H272" s="421"/>
      <c r="I272" s="420"/>
      <c r="J272" s="420"/>
      <c r="K272" s="420"/>
      <c r="L272" s="420"/>
      <c r="M272" s="420"/>
      <c r="N272" s="420"/>
      <c r="O272" s="420"/>
      <c r="P272" s="420"/>
      <c r="Q272" s="420"/>
      <c r="R272" s="420"/>
      <c r="S272" s="420"/>
      <c r="T272" s="420"/>
      <c r="U272" s="420"/>
      <c r="V272" s="420"/>
      <c r="W272" s="420"/>
      <c r="X272" s="420"/>
      <c r="Y272" s="420"/>
      <c r="Z272" s="420"/>
      <c r="AA272" s="420"/>
    </row>
    <row r="273">
      <c r="A273" s="420"/>
      <c r="B273" s="420"/>
      <c r="C273" s="420"/>
      <c r="D273" s="420"/>
      <c r="E273" s="420"/>
      <c r="F273" s="420"/>
      <c r="G273" s="420"/>
      <c r="H273" s="421"/>
      <c r="I273" s="420"/>
      <c r="J273" s="420"/>
      <c r="K273" s="420"/>
      <c r="L273" s="420"/>
      <c r="M273" s="420"/>
      <c r="N273" s="420"/>
      <c r="O273" s="420"/>
      <c r="P273" s="420"/>
      <c r="Q273" s="420"/>
      <c r="R273" s="420"/>
      <c r="S273" s="420"/>
      <c r="T273" s="420"/>
      <c r="U273" s="420"/>
      <c r="V273" s="420"/>
      <c r="W273" s="420"/>
      <c r="X273" s="420"/>
      <c r="Y273" s="420"/>
      <c r="Z273" s="420"/>
      <c r="AA273" s="420"/>
    </row>
    <row r="274">
      <c r="A274" s="420"/>
      <c r="B274" s="420"/>
      <c r="C274" s="420"/>
      <c r="D274" s="420"/>
      <c r="E274" s="420"/>
      <c r="F274" s="420"/>
      <c r="G274" s="420"/>
      <c r="H274" s="421"/>
      <c r="I274" s="420"/>
      <c r="J274" s="420"/>
      <c r="K274" s="420"/>
      <c r="L274" s="420"/>
      <c r="M274" s="420"/>
      <c r="N274" s="420"/>
      <c r="O274" s="420"/>
      <c r="P274" s="420"/>
      <c r="Q274" s="420"/>
      <c r="R274" s="420"/>
      <c r="S274" s="420"/>
      <c r="T274" s="420"/>
      <c r="U274" s="420"/>
      <c r="V274" s="420"/>
      <c r="W274" s="420"/>
      <c r="X274" s="420"/>
      <c r="Y274" s="420"/>
      <c r="Z274" s="420"/>
      <c r="AA274" s="420"/>
    </row>
    <row r="275">
      <c r="A275" s="420"/>
      <c r="B275" s="420"/>
      <c r="C275" s="420"/>
      <c r="D275" s="420"/>
      <c r="E275" s="420"/>
      <c r="F275" s="420"/>
      <c r="G275" s="420"/>
      <c r="H275" s="421"/>
      <c r="I275" s="420"/>
      <c r="J275" s="420"/>
      <c r="K275" s="420"/>
      <c r="L275" s="420"/>
      <c r="M275" s="420"/>
      <c r="N275" s="420"/>
      <c r="O275" s="420"/>
      <c r="P275" s="420"/>
      <c r="Q275" s="420"/>
      <c r="R275" s="420"/>
      <c r="S275" s="420"/>
      <c r="T275" s="420"/>
      <c r="U275" s="420"/>
      <c r="V275" s="420"/>
      <c r="W275" s="420"/>
      <c r="X275" s="420"/>
      <c r="Y275" s="420"/>
      <c r="Z275" s="420"/>
      <c r="AA275" s="420"/>
    </row>
    <row r="276">
      <c r="A276" s="420"/>
      <c r="B276" s="420"/>
      <c r="C276" s="420"/>
      <c r="D276" s="420"/>
      <c r="E276" s="420"/>
      <c r="F276" s="420"/>
      <c r="G276" s="420"/>
      <c r="H276" s="421"/>
      <c r="I276" s="420"/>
      <c r="J276" s="420"/>
      <c r="K276" s="420"/>
      <c r="L276" s="420"/>
      <c r="M276" s="420"/>
      <c r="N276" s="420"/>
      <c r="O276" s="420"/>
      <c r="P276" s="420"/>
      <c r="Q276" s="420"/>
      <c r="R276" s="420"/>
      <c r="S276" s="420"/>
      <c r="T276" s="420"/>
      <c r="U276" s="420"/>
      <c r="V276" s="420"/>
      <c r="W276" s="420"/>
      <c r="X276" s="420"/>
      <c r="Y276" s="420"/>
      <c r="Z276" s="420"/>
      <c r="AA276" s="420"/>
    </row>
    <row r="277">
      <c r="A277" s="420"/>
      <c r="B277" s="420"/>
      <c r="C277" s="420"/>
      <c r="D277" s="420"/>
      <c r="E277" s="420"/>
      <c r="F277" s="420"/>
      <c r="G277" s="420"/>
      <c r="H277" s="421"/>
      <c r="I277" s="420"/>
      <c r="J277" s="420"/>
      <c r="K277" s="420"/>
      <c r="L277" s="420"/>
      <c r="M277" s="420"/>
      <c r="N277" s="420"/>
      <c r="O277" s="420"/>
      <c r="P277" s="420"/>
      <c r="Q277" s="420"/>
      <c r="R277" s="420"/>
      <c r="S277" s="420"/>
      <c r="T277" s="420"/>
      <c r="U277" s="420"/>
      <c r="V277" s="420"/>
      <c r="W277" s="420"/>
      <c r="X277" s="420"/>
      <c r="Y277" s="420"/>
      <c r="Z277" s="420"/>
      <c r="AA277" s="420"/>
    </row>
    <row r="278">
      <c r="A278" s="420"/>
      <c r="B278" s="420"/>
      <c r="C278" s="420"/>
      <c r="D278" s="420"/>
      <c r="E278" s="420"/>
      <c r="F278" s="420"/>
      <c r="G278" s="420"/>
      <c r="H278" s="421"/>
      <c r="I278" s="420"/>
      <c r="J278" s="420"/>
      <c r="K278" s="420"/>
      <c r="L278" s="420"/>
      <c r="M278" s="420"/>
      <c r="N278" s="420"/>
      <c r="O278" s="420"/>
      <c r="P278" s="420"/>
      <c r="Q278" s="420"/>
      <c r="R278" s="420"/>
      <c r="S278" s="420"/>
      <c r="T278" s="420"/>
      <c r="U278" s="420"/>
      <c r="V278" s="420"/>
      <c r="W278" s="420"/>
      <c r="X278" s="420"/>
      <c r="Y278" s="420"/>
      <c r="Z278" s="420"/>
      <c r="AA278" s="420"/>
    </row>
    <row r="279">
      <c r="A279" s="420"/>
      <c r="B279" s="420"/>
      <c r="C279" s="420"/>
      <c r="D279" s="420"/>
      <c r="E279" s="420"/>
      <c r="F279" s="420"/>
      <c r="G279" s="420"/>
      <c r="H279" s="421"/>
      <c r="I279" s="420"/>
      <c r="J279" s="420"/>
      <c r="K279" s="420"/>
      <c r="L279" s="420"/>
      <c r="M279" s="420"/>
      <c r="N279" s="420"/>
      <c r="O279" s="420"/>
      <c r="P279" s="420"/>
      <c r="Q279" s="420"/>
      <c r="R279" s="420"/>
      <c r="S279" s="420"/>
      <c r="T279" s="420"/>
      <c r="U279" s="420"/>
      <c r="V279" s="420"/>
      <c r="W279" s="420"/>
      <c r="X279" s="420"/>
      <c r="Y279" s="420"/>
      <c r="Z279" s="420"/>
      <c r="AA279" s="420"/>
    </row>
    <row r="280">
      <c r="A280" s="420"/>
      <c r="B280" s="420"/>
      <c r="C280" s="420"/>
      <c r="D280" s="420"/>
      <c r="E280" s="420"/>
      <c r="F280" s="420"/>
      <c r="G280" s="420"/>
      <c r="H280" s="421"/>
      <c r="I280" s="420"/>
      <c r="J280" s="420"/>
      <c r="K280" s="420"/>
      <c r="L280" s="420"/>
      <c r="M280" s="420"/>
      <c r="N280" s="420"/>
      <c r="O280" s="420"/>
      <c r="P280" s="420"/>
      <c r="Q280" s="420"/>
      <c r="R280" s="420"/>
      <c r="S280" s="420"/>
      <c r="T280" s="420"/>
      <c r="U280" s="420"/>
      <c r="V280" s="420"/>
      <c r="W280" s="420"/>
      <c r="X280" s="420"/>
      <c r="Y280" s="420"/>
      <c r="Z280" s="420"/>
      <c r="AA280" s="420"/>
    </row>
    <row r="281">
      <c r="A281" s="420"/>
      <c r="B281" s="420"/>
      <c r="C281" s="420"/>
      <c r="D281" s="420"/>
      <c r="E281" s="420"/>
      <c r="F281" s="420"/>
      <c r="G281" s="420"/>
      <c r="H281" s="421"/>
      <c r="I281" s="420"/>
      <c r="J281" s="420"/>
      <c r="K281" s="420"/>
      <c r="L281" s="420"/>
      <c r="M281" s="420"/>
      <c r="N281" s="420"/>
      <c r="O281" s="420"/>
      <c r="P281" s="420"/>
      <c r="Q281" s="420"/>
      <c r="R281" s="420"/>
      <c r="S281" s="420"/>
      <c r="T281" s="420"/>
      <c r="U281" s="420"/>
      <c r="V281" s="420"/>
      <c r="W281" s="420"/>
      <c r="X281" s="420"/>
      <c r="Y281" s="420"/>
      <c r="Z281" s="420"/>
      <c r="AA281" s="420"/>
    </row>
    <row r="282">
      <c r="A282" s="420"/>
      <c r="B282" s="420"/>
      <c r="C282" s="420"/>
      <c r="D282" s="420"/>
      <c r="E282" s="420"/>
      <c r="F282" s="420"/>
      <c r="G282" s="420"/>
      <c r="H282" s="421"/>
      <c r="I282" s="420"/>
      <c r="J282" s="420"/>
      <c r="K282" s="420"/>
      <c r="L282" s="420"/>
      <c r="M282" s="420"/>
      <c r="N282" s="420"/>
      <c r="O282" s="420"/>
      <c r="P282" s="420"/>
      <c r="Q282" s="420"/>
      <c r="R282" s="420"/>
      <c r="S282" s="420"/>
      <c r="T282" s="420"/>
      <c r="U282" s="420"/>
      <c r="V282" s="420"/>
      <c r="W282" s="420"/>
      <c r="X282" s="420"/>
      <c r="Y282" s="420"/>
      <c r="Z282" s="420"/>
      <c r="AA282" s="420"/>
    </row>
    <row r="283">
      <c r="A283" s="420"/>
      <c r="B283" s="420"/>
      <c r="C283" s="420"/>
      <c r="D283" s="420"/>
      <c r="E283" s="420"/>
      <c r="F283" s="420"/>
      <c r="G283" s="420"/>
      <c r="H283" s="421"/>
      <c r="I283" s="420"/>
      <c r="J283" s="420"/>
      <c r="K283" s="420"/>
      <c r="L283" s="420"/>
      <c r="M283" s="420"/>
      <c r="N283" s="420"/>
      <c r="O283" s="420"/>
      <c r="P283" s="420"/>
      <c r="Q283" s="420"/>
      <c r="R283" s="420"/>
      <c r="S283" s="420"/>
      <c r="T283" s="420"/>
      <c r="U283" s="420"/>
      <c r="V283" s="420"/>
      <c r="W283" s="420"/>
      <c r="X283" s="420"/>
      <c r="Y283" s="420"/>
      <c r="Z283" s="420"/>
      <c r="AA283" s="420"/>
    </row>
    <row r="284">
      <c r="A284" s="420"/>
      <c r="B284" s="420"/>
      <c r="C284" s="420"/>
      <c r="D284" s="420"/>
      <c r="E284" s="420"/>
      <c r="F284" s="420"/>
      <c r="G284" s="420"/>
      <c r="H284" s="421"/>
      <c r="I284" s="420"/>
      <c r="J284" s="420"/>
      <c r="K284" s="420"/>
      <c r="L284" s="420"/>
      <c r="M284" s="420"/>
      <c r="N284" s="420"/>
      <c r="O284" s="420"/>
      <c r="P284" s="420"/>
      <c r="Q284" s="420"/>
      <c r="R284" s="420"/>
      <c r="S284" s="420"/>
      <c r="T284" s="420"/>
      <c r="U284" s="420"/>
      <c r="V284" s="420"/>
      <c r="W284" s="420"/>
      <c r="X284" s="420"/>
      <c r="Y284" s="420"/>
      <c r="Z284" s="420"/>
      <c r="AA284" s="420"/>
    </row>
    <row r="285">
      <c r="A285" s="420"/>
      <c r="B285" s="420"/>
      <c r="C285" s="420"/>
      <c r="D285" s="420"/>
      <c r="E285" s="420"/>
      <c r="F285" s="420"/>
      <c r="G285" s="420"/>
      <c r="H285" s="421"/>
      <c r="I285" s="420"/>
      <c r="J285" s="420"/>
      <c r="K285" s="420"/>
      <c r="L285" s="420"/>
      <c r="M285" s="420"/>
      <c r="N285" s="420"/>
      <c r="O285" s="420"/>
      <c r="P285" s="420"/>
      <c r="Q285" s="420"/>
      <c r="R285" s="420"/>
      <c r="S285" s="420"/>
      <c r="T285" s="420"/>
      <c r="U285" s="420"/>
      <c r="V285" s="420"/>
      <c r="W285" s="420"/>
      <c r="X285" s="420"/>
      <c r="Y285" s="420"/>
      <c r="Z285" s="420"/>
      <c r="AA285" s="420"/>
    </row>
    <row r="286">
      <c r="A286" s="420"/>
      <c r="B286" s="420"/>
      <c r="C286" s="420"/>
      <c r="D286" s="420"/>
      <c r="E286" s="420"/>
      <c r="F286" s="420"/>
      <c r="G286" s="420"/>
      <c r="H286" s="421"/>
      <c r="I286" s="420"/>
      <c r="J286" s="420"/>
      <c r="K286" s="420"/>
      <c r="L286" s="420"/>
      <c r="M286" s="420"/>
      <c r="N286" s="420"/>
      <c r="O286" s="420"/>
      <c r="P286" s="420"/>
      <c r="Q286" s="420"/>
      <c r="R286" s="420"/>
      <c r="S286" s="420"/>
      <c r="T286" s="420"/>
      <c r="U286" s="420"/>
      <c r="V286" s="420"/>
      <c r="W286" s="420"/>
      <c r="X286" s="420"/>
      <c r="Y286" s="420"/>
      <c r="Z286" s="420"/>
      <c r="AA286" s="420"/>
    </row>
    <row r="287">
      <c r="A287" s="420"/>
      <c r="B287" s="420"/>
      <c r="C287" s="420"/>
      <c r="D287" s="420"/>
      <c r="E287" s="420"/>
      <c r="F287" s="420"/>
      <c r="G287" s="420"/>
      <c r="H287" s="421"/>
      <c r="I287" s="420"/>
      <c r="J287" s="420"/>
      <c r="K287" s="420"/>
      <c r="L287" s="420"/>
      <c r="M287" s="420"/>
      <c r="N287" s="420"/>
      <c r="O287" s="420"/>
      <c r="P287" s="420"/>
      <c r="Q287" s="420"/>
      <c r="R287" s="420"/>
      <c r="S287" s="420"/>
      <c r="T287" s="420"/>
      <c r="U287" s="420"/>
      <c r="V287" s="420"/>
      <c r="W287" s="420"/>
      <c r="X287" s="420"/>
      <c r="Y287" s="420"/>
      <c r="Z287" s="420"/>
      <c r="AA287" s="420"/>
    </row>
    <row r="288">
      <c r="A288" s="420"/>
      <c r="B288" s="420"/>
      <c r="C288" s="420"/>
      <c r="D288" s="420"/>
      <c r="E288" s="420"/>
      <c r="F288" s="420"/>
      <c r="G288" s="420"/>
      <c r="H288" s="421"/>
      <c r="I288" s="420"/>
      <c r="J288" s="420"/>
      <c r="K288" s="420"/>
      <c r="L288" s="420"/>
      <c r="M288" s="420"/>
      <c r="N288" s="420"/>
      <c r="O288" s="420"/>
      <c r="P288" s="420"/>
      <c r="Q288" s="420"/>
      <c r="R288" s="420"/>
      <c r="S288" s="420"/>
      <c r="T288" s="420"/>
      <c r="U288" s="420"/>
      <c r="V288" s="420"/>
      <c r="W288" s="420"/>
      <c r="X288" s="420"/>
      <c r="Y288" s="420"/>
      <c r="Z288" s="420"/>
      <c r="AA288" s="420"/>
    </row>
    <row r="289">
      <c r="A289" s="420"/>
      <c r="B289" s="420"/>
      <c r="C289" s="420"/>
      <c r="D289" s="420"/>
      <c r="E289" s="420"/>
      <c r="F289" s="420"/>
      <c r="G289" s="420"/>
      <c r="H289" s="421"/>
      <c r="I289" s="420"/>
      <c r="J289" s="420"/>
      <c r="K289" s="420"/>
      <c r="L289" s="420"/>
      <c r="M289" s="420"/>
      <c r="N289" s="420"/>
      <c r="O289" s="420"/>
      <c r="P289" s="420"/>
      <c r="Q289" s="420"/>
      <c r="R289" s="420"/>
      <c r="S289" s="420"/>
      <c r="T289" s="420"/>
      <c r="U289" s="420"/>
      <c r="V289" s="420"/>
      <c r="W289" s="420"/>
      <c r="X289" s="420"/>
      <c r="Y289" s="420"/>
      <c r="Z289" s="420"/>
      <c r="AA289" s="420"/>
    </row>
    <row r="290">
      <c r="A290" s="420"/>
      <c r="B290" s="420"/>
      <c r="C290" s="420"/>
      <c r="D290" s="420"/>
      <c r="E290" s="420"/>
      <c r="F290" s="420"/>
      <c r="G290" s="420"/>
      <c r="H290" s="421"/>
      <c r="I290" s="420"/>
      <c r="J290" s="420"/>
      <c r="K290" s="420"/>
      <c r="L290" s="420"/>
      <c r="M290" s="420"/>
      <c r="N290" s="420"/>
      <c r="O290" s="420"/>
      <c r="P290" s="420"/>
      <c r="Q290" s="420"/>
      <c r="R290" s="420"/>
      <c r="S290" s="420"/>
      <c r="T290" s="420"/>
      <c r="U290" s="420"/>
      <c r="V290" s="420"/>
      <c r="W290" s="420"/>
      <c r="X290" s="420"/>
      <c r="Y290" s="420"/>
      <c r="Z290" s="420"/>
      <c r="AA290" s="420"/>
    </row>
    <row r="291">
      <c r="A291" s="420"/>
      <c r="B291" s="420"/>
      <c r="C291" s="420"/>
      <c r="D291" s="420"/>
      <c r="E291" s="420"/>
      <c r="F291" s="420"/>
      <c r="G291" s="420"/>
      <c r="H291" s="421"/>
      <c r="I291" s="420"/>
      <c r="J291" s="420"/>
      <c r="K291" s="420"/>
      <c r="L291" s="420"/>
      <c r="M291" s="420"/>
      <c r="N291" s="420"/>
      <c r="O291" s="420"/>
      <c r="P291" s="420"/>
      <c r="Q291" s="420"/>
      <c r="R291" s="420"/>
      <c r="S291" s="420"/>
      <c r="T291" s="420"/>
      <c r="U291" s="420"/>
      <c r="V291" s="420"/>
      <c r="W291" s="420"/>
      <c r="X291" s="420"/>
      <c r="Y291" s="420"/>
      <c r="Z291" s="420"/>
      <c r="AA291" s="420"/>
    </row>
    <row r="292">
      <c r="A292" s="420"/>
      <c r="B292" s="420"/>
      <c r="C292" s="420"/>
      <c r="D292" s="420"/>
      <c r="E292" s="420"/>
      <c r="F292" s="420"/>
      <c r="G292" s="420"/>
      <c r="H292" s="421"/>
      <c r="I292" s="420"/>
      <c r="J292" s="420"/>
      <c r="K292" s="420"/>
      <c r="L292" s="420"/>
      <c r="M292" s="420"/>
      <c r="N292" s="420"/>
      <c r="O292" s="420"/>
      <c r="P292" s="420"/>
      <c r="Q292" s="420"/>
      <c r="R292" s="420"/>
      <c r="S292" s="420"/>
      <c r="T292" s="420"/>
      <c r="U292" s="420"/>
      <c r="V292" s="420"/>
      <c r="W292" s="420"/>
      <c r="X292" s="420"/>
      <c r="Y292" s="420"/>
      <c r="Z292" s="420"/>
      <c r="AA292" s="420"/>
    </row>
    <row r="293">
      <c r="A293" s="420"/>
      <c r="B293" s="420"/>
      <c r="C293" s="420"/>
      <c r="D293" s="420"/>
      <c r="E293" s="420"/>
      <c r="F293" s="420"/>
      <c r="G293" s="420"/>
      <c r="H293" s="421"/>
      <c r="I293" s="420"/>
      <c r="J293" s="420"/>
      <c r="K293" s="420"/>
      <c r="L293" s="420"/>
      <c r="M293" s="420"/>
      <c r="N293" s="420"/>
      <c r="O293" s="420"/>
      <c r="P293" s="420"/>
      <c r="Q293" s="420"/>
      <c r="R293" s="420"/>
      <c r="S293" s="420"/>
      <c r="T293" s="420"/>
      <c r="U293" s="420"/>
      <c r="V293" s="420"/>
      <c r="W293" s="420"/>
      <c r="X293" s="420"/>
      <c r="Y293" s="420"/>
      <c r="Z293" s="420"/>
      <c r="AA293" s="420"/>
    </row>
    <row r="294">
      <c r="A294" s="420"/>
      <c r="B294" s="420"/>
      <c r="C294" s="420"/>
      <c r="D294" s="420"/>
      <c r="E294" s="420"/>
      <c r="F294" s="420"/>
      <c r="G294" s="420"/>
      <c r="H294" s="421"/>
      <c r="I294" s="420"/>
      <c r="J294" s="420"/>
      <c r="K294" s="420"/>
      <c r="L294" s="420"/>
      <c r="M294" s="420"/>
      <c r="N294" s="420"/>
      <c r="O294" s="420"/>
      <c r="P294" s="420"/>
      <c r="Q294" s="420"/>
      <c r="R294" s="420"/>
      <c r="S294" s="420"/>
      <c r="T294" s="420"/>
      <c r="U294" s="420"/>
      <c r="V294" s="420"/>
      <c r="W294" s="420"/>
      <c r="X294" s="420"/>
      <c r="Y294" s="420"/>
      <c r="Z294" s="420"/>
      <c r="AA294" s="420"/>
    </row>
    <row r="295">
      <c r="A295" s="420"/>
      <c r="B295" s="420"/>
      <c r="C295" s="420"/>
      <c r="D295" s="420"/>
      <c r="E295" s="420"/>
      <c r="F295" s="420"/>
      <c r="G295" s="420"/>
      <c r="H295" s="421"/>
      <c r="I295" s="420"/>
      <c r="J295" s="420"/>
      <c r="K295" s="420"/>
      <c r="L295" s="420"/>
      <c r="M295" s="420"/>
      <c r="N295" s="420"/>
      <c r="O295" s="420"/>
      <c r="P295" s="420"/>
      <c r="Q295" s="420"/>
      <c r="R295" s="420"/>
      <c r="S295" s="420"/>
      <c r="T295" s="420"/>
      <c r="U295" s="420"/>
      <c r="V295" s="420"/>
      <c r="W295" s="420"/>
      <c r="X295" s="420"/>
      <c r="Y295" s="420"/>
      <c r="Z295" s="420"/>
      <c r="AA295" s="420"/>
    </row>
    <row r="296">
      <c r="A296" s="420"/>
      <c r="B296" s="420"/>
      <c r="C296" s="420"/>
      <c r="D296" s="420"/>
      <c r="E296" s="420"/>
      <c r="F296" s="420"/>
      <c r="G296" s="420"/>
      <c r="H296" s="421"/>
      <c r="I296" s="420"/>
      <c r="J296" s="420"/>
      <c r="K296" s="420"/>
      <c r="L296" s="420"/>
      <c r="M296" s="420"/>
      <c r="N296" s="420"/>
      <c r="O296" s="420"/>
      <c r="P296" s="420"/>
      <c r="Q296" s="420"/>
      <c r="R296" s="420"/>
      <c r="S296" s="420"/>
      <c r="T296" s="420"/>
      <c r="U296" s="420"/>
      <c r="V296" s="420"/>
      <c r="W296" s="420"/>
      <c r="X296" s="420"/>
      <c r="Y296" s="420"/>
      <c r="Z296" s="420"/>
      <c r="AA296" s="420"/>
    </row>
    <row r="297">
      <c r="A297" s="420"/>
      <c r="B297" s="420"/>
      <c r="C297" s="420"/>
      <c r="D297" s="420"/>
      <c r="E297" s="420"/>
      <c r="F297" s="420"/>
      <c r="G297" s="420"/>
      <c r="H297" s="421"/>
      <c r="I297" s="420"/>
      <c r="J297" s="420"/>
      <c r="K297" s="420"/>
      <c r="L297" s="420"/>
      <c r="M297" s="420"/>
      <c r="N297" s="420"/>
      <c r="O297" s="420"/>
      <c r="P297" s="420"/>
      <c r="Q297" s="420"/>
      <c r="R297" s="420"/>
      <c r="S297" s="420"/>
      <c r="T297" s="420"/>
      <c r="U297" s="420"/>
      <c r="V297" s="420"/>
      <c r="W297" s="420"/>
      <c r="X297" s="420"/>
      <c r="Y297" s="420"/>
      <c r="Z297" s="420"/>
      <c r="AA297" s="420"/>
    </row>
    <row r="298">
      <c r="A298" s="420"/>
      <c r="B298" s="420"/>
      <c r="C298" s="420"/>
      <c r="D298" s="420"/>
      <c r="E298" s="420"/>
      <c r="F298" s="420"/>
      <c r="G298" s="420"/>
      <c r="H298" s="421"/>
      <c r="I298" s="420"/>
      <c r="J298" s="420"/>
      <c r="K298" s="420"/>
      <c r="L298" s="420"/>
      <c r="M298" s="420"/>
      <c r="N298" s="420"/>
      <c r="O298" s="420"/>
      <c r="P298" s="420"/>
      <c r="Q298" s="420"/>
      <c r="R298" s="420"/>
      <c r="S298" s="420"/>
      <c r="T298" s="420"/>
      <c r="U298" s="420"/>
      <c r="V298" s="420"/>
      <c r="W298" s="420"/>
      <c r="X298" s="420"/>
      <c r="Y298" s="420"/>
      <c r="Z298" s="420"/>
      <c r="AA298" s="420"/>
    </row>
    <row r="299">
      <c r="A299" s="420"/>
      <c r="B299" s="420"/>
      <c r="C299" s="420"/>
      <c r="D299" s="420"/>
      <c r="E299" s="420"/>
      <c r="F299" s="420"/>
      <c r="G299" s="420"/>
      <c r="H299" s="421"/>
      <c r="I299" s="420"/>
      <c r="J299" s="420"/>
      <c r="K299" s="420"/>
      <c r="L299" s="420"/>
      <c r="M299" s="420"/>
      <c r="N299" s="420"/>
      <c r="O299" s="420"/>
      <c r="P299" s="420"/>
      <c r="Q299" s="420"/>
      <c r="R299" s="420"/>
      <c r="S299" s="420"/>
      <c r="T299" s="420"/>
      <c r="U299" s="420"/>
      <c r="V299" s="420"/>
      <c r="W299" s="420"/>
      <c r="X299" s="420"/>
      <c r="Y299" s="420"/>
      <c r="Z299" s="420"/>
      <c r="AA299" s="420"/>
    </row>
    <row r="300">
      <c r="A300" s="420"/>
      <c r="B300" s="420"/>
      <c r="C300" s="420"/>
      <c r="D300" s="420"/>
      <c r="E300" s="420"/>
      <c r="F300" s="420"/>
      <c r="G300" s="420"/>
      <c r="H300" s="421"/>
      <c r="I300" s="420"/>
      <c r="J300" s="420"/>
      <c r="K300" s="420"/>
      <c r="L300" s="420"/>
      <c r="M300" s="420"/>
      <c r="N300" s="420"/>
      <c r="O300" s="420"/>
      <c r="P300" s="420"/>
      <c r="Q300" s="420"/>
      <c r="R300" s="420"/>
      <c r="S300" s="420"/>
      <c r="T300" s="420"/>
      <c r="U300" s="420"/>
      <c r="V300" s="420"/>
      <c r="W300" s="420"/>
      <c r="X300" s="420"/>
      <c r="Y300" s="420"/>
      <c r="Z300" s="420"/>
      <c r="AA300" s="420"/>
    </row>
    <row r="301">
      <c r="A301" s="420"/>
      <c r="B301" s="420"/>
      <c r="C301" s="420"/>
      <c r="D301" s="420"/>
      <c r="E301" s="420"/>
      <c r="F301" s="420"/>
      <c r="G301" s="420"/>
      <c r="H301" s="421"/>
      <c r="I301" s="420"/>
      <c r="J301" s="420"/>
      <c r="K301" s="420"/>
      <c r="L301" s="420"/>
      <c r="M301" s="420"/>
      <c r="N301" s="420"/>
      <c r="O301" s="420"/>
      <c r="P301" s="420"/>
      <c r="Q301" s="420"/>
      <c r="R301" s="420"/>
      <c r="S301" s="420"/>
      <c r="T301" s="420"/>
      <c r="U301" s="420"/>
      <c r="V301" s="420"/>
      <c r="W301" s="420"/>
      <c r="X301" s="420"/>
      <c r="Y301" s="420"/>
      <c r="Z301" s="420"/>
      <c r="AA301" s="420"/>
    </row>
    <row r="302">
      <c r="A302" s="420"/>
      <c r="B302" s="420"/>
      <c r="C302" s="420"/>
      <c r="D302" s="420"/>
      <c r="E302" s="420"/>
      <c r="F302" s="420"/>
      <c r="G302" s="420"/>
      <c r="H302" s="421"/>
      <c r="I302" s="420"/>
      <c r="J302" s="420"/>
      <c r="K302" s="420"/>
      <c r="L302" s="420"/>
      <c r="M302" s="420"/>
      <c r="N302" s="420"/>
      <c r="O302" s="420"/>
      <c r="P302" s="420"/>
      <c r="Q302" s="420"/>
      <c r="R302" s="420"/>
      <c r="S302" s="420"/>
      <c r="T302" s="420"/>
      <c r="U302" s="420"/>
      <c r="V302" s="420"/>
      <c r="W302" s="420"/>
      <c r="X302" s="420"/>
      <c r="Y302" s="420"/>
      <c r="Z302" s="420"/>
      <c r="AA302" s="420"/>
    </row>
    <row r="303">
      <c r="A303" s="420"/>
      <c r="B303" s="420"/>
      <c r="C303" s="420"/>
      <c r="D303" s="420"/>
      <c r="E303" s="420"/>
      <c r="F303" s="420"/>
      <c r="G303" s="420"/>
      <c r="H303" s="421"/>
      <c r="I303" s="420"/>
      <c r="J303" s="420"/>
      <c r="K303" s="420"/>
      <c r="L303" s="420"/>
      <c r="M303" s="420"/>
      <c r="N303" s="420"/>
      <c r="O303" s="420"/>
      <c r="P303" s="420"/>
      <c r="Q303" s="420"/>
      <c r="R303" s="420"/>
      <c r="S303" s="420"/>
      <c r="T303" s="420"/>
      <c r="U303" s="420"/>
      <c r="V303" s="420"/>
      <c r="W303" s="420"/>
      <c r="X303" s="420"/>
      <c r="Y303" s="420"/>
      <c r="Z303" s="420"/>
      <c r="AA303" s="420"/>
    </row>
    <row r="304">
      <c r="A304" s="420"/>
      <c r="B304" s="420"/>
      <c r="C304" s="420"/>
      <c r="D304" s="420"/>
      <c r="E304" s="420"/>
      <c r="F304" s="420"/>
      <c r="G304" s="420"/>
      <c r="H304" s="421"/>
      <c r="I304" s="420"/>
      <c r="J304" s="420"/>
      <c r="K304" s="420"/>
      <c r="L304" s="420"/>
      <c r="M304" s="420"/>
      <c r="N304" s="420"/>
      <c r="O304" s="420"/>
      <c r="P304" s="420"/>
      <c r="Q304" s="420"/>
      <c r="R304" s="420"/>
      <c r="S304" s="420"/>
      <c r="T304" s="420"/>
      <c r="U304" s="420"/>
      <c r="V304" s="420"/>
      <c r="W304" s="420"/>
      <c r="X304" s="420"/>
      <c r="Y304" s="420"/>
      <c r="Z304" s="420"/>
      <c r="AA304" s="420"/>
    </row>
    <row r="305">
      <c r="A305" s="420"/>
      <c r="B305" s="420"/>
      <c r="C305" s="420"/>
      <c r="D305" s="420"/>
      <c r="E305" s="420"/>
      <c r="F305" s="420"/>
      <c r="G305" s="420"/>
      <c r="H305" s="421"/>
      <c r="I305" s="420"/>
      <c r="J305" s="420"/>
      <c r="K305" s="420"/>
      <c r="L305" s="420"/>
      <c r="M305" s="420"/>
      <c r="N305" s="420"/>
      <c r="O305" s="420"/>
      <c r="P305" s="420"/>
      <c r="Q305" s="420"/>
      <c r="R305" s="420"/>
      <c r="S305" s="420"/>
      <c r="T305" s="420"/>
      <c r="U305" s="420"/>
      <c r="V305" s="420"/>
      <c r="W305" s="420"/>
      <c r="X305" s="420"/>
      <c r="Y305" s="420"/>
      <c r="Z305" s="420"/>
      <c r="AA305" s="420"/>
    </row>
    <row r="306">
      <c r="A306" s="420"/>
      <c r="B306" s="420"/>
      <c r="C306" s="420"/>
      <c r="D306" s="420"/>
      <c r="E306" s="420"/>
      <c r="F306" s="420"/>
      <c r="G306" s="420"/>
      <c r="H306" s="421"/>
      <c r="I306" s="420"/>
      <c r="J306" s="420"/>
      <c r="K306" s="420"/>
      <c r="L306" s="420"/>
      <c r="M306" s="420"/>
      <c r="N306" s="420"/>
      <c r="O306" s="420"/>
      <c r="P306" s="420"/>
      <c r="Q306" s="420"/>
      <c r="R306" s="420"/>
      <c r="S306" s="420"/>
      <c r="T306" s="420"/>
      <c r="U306" s="420"/>
      <c r="V306" s="420"/>
      <c r="W306" s="420"/>
      <c r="X306" s="420"/>
      <c r="Y306" s="420"/>
      <c r="Z306" s="420"/>
      <c r="AA306" s="420"/>
    </row>
    <row r="307">
      <c r="A307" s="420"/>
      <c r="B307" s="420"/>
      <c r="C307" s="420"/>
      <c r="D307" s="420"/>
      <c r="E307" s="420"/>
      <c r="F307" s="420"/>
      <c r="G307" s="420"/>
      <c r="H307" s="421"/>
      <c r="I307" s="420"/>
      <c r="J307" s="420"/>
      <c r="K307" s="420"/>
      <c r="L307" s="420"/>
      <c r="M307" s="420"/>
      <c r="N307" s="420"/>
      <c r="O307" s="420"/>
      <c r="P307" s="420"/>
      <c r="Q307" s="420"/>
      <c r="R307" s="420"/>
      <c r="S307" s="420"/>
      <c r="T307" s="420"/>
      <c r="U307" s="420"/>
      <c r="V307" s="420"/>
      <c r="W307" s="420"/>
      <c r="X307" s="420"/>
      <c r="Y307" s="420"/>
      <c r="Z307" s="420"/>
      <c r="AA307" s="420"/>
    </row>
    <row r="308">
      <c r="A308" s="420"/>
      <c r="B308" s="420"/>
      <c r="C308" s="420"/>
      <c r="D308" s="420"/>
      <c r="E308" s="420"/>
      <c r="F308" s="420"/>
      <c r="G308" s="420"/>
      <c r="H308" s="421"/>
      <c r="I308" s="420"/>
      <c r="J308" s="420"/>
      <c r="K308" s="420"/>
      <c r="L308" s="420"/>
      <c r="M308" s="420"/>
      <c r="N308" s="420"/>
      <c r="O308" s="420"/>
      <c r="P308" s="420"/>
      <c r="Q308" s="420"/>
      <c r="R308" s="420"/>
      <c r="S308" s="420"/>
      <c r="T308" s="420"/>
      <c r="U308" s="420"/>
      <c r="V308" s="420"/>
      <c r="W308" s="420"/>
      <c r="X308" s="420"/>
      <c r="Y308" s="420"/>
      <c r="Z308" s="420"/>
      <c r="AA308" s="420"/>
    </row>
    <row r="309">
      <c r="A309" s="420"/>
      <c r="B309" s="420"/>
      <c r="C309" s="420"/>
      <c r="D309" s="420"/>
      <c r="E309" s="420"/>
      <c r="F309" s="420"/>
      <c r="G309" s="420"/>
      <c r="H309" s="421"/>
      <c r="I309" s="420"/>
      <c r="J309" s="420"/>
      <c r="K309" s="420"/>
      <c r="L309" s="420"/>
      <c r="M309" s="420"/>
      <c r="N309" s="420"/>
      <c r="O309" s="420"/>
      <c r="P309" s="420"/>
      <c r="Q309" s="420"/>
      <c r="R309" s="420"/>
      <c r="S309" s="420"/>
      <c r="T309" s="420"/>
      <c r="U309" s="420"/>
      <c r="V309" s="420"/>
      <c r="W309" s="420"/>
      <c r="X309" s="420"/>
      <c r="Y309" s="420"/>
      <c r="Z309" s="420"/>
      <c r="AA309" s="420"/>
    </row>
    <row r="310">
      <c r="A310" s="420"/>
      <c r="B310" s="420"/>
      <c r="C310" s="420"/>
      <c r="D310" s="420"/>
      <c r="E310" s="420"/>
      <c r="F310" s="420"/>
      <c r="G310" s="420"/>
      <c r="H310" s="421"/>
      <c r="I310" s="420"/>
      <c r="J310" s="420"/>
      <c r="K310" s="420"/>
      <c r="L310" s="420"/>
      <c r="M310" s="420"/>
      <c r="N310" s="420"/>
      <c r="O310" s="420"/>
      <c r="P310" s="420"/>
      <c r="Q310" s="420"/>
      <c r="R310" s="420"/>
      <c r="S310" s="420"/>
      <c r="T310" s="420"/>
      <c r="U310" s="420"/>
      <c r="V310" s="420"/>
      <c r="W310" s="420"/>
      <c r="X310" s="420"/>
      <c r="Y310" s="420"/>
      <c r="Z310" s="420"/>
      <c r="AA310" s="420"/>
    </row>
    <row r="311">
      <c r="A311" s="420"/>
      <c r="B311" s="420"/>
      <c r="C311" s="420"/>
      <c r="D311" s="420"/>
      <c r="E311" s="420"/>
      <c r="F311" s="420"/>
      <c r="G311" s="420"/>
      <c r="H311" s="421"/>
      <c r="I311" s="420"/>
      <c r="J311" s="420"/>
      <c r="K311" s="420"/>
      <c r="L311" s="420"/>
      <c r="M311" s="420"/>
      <c r="N311" s="420"/>
      <c r="O311" s="420"/>
      <c r="P311" s="420"/>
      <c r="Q311" s="420"/>
      <c r="R311" s="420"/>
      <c r="S311" s="420"/>
      <c r="T311" s="420"/>
      <c r="U311" s="420"/>
      <c r="V311" s="420"/>
      <c r="W311" s="420"/>
      <c r="X311" s="420"/>
      <c r="Y311" s="420"/>
      <c r="Z311" s="420"/>
      <c r="AA311" s="420"/>
    </row>
    <row r="312">
      <c r="A312" s="420"/>
      <c r="B312" s="420"/>
      <c r="C312" s="420"/>
      <c r="D312" s="420"/>
      <c r="E312" s="420"/>
      <c r="F312" s="420"/>
      <c r="G312" s="420"/>
      <c r="H312" s="421"/>
      <c r="I312" s="420"/>
      <c r="J312" s="420"/>
      <c r="K312" s="420"/>
      <c r="L312" s="420"/>
      <c r="M312" s="420"/>
      <c r="N312" s="420"/>
      <c r="O312" s="420"/>
      <c r="P312" s="420"/>
      <c r="Q312" s="420"/>
      <c r="R312" s="420"/>
      <c r="S312" s="420"/>
      <c r="T312" s="420"/>
      <c r="U312" s="420"/>
      <c r="V312" s="420"/>
      <c r="W312" s="420"/>
      <c r="X312" s="420"/>
      <c r="Y312" s="420"/>
      <c r="Z312" s="420"/>
      <c r="AA312" s="420"/>
    </row>
    <row r="313">
      <c r="A313" s="420"/>
      <c r="B313" s="420"/>
      <c r="C313" s="420"/>
      <c r="D313" s="420"/>
      <c r="E313" s="420"/>
      <c r="F313" s="420"/>
      <c r="G313" s="420"/>
      <c r="H313" s="421"/>
      <c r="I313" s="420"/>
      <c r="J313" s="420"/>
      <c r="K313" s="420"/>
      <c r="L313" s="420"/>
      <c r="M313" s="420"/>
      <c r="N313" s="420"/>
      <c r="O313" s="420"/>
      <c r="P313" s="420"/>
      <c r="Q313" s="420"/>
      <c r="R313" s="420"/>
      <c r="S313" s="420"/>
      <c r="T313" s="420"/>
      <c r="U313" s="420"/>
      <c r="V313" s="420"/>
      <c r="W313" s="420"/>
      <c r="X313" s="420"/>
      <c r="Y313" s="420"/>
      <c r="Z313" s="420"/>
      <c r="AA313" s="420"/>
    </row>
    <row r="314">
      <c r="A314" s="420"/>
      <c r="B314" s="420"/>
      <c r="C314" s="420"/>
      <c r="D314" s="420"/>
      <c r="E314" s="420"/>
      <c r="F314" s="420"/>
      <c r="G314" s="420"/>
      <c r="H314" s="421"/>
      <c r="I314" s="420"/>
      <c r="J314" s="420"/>
      <c r="K314" s="420"/>
      <c r="L314" s="420"/>
      <c r="M314" s="420"/>
      <c r="N314" s="420"/>
      <c r="O314" s="420"/>
      <c r="P314" s="420"/>
      <c r="Q314" s="420"/>
      <c r="R314" s="420"/>
      <c r="S314" s="420"/>
      <c r="T314" s="420"/>
      <c r="U314" s="420"/>
      <c r="V314" s="420"/>
      <c r="W314" s="420"/>
      <c r="X314" s="420"/>
      <c r="Y314" s="420"/>
      <c r="Z314" s="420"/>
      <c r="AA314" s="420"/>
    </row>
    <row r="315">
      <c r="A315" s="420"/>
      <c r="B315" s="420"/>
      <c r="C315" s="420"/>
      <c r="D315" s="420"/>
      <c r="E315" s="420"/>
      <c r="F315" s="420"/>
      <c r="G315" s="420"/>
      <c r="H315" s="421"/>
      <c r="I315" s="420"/>
      <c r="J315" s="420"/>
      <c r="K315" s="420"/>
      <c r="L315" s="420"/>
      <c r="M315" s="420"/>
      <c r="N315" s="420"/>
      <c r="O315" s="420"/>
      <c r="P315" s="420"/>
      <c r="Q315" s="420"/>
      <c r="R315" s="420"/>
      <c r="S315" s="420"/>
      <c r="T315" s="420"/>
      <c r="U315" s="420"/>
      <c r="V315" s="420"/>
      <c r="W315" s="420"/>
      <c r="X315" s="420"/>
      <c r="Y315" s="420"/>
      <c r="Z315" s="420"/>
      <c r="AA315" s="420"/>
    </row>
    <row r="316">
      <c r="A316" s="420"/>
      <c r="B316" s="420"/>
      <c r="C316" s="420"/>
      <c r="D316" s="420"/>
      <c r="E316" s="420"/>
      <c r="F316" s="420"/>
      <c r="G316" s="420"/>
      <c r="H316" s="421"/>
      <c r="I316" s="420"/>
      <c r="J316" s="420"/>
      <c r="K316" s="420"/>
      <c r="L316" s="420"/>
      <c r="M316" s="420"/>
      <c r="N316" s="420"/>
      <c r="O316" s="420"/>
      <c r="P316" s="420"/>
      <c r="Q316" s="420"/>
      <c r="R316" s="420"/>
      <c r="S316" s="420"/>
      <c r="T316" s="420"/>
      <c r="U316" s="420"/>
      <c r="V316" s="420"/>
      <c r="W316" s="420"/>
      <c r="X316" s="420"/>
      <c r="Y316" s="420"/>
      <c r="Z316" s="420"/>
      <c r="AA316" s="420"/>
    </row>
    <row r="317">
      <c r="A317" s="420"/>
      <c r="B317" s="420"/>
      <c r="C317" s="420"/>
      <c r="D317" s="420"/>
      <c r="E317" s="420"/>
      <c r="F317" s="420"/>
      <c r="G317" s="420"/>
      <c r="H317" s="421"/>
      <c r="I317" s="420"/>
      <c r="J317" s="420"/>
      <c r="K317" s="420"/>
      <c r="L317" s="420"/>
      <c r="M317" s="420"/>
      <c r="N317" s="420"/>
      <c r="O317" s="420"/>
      <c r="P317" s="420"/>
      <c r="Q317" s="420"/>
      <c r="R317" s="420"/>
      <c r="S317" s="420"/>
      <c r="T317" s="420"/>
      <c r="U317" s="420"/>
      <c r="V317" s="420"/>
      <c r="W317" s="420"/>
      <c r="X317" s="420"/>
      <c r="Y317" s="420"/>
      <c r="Z317" s="420"/>
      <c r="AA317" s="420"/>
    </row>
    <row r="318">
      <c r="A318" s="420"/>
      <c r="B318" s="420"/>
      <c r="C318" s="420"/>
      <c r="D318" s="420"/>
      <c r="E318" s="420"/>
      <c r="F318" s="420"/>
      <c r="G318" s="420"/>
      <c r="H318" s="421"/>
      <c r="I318" s="420"/>
      <c r="J318" s="420"/>
      <c r="K318" s="420"/>
      <c r="L318" s="420"/>
      <c r="M318" s="420"/>
      <c r="N318" s="420"/>
      <c r="O318" s="420"/>
      <c r="P318" s="420"/>
      <c r="Q318" s="420"/>
      <c r="R318" s="420"/>
      <c r="S318" s="420"/>
      <c r="T318" s="420"/>
      <c r="U318" s="420"/>
      <c r="V318" s="420"/>
      <c r="W318" s="420"/>
      <c r="X318" s="420"/>
      <c r="Y318" s="420"/>
      <c r="Z318" s="420"/>
      <c r="AA318" s="420"/>
    </row>
    <row r="319">
      <c r="A319" s="420"/>
      <c r="B319" s="420"/>
      <c r="C319" s="420"/>
      <c r="D319" s="420"/>
      <c r="E319" s="420"/>
      <c r="F319" s="420"/>
      <c r="G319" s="420"/>
      <c r="H319" s="421"/>
      <c r="I319" s="420"/>
      <c r="J319" s="420"/>
      <c r="K319" s="420"/>
      <c r="L319" s="420"/>
      <c r="M319" s="420"/>
      <c r="N319" s="420"/>
      <c r="O319" s="420"/>
      <c r="P319" s="420"/>
      <c r="Q319" s="420"/>
      <c r="R319" s="420"/>
      <c r="S319" s="420"/>
      <c r="T319" s="420"/>
      <c r="U319" s="420"/>
      <c r="V319" s="420"/>
      <c r="W319" s="420"/>
      <c r="X319" s="420"/>
      <c r="Y319" s="420"/>
      <c r="Z319" s="420"/>
      <c r="AA319" s="420"/>
    </row>
    <row r="320">
      <c r="A320" s="420"/>
      <c r="B320" s="420"/>
      <c r="C320" s="420"/>
      <c r="D320" s="420"/>
      <c r="E320" s="420"/>
      <c r="F320" s="420"/>
      <c r="G320" s="420"/>
      <c r="H320" s="421"/>
      <c r="I320" s="420"/>
      <c r="J320" s="420"/>
      <c r="K320" s="420"/>
      <c r="L320" s="420"/>
      <c r="M320" s="420"/>
      <c r="N320" s="420"/>
      <c r="O320" s="420"/>
      <c r="P320" s="420"/>
      <c r="Q320" s="420"/>
      <c r="R320" s="420"/>
      <c r="S320" s="420"/>
      <c r="T320" s="420"/>
      <c r="U320" s="420"/>
      <c r="V320" s="420"/>
      <c r="W320" s="420"/>
      <c r="X320" s="420"/>
      <c r="Y320" s="420"/>
      <c r="Z320" s="420"/>
      <c r="AA320" s="420"/>
    </row>
    <row r="321">
      <c r="A321" s="420"/>
      <c r="B321" s="420"/>
      <c r="C321" s="420"/>
      <c r="D321" s="420"/>
      <c r="E321" s="420"/>
      <c r="F321" s="420"/>
      <c r="G321" s="420"/>
      <c r="H321" s="421"/>
      <c r="I321" s="420"/>
      <c r="J321" s="420"/>
      <c r="K321" s="420"/>
      <c r="L321" s="420"/>
      <c r="M321" s="420"/>
      <c r="N321" s="420"/>
      <c r="O321" s="420"/>
      <c r="P321" s="420"/>
      <c r="Q321" s="420"/>
      <c r="R321" s="420"/>
      <c r="S321" s="420"/>
      <c r="T321" s="420"/>
      <c r="U321" s="420"/>
      <c r="V321" s="420"/>
      <c r="W321" s="420"/>
      <c r="X321" s="420"/>
      <c r="Y321" s="420"/>
      <c r="Z321" s="420"/>
      <c r="AA321" s="420"/>
    </row>
    <row r="322">
      <c r="A322" s="420"/>
      <c r="B322" s="420"/>
      <c r="C322" s="420"/>
      <c r="D322" s="420"/>
      <c r="E322" s="420"/>
      <c r="F322" s="420"/>
      <c r="G322" s="420"/>
      <c r="H322" s="421"/>
      <c r="I322" s="420"/>
      <c r="J322" s="420"/>
      <c r="K322" s="420"/>
      <c r="L322" s="420"/>
      <c r="M322" s="420"/>
      <c r="N322" s="420"/>
      <c r="O322" s="420"/>
      <c r="P322" s="420"/>
      <c r="Q322" s="420"/>
      <c r="R322" s="420"/>
      <c r="S322" s="420"/>
      <c r="T322" s="420"/>
      <c r="U322" s="420"/>
      <c r="V322" s="420"/>
      <c r="W322" s="420"/>
      <c r="X322" s="420"/>
      <c r="Y322" s="420"/>
      <c r="Z322" s="420"/>
      <c r="AA322" s="420"/>
    </row>
    <row r="323">
      <c r="A323" s="420"/>
      <c r="B323" s="420"/>
      <c r="C323" s="420"/>
      <c r="D323" s="420"/>
      <c r="E323" s="420"/>
      <c r="F323" s="420"/>
      <c r="G323" s="420"/>
      <c r="H323" s="421"/>
      <c r="I323" s="420"/>
      <c r="J323" s="420"/>
      <c r="K323" s="420"/>
      <c r="L323" s="420"/>
      <c r="M323" s="420"/>
      <c r="N323" s="420"/>
      <c r="O323" s="420"/>
      <c r="P323" s="420"/>
      <c r="Q323" s="420"/>
      <c r="R323" s="420"/>
      <c r="S323" s="420"/>
      <c r="T323" s="420"/>
      <c r="U323" s="420"/>
      <c r="V323" s="420"/>
      <c r="W323" s="420"/>
      <c r="X323" s="420"/>
      <c r="Y323" s="420"/>
      <c r="Z323" s="420"/>
      <c r="AA323" s="420"/>
    </row>
    <row r="324">
      <c r="A324" s="420"/>
      <c r="B324" s="420"/>
      <c r="C324" s="420"/>
      <c r="D324" s="420"/>
      <c r="E324" s="420"/>
      <c r="F324" s="420"/>
      <c r="G324" s="420"/>
      <c r="H324" s="421"/>
      <c r="I324" s="420"/>
      <c r="J324" s="420"/>
      <c r="K324" s="420"/>
      <c r="L324" s="420"/>
      <c r="M324" s="420"/>
      <c r="N324" s="420"/>
      <c r="O324" s="420"/>
      <c r="P324" s="420"/>
      <c r="Q324" s="420"/>
      <c r="R324" s="420"/>
      <c r="S324" s="420"/>
      <c r="T324" s="420"/>
      <c r="U324" s="420"/>
      <c r="V324" s="420"/>
      <c r="W324" s="420"/>
      <c r="X324" s="420"/>
      <c r="Y324" s="420"/>
      <c r="Z324" s="420"/>
      <c r="AA324" s="420"/>
    </row>
    <row r="325">
      <c r="A325" s="420"/>
      <c r="B325" s="420"/>
      <c r="C325" s="420"/>
      <c r="D325" s="420"/>
      <c r="E325" s="420"/>
      <c r="F325" s="420"/>
      <c r="G325" s="420"/>
      <c r="H325" s="421"/>
      <c r="I325" s="420"/>
      <c r="J325" s="420"/>
      <c r="K325" s="420"/>
      <c r="L325" s="420"/>
      <c r="M325" s="420"/>
      <c r="N325" s="420"/>
      <c r="O325" s="420"/>
      <c r="P325" s="420"/>
      <c r="Q325" s="420"/>
      <c r="R325" s="420"/>
      <c r="S325" s="420"/>
      <c r="T325" s="420"/>
      <c r="U325" s="420"/>
      <c r="V325" s="420"/>
      <c r="W325" s="420"/>
      <c r="X325" s="420"/>
      <c r="Y325" s="420"/>
      <c r="Z325" s="420"/>
      <c r="AA325" s="420"/>
    </row>
    <row r="326">
      <c r="A326" s="420"/>
      <c r="B326" s="420"/>
      <c r="C326" s="420"/>
      <c r="D326" s="420"/>
      <c r="E326" s="420"/>
      <c r="F326" s="420"/>
      <c r="G326" s="420"/>
      <c r="H326" s="421"/>
      <c r="I326" s="420"/>
      <c r="J326" s="420"/>
      <c r="K326" s="420"/>
      <c r="L326" s="420"/>
      <c r="M326" s="420"/>
      <c r="N326" s="420"/>
      <c r="O326" s="420"/>
      <c r="P326" s="420"/>
      <c r="Q326" s="420"/>
      <c r="R326" s="420"/>
      <c r="S326" s="420"/>
      <c r="T326" s="420"/>
      <c r="U326" s="420"/>
      <c r="V326" s="420"/>
      <c r="W326" s="420"/>
      <c r="X326" s="420"/>
      <c r="Y326" s="420"/>
      <c r="Z326" s="420"/>
      <c r="AA326" s="420"/>
    </row>
    <row r="327">
      <c r="A327" s="420"/>
      <c r="B327" s="420"/>
      <c r="C327" s="420"/>
      <c r="D327" s="420"/>
      <c r="E327" s="420"/>
      <c r="F327" s="420"/>
      <c r="G327" s="420"/>
      <c r="H327" s="421"/>
      <c r="I327" s="420"/>
      <c r="J327" s="420"/>
      <c r="K327" s="420"/>
      <c r="L327" s="420"/>
      <c r="M327" s="420"/>
      <c r="N327" s="420"/>
      <c r="O327" s="420"/>
      <c r="P327" s="420"/>
      <c r="Q327" s="420"/>
      <c r="R327" s="420"/>
      <c r="S327" s="420"/>
      <c r="T327" s="420"/>
      <c r="U327" s="420"/>
      <c r="V327" s="420"/>
      <c r="W327" s="420"/>
      <c r="X327" s="420"/>
      <c r="Y327" s="420"/>
      <c r="Z327" s="420"/>
      <c r="AA327" s="420"/>
    </row>
    <row r="328">
      <c r="A328" s="420"/>
      <c r="B328" s="420"/>
      <c r="C328" s="420"/>
      <c r="D328" s="420"/>
      <c r="E328" s="420"/>
      <c r="F328" s="420"/>
      <c r="G328" s="420"/>
      <c r="H328" s="421"/>
      <c r="I328" s="420"/>
      <c r="J328" s="420"/>
      <c r="K328" s="420"/>
      <c r="L328" s="420"/>
      <c r="M328" s="420"/>
      <c r="N328" s="420"/>
      <c r="O328" s="420"/>
      <c r="P328" s="420"/>
      <c r="Q328" s="420"/>
      <c r="R328" s="420"/>
      <c r="S328" s="420"/>
      <c r="T328" s="420"/>
      <c r="U328" s="420"/>
      <c r="V328" s="420"/>
      <c r="W328" s="420"/>
      <c r="X328" s="420"/>
      <c r="Y328" s="420"/>
      <c r="Z328" s="420"/>
      <c r="AA328" s="420"/>
    </row>
    <row r="329">
      <c r="A329" s="420"/>
      <c r="B329" s="420"/>
      <c r="C329" s="420"/>
      <c r="D329" s="420"/>
      <c r="E329" s="420"/>
      <c r="F329" s="420"/>
      <c r="G329" s="420"/>
      <c r="H329" s="421"/>
      <c r="I329" s="420"/>
      <c r="J329" s="420"/>
      <c r="K329" s="420"/>
      <c r="L329" s="420"/>
      <c r="M329" s="420"/>
      <c r="N329" s="420"/>
      <c r="O329" s="420"/>
      <c r="P329" s="420"/>
      <c r="Q329" s="420"/>
      <c r="R329" s="420"/>
      <c r="S329" s="420"/>
      <c r="T329" s="420"/>
      <c r="U329" s="420"/>
      <c r="V329" s="420"/>
      <c r="W329" s="420"/>
      <c r="X329" s="420"/>
      <c r="Y329" s="420"/>
      <c r="Z329" s="420"/>
      <c r="AA329" s="420"/>
    </row>
    <row r="330">
      <c r="A330" s="420"/>
      <c r="B330" s="420"/>
      <c r="C330" s="420"/>
      <c r="D330" s="420"/>
      <c r="E330" s="420"/>
      <c r="F330" s="420"/>
      <c r="G330" s="420"/>
      <c r="H330" s="421"/>
      <c r="I330" s="420"/>
      <c r="J330" s="420"/>
      <c r="K330" s="420"/>
      <c r="L330" s="420"/>
      <c r="M330" s="420"/>
      <c r="N330" s="420"/>
      <c r="O330" s="420"/>
      <c r="P330" s="420"/>
      <c r="Q330" s="420"/>
      <c r="R330" s="420"/>
      <c r="S330" s="420"/>
      <c r="T330" s="420"/>
      <c r="U330" s="420"/>
      <c r="V330" s="420"/>
      <c r="W330" s="420"/>
      <c r="X330" s="420"/>
      <c r="Y330" s="420"/>
      <c r="Z330" s="420"/>
      <c r="AA330" s="420"/>
    </row>
    <row r="331">
      <c r="A331" s="420"/>
      <c r="B331" s="420"/>
      <c r="C331" s="420"/>
      <c r="D331" s="420"/>
      <c r="E331" s="420"/>
      <c r="F331" s="420"/>
      <c r="G331" s="420"/>
      <c r="H331" s="421"/>
      <c r="I331" s="420"/>
      <c r="J331" s="420"/>
      <c r="K331" s="420"/>
      <c r="L331" s="420"/>
      <c r="M331" s="420"/>
      <c r="N331" s="420"/>
      <c r="O331" s="420"/>
      <c r="P331" s="420"/>
      <c r="Q331" s="420"/>
      <c r="R331" s="420"/>
      <c r="S331" s="420"/>
      <c r="T331" s="420"/>
      <c r="U331" s="420"/>
      <c r="V331" s="420"/>
      <c r="W331" s="420"/>
      <c r="X331" s="420"/>
      <c r="Y331" s="420"/>
      <c r="Z331" s="420"/>
      <c r="AA331" s="420"/>
    </row>
    <row r="332">
      <c r="A332" s="420"/>
      <c r="B332" s="420"/>
      <c r="C332" s="420"/>
      <c r="D332" s="420"/>
      <c r="E332" s="420"/>
      <c r="F332" s="420"/>
      <c r="G332" s="420"/>
      <c r="H332" s="421"/>
      <c r="I332" s="420"/>
      <c r="J332" s="420"/>
      <c r="K332" s="420"/>
      <c r="L332" s="420"/>
      <c r="M332" s="420"/>
      <c r="N332" s="420"/>
      <c r="O332" s="420"/>
      <c r="P332" s="420"/>
      <c r="Q332" s="420"/>
      <c r="R332" s="420"/>
      <c r="S332" s="420"/>
      <c r="T332" s="420"/>
      <c r="U332" s="420"/>
      <c r="V332" s="420"/>
      <c r="W332" s="420"/>
      <c r="X332" s="420"/>
      <c r="Y332" s="420"/>
      <c r="Z332" s="420"/>
      <c r="AA332" s="420"/>
    </row>
    <row r="333">
      <c r="A333" s="420"/>
      <c r="B333" s="420"/>
      <c r="C333" s="420"/>
      <c r="D333" s="420"/>
      <c r="E333" s="420"/>
      <c r="F333" s="420"/>
      <c r="G333" s="420"/>
      <c r="H333" s="421"/>
      <c r="I333" s="420"/>
      <c r="J333" s="420"/>
      <c r="K333" s="420"/>
      <c r="L333" s="420"/>
      <c r="M333" s="420"/>
      <c r="N333" s="420"/>
      <c r="O333" s="420"/>
      <c r="P333" s="420"/>
      <c r="Q333" s="420"/>
      <c r="R333" s="420"/>
      <c r="S333" s="420"/>
      <c r="T333" s="420"/>
      <c r="U333" s="420"/>
      <c r="V333" s="420"/>
      <c r="W333" s="420"/>
      <c r="X333" s="420"/>
      <c r="Y333" s="420"/>
      <c r="Z333" s="420"/>
      <c r="AA333" s="420"/>
    </row>
    <row r="334">
      <c r="A334" s="420"/>
      <c r="B334" s="420"/>
      <c r="C334" s="420"/>
      <c r="D334" s="420"/>
      <c r="E334" s="420"/>
      <c r="F334" s="420"/>
      <c r="G334" s="420"/>
      <c r="H334" s="421"/>
      <c r="I334" s="420"/>
      <c r="J334" s="420"/>
      <c r="K334" s="420"/>
      <c r="L334" s="420"/>
      <c r="M334" s="420"/>
      <c r="N334" s="420"/>
      <c r="O334" s="420"/>
      <c r="P334" s="420"/>
      <c r="Q334" s="420"/>
      <c r="R334" s="420"/>
      <c r="S334" s="420"/>
      <c r="T334" s="420"/>
      <c r="U334" s="420"/>
      <c r="V334" s="420"/>
      <c r="W334" s="420"/>
      <c r="X334" s="420"/>
      <c r="Y334" s="420"/>
      <c r="Z334" s="420"/>
      <c r="AA334" s="420"/>
    </row>
    <row r="335">
      <c r="A335" s="420"/>
      <c r="B335" s="420"/>
      <c r="C335" s="420"/>
      <c r="D335" s="420"/>
      <c r="E335" s="420"/>
      <c r="F335" s="420"/>
      <c r="G335" s="420"/>
      <c r="H335" s="421"/>
      <c r="I335" s="420"/>
      <c r="J335" s="420"/>
      <c r="K335" s="420"/>
      <c r="L335" s="420"/>
      <c r="M335" s="420"/>
      <c r="N335" s="420"/>
      <c r="O335" s="420"/>
      <c r="P335" s="420"/>
      <c r="Q335" s="420"/>
      <c r="R335" s="420"/>
      <c r="S335" s="420"/>
      <c r="T335" s="420"/>
      <c r="U335" s="420"/>
      <c r="V335" s="420"/>
      <c r="W335" s="420"/>
      <c r="X335" s="420"/>
      <c r="Y335" s="420"/>
      <c r="Z335" s="420"/>
      <c r="AA335" s="420"/>
    </row>
    <row r="336">
      <c r="A336" s="420"/>
      <c r="B336" s="420"/>
      <c r="C336" s="420"/>
      <c r="D336" s="420"/>
      <c r="E336" s="420"/>
      <c r="F336" s="420"/>
      <c r="G336" s="420"/>
      <c r="H336" s="421"/>
      <c r="I336" s="420"/>
      <c r="J336" s="420"/>
      <c r="K336" s="420"/>
      <c r="L336" s="420"/>
      <c r="M336" s="420"/>
      <c r="N336" s="420"/>
      <c r="O336" s="420"/>
      <c r="P336" s="420"/>
      <c r="Q336" s="420"/>
      <c r="R336" s="420"/>
      <c r="S336" s="420"/>
      <c r="T336" s="420"/>
      <c r="U336" s="420"/>
      <c r="V336" s="420"/>
      <c r="W336" s="420"/>
      <c r="X336" s="420"/>
      <c r="Y336" s="420"/>
      <c r="Z336" s="420"/>
      <c r="AA336" s="420"/>
    </row>
    <row r="337">
      <c r="A337" s="420"/>
      <c r="B337" s="420"/>
      <c r="C337" s="420"/>
      <c r="D337" s="420"/>
      <c r="E337" s="420"/>
      <c r="F337" s="420"/>
      <c r="G337" s="420"/>
      <c r="H337" s="421"/>
      <c r="I337" s="420"/>
      <c r="J337" s="420"/>
      <c r="K337" s="420"/>
      <c r="L337" s="420"/>
      <c r="M337" s="420"/>
      <c r="N337" s="420"/>
      <c r="O337" s="420"/>
      <c r="P337" s="420"/>
      <c r="Q337" s="420"/>
      <c r="R337" s="420"/>
      <c r="S337" s="420"/>
      <c r="T337" s="420"/>
      <c r="U337" s="420"/>
      <c r="V337" s="420"/>
      <c r="W337" s="420"/>
      <c r="X337" s="420"/>
      <c r="Y337" s="420"/>
      <c r="Z337" s="420"/>
      <c r="AA337" s="420"/>
    </row>
    <row r="338">
      <c r="A338" s="420"/>
      <c r="B338" s="420"/>
      <c r="C338" s="420"/>
      <c r="D338" s="420"/>
      <c r="E338" s="420"/>
      <c r="F338" s="420"/>
      <c r="G338" s="420"/>
      <c r="H338" s="421"/>
      <c r="I338" s="420"/>
      <c r="J338" s="420"/>
      <c r="K338" s="420"/>
      <c r="L338" s="420"/>
      <c r="M338" s="420"/>
      <c r="N338" s="420"/>
      <c r="O338" s="420"/>
      <c r="P338" s="420"/>
      <c r="Q338" s="420"/>
      <c r="R338" s="420"/>
      <c r="S338" s="420"/>
      <c r="T338" s="420"/>
      <c r="U338" s="420"/>
      <c r="V338" s="420"/>
      <c r="W338" s="420"/>
      <c r="X338" s="420"/>
      <c r="Y338" s="420"/>
      <c r="Z338" s="420"/>
      <c r="AA338" s="420"/>
    </row>
    <row r="339">
      <c r="A339" s="420"/>
      <c r="B339" s="420"/>
      <c r="C339" s="420"/>
      <c r="D339" s="420"/>
      <c r="E339" s="420"/>
      <c r="F339" s="420"/>
      <c r="G339" s="420"/>
      <c r="H339" s="421"/>
      <c r="I339" s="420"/>
      <c r="J339" s="420"/>
      <c r="K339" s="420"/>
      <c r="L339" s="420"/>
      <c r="M339" s="420"/>
      <c r="N339" s="420"/>
      <c r="O339" s="420"/>
      <c r="P339" s="420"/>
      <c r="Q339" s="420"/>
      <c r="R339" s="420"/>
      <c r="S339" s="420"/>
      <c r="T339" s="420"/>
      <c r="U339" s="420"/>
      <c r="V339" s="420"/>
      <c r="W339" s="420"/>
      <c r="X339" s="420"/>
      <c r="Y339" s="420"/>
      <c r="Z339" s="420"/>
      <c r="AA339" s="420"/>
    </row>
    <row r="340">
      <c r="A340" s="420"/>
      <c r="B340" s="420"/>
      <c r="C340" s="420"/>
      <c r="D340" s="420"/>
      <c r="E340" s="420"/>
      <c r="F340" s="420"/>
      <c r="G340" s="420"/>
      <c r="H340" s="421"/>
      <c r="I340" s="420"/>
      <c r="J340" s="420"/>
      <c r="K340" s="420"/>
      <c r="L340" s="420"/>
      <c r="M340" s="420"/>
      <c r="N340" s="420"/>
      <c r="O340" s="420"/>
      <c r="P340" s="420"/>
      <c r="Q340" s="420"/>
      <c r="R340" s="420"/>
      <c r="S340" s="420"/>
      <c r="T340" s="420"/>
      <c r="U340" s="420"/>
      <c r="V340" s="420"/>
      <c r="W340" s="420"/>
      <c r="X340" s="420"/>
      <c r="Y340" s="420"/>
      <c r="Z340" s="420"/>
      <c r="AA340" s="420"/>
    </row>
    <row r="341">
      <c r="A341" s="420"/>
      <c r="B341" s="420"/>
      <c r="C341" s="420"/>
      <c r="D341" s="420"/>
      <c r="E341" s="420"/>
      <c r="F341" s="420"/>
      <c r="G341" s="420"/>
      <c r="H341" s="421"/>
      <c r="I341" s="420"/>
      <c r="J341" s="420"/>
      <c r="K341" s="420"/>
      <c r="L341" s="420"/>
      <c r="M341" s="420"/>
      <c r="N341" s="420"/>
      <c r="O341" s="420"/>
      <c r="P341" s="420"/>
      <c r="Q341" s="420"/>
      <c r="R341" s="420"/>
      <c r="S341" s="420"/>
      <c r="T341" s="420"/>
      <c r="U341" s="420"/>
      <c r="V341" s="420"/>
      <c r="W341" s="420"/>
      <c r="X341" s="420"/>
      <c r="Y341" s="420"/>
      <c r="Z341" s="420"/>
      <c r="AA341" s="420"/>
    </row>
    <row r="342">
      <c r="A342" s="420"/>
      <c r="B342" s="420"/>
      <c r="C342" s="420"/>
      <c r="D342" s="420"/>
      <c r="E342" s="420"/>
      <c r="F342" s="420"/>
      <c r="G342" s="420"/>
      <c r="H342" s="421"/>
      <c r="I342" s="420"/>
      <c r="J342" s="420"/>
      <c r="K342" s="420"/>
      <c r="L342" s="420"/>
      <c r="M342" s="420"/>
      <c r="N342" s="420"/>
      <c r="O342" s="420"/>
      <c r="P342" s="420"/>
      <c r="Q342" s="420"/>
      <c r="R342" s="420"/>
      <c r="S342" s="420"/>
      <c r="T342" s="420"/>
      <c r="U342" s="420"/>
      <c r="V342" s="420"/>
      <c r="W342" s="420"/>
      <c r="X342" s="420"/>
      <c r="Y342" s="420"/>
      <c r="Z342" s="420"/>
      <c r="AA342" s="420"/>
    </row>
    <row r="343">
      <c r="A343" s="420"/>
      <c r="B343" s="420"/>
      <c r="C343" s="420"/>
      <c r="D343" s="420"/>
      <c r="E343" s="420"/>
      <c r="F343" s="420"/>
      <c r="G343" s="420"/>
      <c r="H343" s="421"/>
      <c r="I343" s="420"/>
      <c r="J343" s="420"/>
      <c r="K343" s="420"/>
      <c r="L343" s="420"/>
      <c r="M343" s="420"/>
      <c r="N343" s="420"/>
      <c r="O343" s="420"/>
      <c r="P343" s="420"/>
      <c r="Q343" s="420"/>
      <c r="R343" s="420"/>
      <c r="S343" s="420"/>
      <c r="T343" s="420"/>
      <c r="U343" s="420"/>
      <c r="V343" s="420"/>
      <c r="W343" s="420"/>
      <c r="X343" s="420"/>
      <c r="Y343" s="420"/>
      <c r="Z343" s="420"/>
      <c r="AA343" s="420"/>
    </row>
    <row r="344">
      <c r="A344" s="420"/>
      <c r="B344" s="420"/>
      <c r="C344" s="420"/>
      <c r="D344" s="420"/>
      <c r="E344" s="420"/>
      <c r="F344" s="420"/>
      <c r="G344" s="420"/>
      <c r="H344" s="421"/>
      <c r="I344" s="420"/>
      <c r="J344" s="420"/>
      <c r="K344" s="420"/>
      <c r="L344" s="420"/>
      <c r="M344" s="420"/>
      <c r="N344" s="420"/>
      <c r="O344" s="420"/>
      <c r="P344" s="420"/>
      <c r="Q344" s="420"/>
      <c r="R344" s="420"/>
      <c r="S344" s="420"/>
      <c r="T344" s="420"/>
      <c r="U344" s="420"/>
      <c r="V344" s="420"/>
      <c r="W344" s="420"/>
      <c r="X344" s="420"/>
      <c r="Y344" s="420"/>
      <c r="Z344" s="420"/>
      <c r="AA344" s="420"/>
    </row>
    <row r="345">
      <c r="A345" s="420"/>
      <c r="B345" s="420"/>
      <c r="C345" s="420"/>
      <c r="D345" s="420"/>
      <c r="E345" s="420"/>
      <c r="F345" s="420"/>
      <c r="G345" s="420"/>
      <c r="H345" s="421"/>
      <c r="I345" s="420"/>
      <c r="J345" s="420"/>
      <c r="K345" s="420"/>
      <c r="L345" s="420"/>
      <c r="M345" s="420"/>
      <c r="N345" s="420"/>
      <c r="O345" s="420"/>
      <c r="P345" s="420"/>
      <c r="Q345" s="420"/>
      <c r="R345" s="420"/>
      <c r="S345" s="420"/>
      <c r="T345" s="420"/>
      <c r="U345" s="420"/>
      <c r="V345" s="420"/>
      <c r="W345" s="420"/>
      <c r="X345" s="420"/>
      <c r="Y345" s="420"/>
      <c r="Z345" s="420"/>
      <c r="AA345" s="420"/>
    </row>
    <row r="346">
      <c r="A346" s="420"/>
      <c r="B346" s="420"/>
      <c r="C346" s="420"/>
      <c r="D346" s="420"/>
      <c r="E346" s="420"/>
      <c r="F346" s="420"/>
      <c r="G346" s="420"/>
      <c r="H346" s="421"/>
      <c r="I346" s="420"/>
      <c r="J346" s="420"/>
      <c r="K346" s="420"/>
      <c r="L346" s="420"/>
      <c r="M346" s="420"/>
      <c r="N346" s="420"/>
      <c r="O346" s="420"/>
      <c r="P346" s="420"/>
      <c r="Q346" s="420"/>
      <c r="R346" s="420"/>
      <c r="S346" s="420"/>
      <c r="T346" s="420"/>
      <c r="U346" s="420"/>
      <c r="V346" s="420"/>
      <c r="W346" s="420"/>
      <c r="X346" s="420"/>
      <c r="Y346" s="420"/>
      <c r="Z346" s="420"/>
      <c r="AA346" s="420"/>
    </row>
    <row r="347">
      <c r="A347" s="420"/>
      <c r="B347" s="420"/>
      <c r="C347" s="420"/>
      <c r="D347" s="420"/>
      <c r="E347" s="420"/>
      <c r="F347" s="420"/>
      <c r="G347" s="420"/>
      <c r="H347" s="421"/>
      <c r="I347" s="420"/>
      <c r="J347" s="420"/>
      <c r="K347" s="420"/>
      <c r="L347" s="420"/>
      <c r="M347" s="420"/>
      <c r="N347" s="420"/>
      <c r="O347" s="420"/>
      <c r="P347" s="420"/>
      <c r="Q347" s="420"/>
      <c r="R347" s="420"/>
      <c r="S347" s="420"/>
      <c r="T347" s="420"/>
      <c r="U347" s="420"/>
      <c r="V347" s="420"/>
      <c r="W347" s="420"/>
      <c r="X347" s="420"/>
      <c r="Y347" s="420"/>
      <c r="Z347" s="420"/>
      <c r="AA347" s="420"/>
    </row>
    <row r="348">
      <c r="A348" s="420"/>
      <c r="B348" s="420"/>
      <c r="C348" s="420"/>
      <c r="D348" s="420"/>
      <c r="E348" s="420"/>
      <c r="F348" s="420"/>
      <c r="G348" s="420"/>
      <c r="H348" s="421"/>
      <c r="I348" s="420"/>
      <c r="J348" s="420"/>
      <c r="K348" s="420"/>
      <c r="L348" s="420"/>
      <c r="M348" s="420"/>
      <c r="N348" s="420"/>
      <c r="O348" s="420"/>
      <c r="P348" s="420"/>
      <c r="Q348" s="420"/>
      <c r="R348" s="420"/>
      <c r="S348" s="420"/>
      <c r="T348" s="420"/>
      <c r="U348" s="420"/>
      <c r="V348" s="420"/>
      <c r="W348" s="420"/>
      <c r="X348" s="420"/>
      <c r="Y348" s="420"/>
      <c r="Z348" s="420"/>
      <c r="AA348" s="420"/>
    </row>
    <row r="349">
      <c r="A349" s="420"/>
      <c r="B349" s="420"/>
      <c r="C349" s="420"/>
      <c r="D349" s="420"/>
      <c r="E349" s="420"/>
      <c r="F349" s="420"/>
      <c r="G349" s="420"/>
      <c r="H349" s="421"/>
      <c r="I349" s="420"/>
      <c r="J349" s="420"/>
      <c r="K349" s="420"/>
      <c r="L349" s="420"/>
      <c r="M349" s="420"/>
      <c r="N349" s="420"/>
      <c r="O349" s="420"/>
      <c r="P349" s="420"/>
      <c r="Q349" s="420"/>
      <c r="R349" s="420"/>
      <c r="S349" s="420"/>
      <c r="T349" s="420"/>
      <c r="U349" s="420"/>
      <c r="V349" s="420"/>
      <c r="W349" s="420"/>
      <c r="X349" s="420"/>
      <c r="Y349" s="420"/>
      <c r="Z349" s="420"/>
      <c r="AA349" s="420"/>
    </row>
    <row r="350">
      <c r="A350" s="420"/>
      <c r="B350" s="420"/>
      <c r="C350" s="420"/>
      <c r="D350" s="420"/>
      <c r="E350" s="420"/>
      <c r="F350" s="420"/>
      <c r="G350" s="420"/>
      <c r="H350" s="421"/>
      <c r="I350" s="420"/>
      <c r="J350" s="420"/>
      <c r="K350" s="420"/>
      <c r="L350" s="420"/>
      <c r="M350" s="420"/>
      <c r="N350" s="420"/>
      <c r="O350" s="420"/>
      <c r="P350" s="420"/>
      <c r="Q350" s="420"/>
      <c r="R350" s="420"/>
      <c r="S350" s="420"/>
      <c r="T350" s="420"/>
      <c r="U350" s="420"/>
      <c r="V350" s="420"/>
      <c r="W350" s="420"/>
      <c r="X350" s="420"/>
      <c r="Y350" s="420"/>
      <c r="Z350" s="420"/>
      <c r="AA350" s="420"/>
    </row>
    <row r="351">
      <c r="A351" s="420"/>
      <c r="B351" s="420"/>
      <c r="C351" s="420"/>
      <c r="D351" s="420"/>
      <c r="E351" s="420"/>
      <c r="F351" s="420"/>
      <c r="G351" s="420"/>
      <c r="H351" s="421"/>
      <c r="I351" s="420"/>
      <c r="J351" s="420"/>
      <c r="K351" s="420"/>
      <c r="L351" s="420"/>
      <c r="M351" s="420"/>
      <c r="N351" s="420"/>
      <c r="O351" s="420"/>
      <c r="P351" s="420"/>
      <c r="Q351" s="420"/>
      <c r="R351" s="420"/>
      <c r="S351" s="420"/>
      <c r="T351" s="420"/>
      <c r="U351" s="420"/>
      <c r="V351" s="420"/>
      <c r="W351" s="420"/>
      <c r="X351" s="420"/>
      <c r="Y351" s="420"/>
      <c r="Z351" s="420"/>
      <c r="AA351" s="420"/>
    </row>
    <row r="352">
      <c r="A352" s="420"/>
      <c r="B352" s="420"/>
      <c r="C352" s="420"/>
      <c r="D352" s="420"/>
      <c r="E352" s="420"/>
      <c r="F352" s="420"/>
      <c r="G352" s="420"/>
      <c r="H352" s="421"/>
      <c r="I352" s="420"/>
      <c r="J352" s="420"/>
      <c r="K352" s="420"/>
      <c r="L352" s="420"/>
      <c r="M352" s="420"/>
      <c r="N352" s="420"/>
      <c r="O352" s="420"/>
      <c r="P352" s="420"/>
      <c r="Q352" s="420"/>
      <c r="R352" s="420"/>
      <c r="S352" s="420"/>
      <c r="T352" s="420"/>
      <c r="U352" s="420"/>
      <c r="V352" s="420"/>
      <c r="W352" s="420"/>
      <c r="X352" s="420"/>
      <c r="Y352" s="420"/>
      <c r="Z352" s="420"/>
      <c r="AA352" s="420"/>
    </row>
    <row r="353">
      <c r="A353" s="420"/>
      <c r="B353" s="420"/>
      <c r="C353" s="420"/>
      <c r="D353" s="420"/>
      <c r="E353" s="420"/>
      <c r="F353" s="420"/>
      <c r="G353" s="420"/>
      <c r="H353" s="421"/>
      <c r="I353" s="420"/>
      <c r="J353" s="420"/>
      <c r="K353" s="420"/>
      <c r="L353" s="420"/>
      <c r="M353" s="420"/>
      <c r="N353" s="420"/>
      <c r="O353" s="420"/>
      <c r="P353" s="420"/>
      <c r="Q353" s="420"/>
      <c r="R353" s="420"/>
      <c r="S353" s="420"/>
      <c r="T353" s="420"/>
      <c r="U353" s="420"/>
      <c r="V353" s="420"/>
      <c r="W353" s="420"/>
      <c r="X353" s="420"/>
      <c r="Y353" s="420"/>
      <c r="Z353" s="420"/>
      <c r="AA353" s="420"/>
    </row>
    <row r="354">
      <c r="A354" s="420"/>
      <c r="B354" s="420"/>
      <c r="C354" s="420"/>
      <c r="D354" s="420"/>
      <c r="E354" s="420"/>
      <c r="F354" s="420"/>
      <c r="G354" s="420"/>
      <c r="H354" s="421"/>
      <c r="I354" s="420"/>
      <c r="J354" s="420"/>
      <c r="K354" s="420"/>
      <c r="L354" s="420"/>
      <c r="M354" s="420"/>
      <c r="N354" s="420"/>
      <c r="O354" s="420"/>
      <c r="P354" s="420"/>
      <c r="Q354" s="420"/>
      <c r="R354" s="420"/>
      <c r="S354" s="420"/>
      <c r="T354" s="420"/>
      <c r="U354" s="420"/>
      <c r="V354" s="420"/>
      <c r="W354" s="420"/>
      <c r="X354" s="420"/>
      <c r="Y354" s="420"/>
      <c r="Z354" s="420"/>
      <c r="AA354" s="420"/>
    </row>
    <row r="355">
      <c r="A355" s="420"/>
      <c r="B355" s="420"/>
      <c r="C355" s="420"/>
      <c r="D355" s="420"/>
      <c r="E355" s="420"/>
      <c r="F355" s="420"/>
      <c r="G355" s="420"/>
      <c r="H355" s="421"/>
      <c r="I355" s="420"/>
      <c r="J355" s="420"/>
      <c r="K355" s="420"/>
      <c r="L355" s="420"/>
      <c r="M355" s="420"/>
      <c r="N355" s="420"/>
      <c r="O355" s="420"/>
      <c r="P355" s="420"/>
      <c r="Q355" s="420"/>
      <c r="R355" s="420"/>
      <c r="S355" s="420"/>
      <c r="T355" s="420"/>
      <c r="U355" s="420"/>
      <c r="V355" s="420"/>
      <c r="W355" s="420"/>
      <c r="X355" s="420"/>
      <c r="Y355" s="420"/>
      <c r="Z355" s="420"/>
      <c r="AA355" s="420"/>
    </row>
    <row r="356">
      <c r="A356" s="420"/>
      <c r="B356" s="420"/>
      <c r="C356" s="420"/>
      <c r="D356" s="420"/>
      <c r="E356" s="420"/>
      <c r="F356" s="420"/>
      <c r="G356" s="420"/>
      <c r="H356" s="421"/>
      <c r="I356" s="420"/>
      <c r="J356" s="420"/>
      <c r="K356" s="420"/>
      <c r="L356" s="420"/>
      <c r="M356" s="420"/>
      <c r="N356" s="420"/>
      <c r="O356" s="420"/>
      <c r="P356" s="420"/>
      <c r="Q356" s="420"/>
      <c r="R356" s="420"/>
      <c r="S356" s="420"/>
      <c r="T356" s="420"/>
      <c r="U356" s="420"/>
      <c r="V356" s="420"/>
      <c r="W356" s="420"/>
      <c r="X356" s="420"/>
      <c r="Y356" s="420"/>
      <c r="Z356" s="420"/>
      <c r="AA356" s="420"/>
    </row>
    <row r="357">
      <c r="A357" s="420"/>
      <c r="B357" s="420"/>
      <c r="C357" s="420"/>
      <c r="D357" s="420"/>
      <c r="E357" s="420"/>
      <c r="F357" s="420"/>
      <c r="G357" s="420"/>
      <c r="H357" s="421"/>
      <c r="I357" s="420"/>
      <c r="J357" s="420"/>
      <c r="K357" s="420"/>
      <c r="L357" s="420"/>
      <c r="M357" s="420"/>
      <c r="N357" s="420"/>
      <c r="O357" s="420"/>
      <c r="P357" s="420"/>
      <c r="Q357" s="420"/>
      <c r="R357" s="420"/>
      <c r="S357" s="420"/>
      <c r="T357" s="420"/>
      <c r="U357" s="420"/>
      <c r="V357" s="420"/>
      <c r="W357" s="420"/>
      <c r="X357" s="420"/>
      <c r="Y357" s="420"/>
      <c r="Z357" s="420"/>
      <c r="AA357" s="420"/>
    </row>
    <row r="358">
      <c r="A358" s="420"/>
      <c r="B358" s="420"/>
      <c r="C358" s="420"/>
      <c r="D358" s="420"/>
      <c r="E358" s="420"/>
      <c r="F358" s="420"/>
      <c r="G358" s="420"/>
      <c r="H358" s="421"/>
      <c r="I358" s="420"/>
      <c r="J358" s="420"/>
      <c r="K358" s="420"/>
      <c r="L358" s="420"/>
      <c r="M358" s="420"/>
      <c r="N358" s="420"/>
      <c r="O358" s="420"/>
      <c r="P358" s="420"/>
      <c r="Q358" s="420"/>
      <c r="R358" s="420"/>
      <c r="S358" s="420"/>
      <c r="T358" s="420"/>
      <c r="U358" s="420"/>
      <c r="V358" s="420"/>
      <c r="W358" s="420"/>
      <c r="X358" s="420"/>
      <c r="Y358" s="420"/>
      <c r="Z358" s="420"/>
      <c r="AA358" s="420"/>
    </row>
    <row r="359">
      <c r="A359" s="420"/>
      <c r="B359" s="420"/>
      <c r="C359" s="420"/>
      <c r="D359" s="420"/>
      <c r="E359" s="420"/>
      <c r="F359" s="420"/>
      <c r="G359" s="420"/>
      <c r="H359" s="421"/>
      <c r="I359" s="420"/>
      <c r="J359" s="420"/>
      <c r="K359" s="420"/>
      <c r="L359" s="420"/>
      <c r="M359" s="420"/>
      <c r="N359" s="420"/>
      <c r="O359" s="420"/>
      <c r="P359" s="420"/>
      <c r="Q359" s="420"/>
      <c r="R359" s="420"/>
      <c r="S359" s="420"/>
      <c r="T359" s="420"/>
      <c r="U359" s="420"/>
      <c r="V359" s="420"/>
      <c r="W359" s="420"/>
      <c r="X359" s="420"/>
      <c r="Y359" s="420"/>
      <c r="Z359" s="420"/>
      <c r="AA359" s="420"/>
    </row>
    <row r="360">
      <c r="A360" s="420"/>
      <c r="B360" s="420"/>
      <c r="C360" s="420"/>
      <c r="D360" s="420"/>
      <c r="E360" s="420"/>
      <c r="F360" s="420"/>
      <c r="G360" s="420"/>
      <c r="H360" s="421"/>
      <c r="I360" s="420"/>
      <c r="J360" s="420"/>
      <c r="K360" s="420"/>
      <c r="L360" s="420"/>
      <c r="M360" s="420"/>
      <c r="N360" s="420"/>
      <c r="O360" s="420"/>
      <c r="P360" s="420"/>
      <c r="Q360" s="420"/>
      <c r="R360" s="420"/>
      <c r="S360" s="420"/>
      <c r="T360" s="420"/>
      <c r="U360" s="420"/>
      <c r="V360" s="420"/>
      <c r="W360" s="420"/>
      <c r="X360" s="420"/>
      <c r="Y360" s="420"/>
      <c r="Z360" s="420"/>
      <c r="AA360" s="420"/>
    </row>
    <row r="361">
      <c r="A361" s="420"/>
      <c r="B361" s="420"/>
      <c r="C361" s="420"/>
      <c r="D361" s="420"/>
      <c r="E361" s="420"/>
      <c r="F361" s="420"/>
      <c r="G361" s="420"/>
      <c r="H361" s="421"/>
      <c r="I361" s="420"/>
      <c r="J361" s="420"/>
      <c r="K361" s="420"/>
      <c r="L361" s="420"/>
      <c r="M361" s="420"/>
      <c r="N361" s="420"/>
      <c r="O361" s="420"/>
      <c r="P361" s="420"/>
      <c r="Q361" s="420"/>
      <c r="R361" s="420"/>
      <c r="S361" s="420"/>
      <c r="T361" s="420"/>
      <c r="U361" s="420"/>
      <c r="V361" s="420"/>
      <c r="W361" s="420"/>
      <c r="X361" s="420"/>
      <c r="Y361" s="420"/>
      <c r="Z361" s="420"/>
      <c r="AA361" s="420"/>
    </row>
    <row r="362">
      <c r="A362" s="420"/>
      <c r="B362" s="420"/>
      <c r="C362" s="420"/>
      <c r="D362" s="420"/>
      <c r="E362" s="420"/>
      <c r="F362" s="420"/>
      <c r="G362" s="420"/>
      <c r="H362" s="421"/>
      <c r="I362" s="420"/>
      <c r="J362" s="420"/>
      <c r="K362" s="420"/>
      <c r="L362" s="420"/>
      <c r="M362" s="420"/>
      <c r="N362" s="420"/>
      <c r="O362" s="420"/>
      <c r="P362" s="420"/>
      <c r="Q362" s="420"/>
      <c r="R362" s="420"/>
      <c r="S362" s="420"/>
      <c r="T362" s="420"/>
      <c r="U362" s="420"/>
      <c r="V362" s="420"/>
      <c r="W362" s="420"/>
      <c r="X362" s="420"/>
      <c r="Y362" s="420"/>
      <c r="Z362" s="420"/>
      <c r="AA362" s="420"/>
    </row>
    <row r="363">
      <c r="A363" s="420"/>
      <c r="B363" s="420"/>
      <c r="C363" s="420"/>
      <c r="D363" s="420"/>
      <c r="E363" s="420"/>
      <c r="F363" s="420"/>
      <c r="G363" s="420"/>
      <c r="H363" s="421"/>
      <c r="I363" s="420"/>
      <c r="J363" s="420"/>
      <c r="K363" s="420"/>
      <c r="L363" s="420"/>
      <c r="M363" s="420"/>
      <c r="N363" s="420"/>
      <c r="O363" s="420"/>
      <c r="P363" s="420"/>
      <c r="Q363" s="420"/>
      <c r="R363" s="420"/>
      <c r="S363" s="420"/>
      <c r="T363" s="420"/>
      <c r="U363" s="420"/>
      <c r="V363" s="420"/>
      <c r="W363" s="420"/>
      <c r="X363" s="420"/>
      <c r="Y363" s="420"/>
      <c r="Z363" s="420"/>
      <c r="AA363" s="420"/>
    </row>
    <row r="364">
      <c r="A364" s="420"/>
      <c r="B364" s="420"/>
      <c r="C364" s="420"/>
      <c r="D364" s="420"/>
      <c r="E364" s="420"/>
      <c r="F364" s="420"/>
      <c r="G364" s="420"/>
      <c r="H364" s="421"/>
      <c r="I364" s="420"/>
      <c r="J364" s="420"/>
      <c r="K364" s="420"/>
      <c r="L364" s="420"/>
      <c r="M364" s="420"/>
      <c r="N364" s="420"/>
      <c r="O364" s="420"/>
      <c r="P364" s="420"/>
      <c r="Q364" s="420"/>
      <c r="R364" s="420"/>
      <c r="S364" s="420"/>
      <c r="T364" s="420"/>
      <c r="U364" s="420"/>
      <c r="V364" s="420"/>
      <c r="W364" s="420"/>
      <c r="X364" s="420"/>
      <c r="Y364" s="420"/>
      <c r="Z364" s="420"/>
      <c r="AA364" s="420"/>
    </row>
    <row r="365">
      <c r="A365" s="420"/>
      <c r="B365" s="420"/>
      <c r="C365" s="420"/>
      <c r="D365" s="420"/>
      <c r="E365" s="420"/>
      <c r="F365" s="420"/>
      <c r="G365" s="420"/>
      <c r="H365" s="421"/>
      <c r="I365" s="420"/>
      <c r="J365" s="420"/>
      <c r="K365" s="420"/>
      <c r="L365" s="420"/>
      <c r="M365" s="420"/>
      <c r="N365" s="420"/>
      <c r="O365" s="420"/>
      <c r="P365" s="420"/>
      <c r="Q365" s="420"/>
      <c r="R365" s="420"/>
      <c r="S365" s="420"/>
      <c r="T365" s="420"/>
      <c r="U365" s="420"/>
      <c r="V365" s="420"/>
      <c r="W365" s="420"/>
      <c r="X365" s="420"/>
      <c r="Y365" s="420"/>
      <c r="Z365" s="420"/>
      <c r="AA365" s="420"/>
    </row>
    <row r="366">
      <c r="A366" s="420"/>
      <c r="B366" s="420"/>
      <c r="C366" s="420"/>
      <c r="D366" s="420"/>
      <c r="E366" s="420"/>
      <c r="F366" s="420"/>
      <c r="G366" s="420"/>
      <c r="H366" s="421"/>
      <c r="I366" s="420"/>
      <c r="J366" s="420"/>
      <c r="K366" s="420"/>
      <c r="L366" s="420"/>
      <c r="M366" s="420"/>
      <c r="N366" s="420"/>
      <c r="O366" s="420"/>
      <c r="P366" s="420"/>
      <c r="Q366" s="420"/>
      <c r="R366" s="420"/>
      <c r="S366" s="420"/>
      <c r="T366" s="420"/>
      <c r="U366" s="420"/>
      <c r="V366" s="420"/>
      <c r="W366" s="420"/>
      <c r="X366" s="420"/>
      <c r="Y366" s="420"/>
      <c r="Z366" s="420"/>
      <c r="AA366" s="420"/>
    </row>
    <row r="367">
      <c r="A367" s="420"/>
      <c r="B367" s="420"/>
      <c r="C367" s="420"/>
      <c r="D367" s="420"/>
      <c r="E367" s="420"/>
      <c r="F367" s="420"/>
      <c r="G367" s="420"/>
      <c r="H367" s="421"/>
      <c r="I367" s="420"/>
      <c r="J367" s="420"/>
      <c r="K367" s="420"/>
      <c r="L367" s="420"/>
      <c r="M367" s="420"/>
      <c r="N367" s="420"/>
      <c r="O367" s="420"/>
      <c r="P367" s="420"/>
      <c r="Q367" s="420"/>
      <c r="R367" s="420"/>
      <c r="S367" s="420"/>
      <c r="T367" s="420"/>
      <c r="U367" s="420"/>
      <c r="V367" s="420"/>
      <c r="W367" s="420"/>
      <c r="X367" s="420"/>
      <c r="Y367" s="420"/>
      <c r="Z367" s="420"/>
      <c r="AA367" s="420"/>
    </row>
    <row r="368">
      <c r="A368" s="420"/>
      <c r="B368" s="420"/>
      <c r="C368" s="420"/>
      <c r="D368" s="420"/>
      <c r="E368" s="420"/>
      <c r="F368" s="420"/>
      <c r="G368" s="420"/>
      <c r="H368" s="421"/>
      <c r="I368" s="420"/>
      <c r="J368" s="420"/>
      <c r="K368" s="420"/>
      <c r="L368" s="420"/>
      <c r="M368" s="420"/>
      <c r="N368" s="420"/>
      <c r="O368" s="420"/>
      <c r="P368" s="420"/>
      <c r="Q368" s="420"/>
      <c r="R368" s="420"/>
      <c r="S368" s="420"/>
      <c r="T368" s="420"/>
      <c r="U368" s="420"/>
      <c r="V368" s="420"/>
      <c r="W368" s="420"/>
      <c r="X368" s="420"/>
      <c r="Y368" s="420"/>
      <c r="Z368" s="420"/>
      <c r="AA368" s="420"/>
    </row>
    <row r="369">
      <c r="A369" s="420"/>
      <c r="B369" s="420"/>
      <c r="C369" s="420"/>
      <c r="D369" s="420"/>
      <c r="E369" s="420"/>
      <c r="F369" s="420"/>
      <c r="G369" s="420"/>
      <c r="H369" s="421"/>
      <c r="I369" s="420"/>
      <c r="J369" s="420"/>
      <c r="K369" s="420"/>
      <c r="L369" s="420"/>
      <c r="M369" s="420"/>
      <c r="N369" s="420"/>
      <c r="O369" s="420"/>
      <c r="P369" s="420"/>
      <c r="Q369" s="420"/>
      <c r="R369" s="420"/>
      <c r="S369" s="420"/>
      <c r="T369" s="420"/>
      <c r="U369" s="420"/>
      <c r="V369" s="420"/>
      <c r="W369" s="420"/>
      <c r="X369" s="420"/>
      <c r="Y369" s="420"/>
      <c r="Z369" s="420"/>
      <c r="AA369" s="420"/>
    </row>
    <row r="370">
      <c r="A370" s="420"/>
      <c r="B370" s="420"/>
      <c r="C370" s="420"/>
      <c r="D370" s="420"/>
      <c r="E370" s="420"/>
      <c r="F370" s="420"/>
      <c r="G370" s="420"/>
      <c r="H370" s="421"/>
      <c r="I370" s="420"/>
      <c r="J370" s="420"/>
      <c r="K370" s="420"/>
      <c r="L370" s="420"/>
      <c r="M370" s="420"/>
      <c r="N370" s="420"/>
      <c r="O370" s="420"/>
      <c r="P370" s="420"/>
      <c r="Q370" s="420"/>
      <c r="R370" s="420"/>
      <c r="S370" s="420"/>
      <c r="T370" s="420"/>
      <c r="U370" s="420"/>
      <c r="V370" s="420"/>
      <c r="W370" s="420"/>
      <c r="X370" s="420"/>
      <c r="Y370" s="420"/>
      <c r="Z370" s="420"/>
      <c r="AA370" s="420"/>
    </row>
    <row r="371">
      <c r="A371" s="420"/>
      <c r="B371" s="420"/>
      <c r="C371" s="420"/>
      <c r="D371" s="420"/>
      <c r="E371" s="420"/>
      <c r="F371" s="420"/>
      <c r="G371" s="420"/>
      <c r="H371" s="421"/>
      <c r="I371" s="420"/>
      <c r="J371" s="420"/>
      <c r="K371" s="420"/>
      <c r="L371" s="420"/>
      <c r="M371" s="420"/>
      <c r="N371" s="420"/>
      <c r="O371" s="420"/>
      <c r="P371" s="420"/>
      <c r="Q371" s="420"/>
      <c r="R371" s="420"/>
      <c r="S371" s="420"/>
      <c r="T371" s="420"/>
      <c r="U371" s="420"/>
      <c r="V371" s="420"/>
      <c r="W371" s="420"/>
      <c r="X371" s="420"/>
      <c r="Y371" s="420"/>
      <c r="Z371" s="420"/>
      <c r="AA371" s="420"/>
    </row>
    <row r="372">
      <c r="A372" s="420"/>
      <c r="B372" s="420"/>
      <c r="C372" s="420"/>
      <c r="D372" s="420"/>
      <c r="E372" s="420"/>
      <c r="F372" s="420"/>
      <c r="G372" s="420"/>
      <c r="H372" s="421"/>
      <c r="I372" s="420"/>
      <c r="J372" s="420"/>
      <c r="K372" s="420"/>
      <c r="L372" s="420"/>
      <c r="M372" s="420"/>
      <c r="N372" s="420"/>
      <c r="O372" s="420"/>
      <c r="P372" s="420"/>
      <c r="Q372" s="420"/>
      <c r="R372" s="420"/>
      <c r="S372" s="420"/>
      <c r="T372" s="420"/>
      <c r="U372" s="420"/>
      <c r="V372" s="420"/>
      <c r="W372" s="420"/>
      <c r="X372" s="420"/>
      <c r="Y372" s="420"/>
      <c r="Z372" s="420"/>
      <c r="AA372" s="420"/>
    </row>
    <row r="373">
      <c r="A373" s="420"/>
      <c r="B373" s="420"/>
      <c r="C373" s="420"/>
      <c r="D373" s="420"/>
      <c r="E373" s="420"/>
      <c r="F373" s="420"/>
      <c r="G373" s="420"/>
      <c r="H373" s="421"/>
      <c r="I373" s="420"/>
      <c r="J373" s="420"/>
      <c r="K373" s="420"/>
      <c r="L373" s="420"/>
      <c r="M373" s="420"/>
      <c r="N373" s="420"/>
      <c r="O373" s="420"/>
      <c r="P373" s="420"/>
      <c r="Q373" s="420"/>
      <c r="R373" s="420"/>
      <c r="S373" s="420"/>
      <c r="T373" s="420"/>
      <c r="U373" s="420"/>
      <c r="V373" s="420"/>
      <c r="W373" s="420"/>
      <c r="X373" s="420"/>
      <c r="Y373" s="420"/>
      <c r="Z373" s="420"/>
      <c r="AA373" s="420"/>
    </row>
    <row r="374">
      <c r="A374" s="420"/>
      <c r="B374" s="420"/>
      <c r="C374" s="420"/>
      <c r="D374" s="420"/>
      <c r="E374" s="420"/>
      <c r="F374" s="420"/>
      <c r="G374" s="420"/>
      <c r="H374" s="421"/>
      <c r="I374" s="420"/>
      <c r="J374" s="420"/>
      <c r="K374" s="420"/>
      <c r="L374" s="420"/>
      <c r="M374" s="420"/>
      <c r="N374" s="420"/>
      <c r="O374" s="420"/>
      <c r="P374" s="420"/>
      <c r="Q374" s="420"/>
      <c r="R374" s="420"/>
      <c r="S374" s="420"/>
      <c r="T374" s="420"/>
      <c r="U374" s="420"/>
      <c r="V374" s="420"/>
      <c r="W374" s="420"/>
      <c r="X374" s="420"/>
      <c r="Y374" s="420"/>
      <c r="Z374" s="420"/>
      <c r="AA374" s="420"/>
    </row>
    <row r="375">
      <c r="A375" s="420"/>
      <c r="B375" s="420"/>
      <c r="C375" s="420"/>
      <c r="D375" s="420"/>
      <c r="E375" s="420"/>
      <c r="F375" s="420"/>
      <c r="G375" s="420"/>
      <c r="H375" s="421"/>
      <c r="I375" s="420"/>
      <c r="J375" s="420"/>
      <c r="K375" s="420"/>
      <c r="L375" s="420"/>
      <c r="M375" s="420"/>
      <c r="N375" s="420"/>
      <c r="O375" s="420"/>
      <c r="P375" s="420"/>
      <c r="Q375" s="420"/>
      <c r="R375" s="420"/>
      <c r="S375" s="420"/>
      <c r="T375" s="420"/>
      <c r="U375" s="420"/>
      <c r="V375" s="420"/>
      <c r="W375" s="420"/>
      <c r="X375" s="420"/>
      <c r="Y375" s="420"/>
      <c r="Z375" s="420"/>
      <c r="AA375" s="420"/>
    </row>
    <row r="376">
      <c r="A376" s="420"/>
      <c r="B376" s="420"/>
      <c r="C376" s="420"/>
      <c r="D376" s="420"/>
      <c r="E376" s="420"/>
      <c r="F376" s="420"/>
      <c r="G376" s="420"/>
      <c r="H376" s="421"/>
      <c r="I376" s="420"/>
      <c r="J376" s="420"/>
      <c r="K376" s="420"/>
      <c r="L376" s="420"/>
      <c r="M376" s="420"/>
      <c r="N376" s="420"/>
      <c r="O376" s="420"/>
      <c r="P376" s="420"/>
      <c r="Q376" s="420"/>
      <c r="R376" s="420"/>
      <c r="S376" s="420"/>
      <c r="T376" s="420"/>
      <c r="U376" s="420"/>
      <c r="V376" s="420"/>
      <c r="W376" s="420"/>
      <c r="X376" s="420"/>
      <c r="Y376" s="420"/>
      <c r="Z376" s="420"/>
      <c r="AA376" s="420"/>
    </row>
    <row r="377">
      <c r="A377" s="420"/>
      <c r="B377" s="420"/>
      <c r="C377" s="420"/>
      <c r="D377" s="420"/>
      <c r="E377" s="420"/>
      <c r="F377" s="420"/>
      <c r="G377" s="420"/>
      <c r="H377" s="421"/>
      <c r="I377" s="420"/>
      <c r="J377" s="420"/>
      <c r="K377" s="420"/>
      <c r="L377" s="420"/>
      <c r="M377" s="420"/>
      <c r="N377" s="420"/>
      <c r="O377" s="420"/>
      <c r="P377" s="420"/>
      <c r="Q377" s="420"/>
      <c r="R377" s="420"/>
      <c r="S377" s="420"/>
      <c r="T377" s="420"/>
      <c r="U377" s="420"/>
      <c r="V377" s="420"/>
      <c r="W377" s="420"/>
      <c r="X377" s="420"/>
      <c r="Y377" s="420"/>
      <c r="Z377" s="420"/>
      <c r="AA377" s="420"/>
    </row>
    <row r="378">
      <c r="A378" s="420"/>
      <c r="B378" s="420"/>
      <c r="C378" s="420"/>
      <c r="D378" s="420"/>
      <c r="E378" s="420"/>
      <c r="F378" s="420"/>
      <c r="G378" s="420"/>
      <c r="H378" s="421"/>
      <c r="I378" s="420"/>
      <c r="J378" s="420"/>
      <c r="K378" s="420"/>
      <c r="L378" s="420"/>
      <c r="M378" s="420"/>
      <c r="N378" s="420"/>
      <c r="O378" s="420"/>
      <c r="P378" s="420"/>
      <c r="Q378" s="420"/>
      <c r="R378" s="420"/>
      <c r="S378" s="420"/>
      <c r="T378" s="420"/>
      <c r="U378" s="420"/>
      <c r="V378" s="420"/>
      <c r="W378" s="420"/>
      <c r="X378" s="420"/>
      <c r="Y378" s="420"/>
      <c r="Z378" s="420"/>
      <c r="AA378" s="420"/>
    </row>
    <row r="379">
      <c r="A379" s="420"/>
      <c r="B379" s="420"/>
      <c r="C379" s="420"/>
      <c r="D379" s="420"/>
      <c r="E379" s="420"/>
      <c r="F379" s="420"/>
      <c r="G379" s="420"/>
      <c r="H379" s="421"/>
      <c r="I379" s="420"/>
      <c r="J379" s="420"/>
      <c r="K379" s="420"/>
      <c r="L379" s="420"/>
      <c r="M379" s="420"/>
      <c r="N379" s="420"/>
      <c r="O379" s="420"/>
      <c r="P379" s="420"/>
      <c r="Q379" s="420"/>
      <c r="R379" s="420"/>
      <c r="S379" s="420"/>
      <c r="T379" s="420"/>
      <c r="U379" s="420"/>
      <c r="V379" s="420"/>
      <c r="W379" s="420"/>
      <c r="X379" s="420"/>
      <c r="Y379" s="420"/>
      <c r="Z379" s="420"/>
      <c r="AA379" s="420"/>
    </row>
    <row r="380">
      <c r="A380" s="420"/>
      <c r="B380" s="420"/>
      <c r="C380" s="420"/>
      <c r="D380" s="420"/>
      <c r="E380" s="420"/>
      <c r="F380" s="420"/>
      <c r="G380" s="420"/>
      <c r="H380" s="421"/>
      <c r="I380" s="420"/>
      <c r="J380" s="420"/>
      <c r="K380" s="420"/>
      <c r="L380" s="420"/>
      <c r="M380" s="420"/>
      <c r="N380" s="420"/>
      <c r="O380" s="420"/>
      <c r="P380" s="420"/>
      <c r="Q380" s="420"/>
      <c r="R380" s="420"/>
      <c r="S380" s="420"/>
      <c r="T380" s="420"/>
      <c r="U380" s="420"/>
      <c r="V380" s="420"/>
      <c r="W380" s="420"/>
      <c r="X380" s="420"/>
      <c r="Y380" s="420"/>
      <c r="Z380" s="420"/>
      <c r="AA380" s="420"/>
    </row>
    <row r="381">
      <c r="A381" s="420"/>
      <c r="B381" s="420"/>
      <c r="C381" s="420"/>
      <c r="D381" s="420"/>
      <c r="E381" s="420"/>
      <c r="F381" s="420"/>
      <c r="G381" s="420"/>
      <c r="H381" s="421"/>
      <c r="I381" s="420"/>
      <c r="J381" s="420"/>
      <c r="K381" s="420"/>
      <c r="L381" s="420"/>
      <c r="M381" s="420"/>
      <c r="N381" s="420"/>
      <c r="O381" s="420"/>
      <c r="P381" s="420"/>
      <c r="Q381" s="420"/>
      <c r="R381" s="420"/>
      <c r="S381" s="420"/>
      <c r="T381" s="420"/>
      <c r="U381" s="420"/>
      <c r="V381" s="420"/>
      <c r="W381" s="420"/>
      <c r="X381" s="420"/>
      <c r="Y381" s="420"/>
      <c r="Z381" s="420"/>
      <c r="AA381" s="420"/>
    </row>
    <row r="382">
      <c r="A382" s="420"/>
      <c r="B382" s="420"/>
      <c r="C382" s="420"/>
      <c r="D382" s="420"/>
      <c r="E382" s="420"/>
      <c r="F382" s="420"/>
      <c r="G382" s="420"/>
      <c r="H382" s="421"/>
      <c r="I382" s="420"/>
      <c r="J382" s="420"/>
      <c r="K382" s="420"/>
      <c r="L382" s="420"/>
      <c r="M382" s="420"/>
      <c r="N382" s="420"/>
      <c r="O382" s="420"/>
      <c r="P382" s="420"/>
      <c r="Q382" s="420"/>
      <c r="R382" s="420"/>
      <c r="S382" s="420"/>
      <c r="T382" s="420"/>
      <c r="U382" s="420"/>
      <c r="V382" s="420"/>
      <c r="W382" s="420"/>
      <c r="X382" s="420"/>
      <c r="Y382" s="420"/>
      <c r="Z382" s="420"/>
      <c r="AA382" s="420"/>
    </row>
    <row r="383">
      <c r="A383" s="420"/>
      <c r="B383" s="420"/>
      <c r="C383" s="420"/>
      <c r="D383" s="420"/>
      <c r="E383" s="420"/>
      <c r="F383" s="420"/>
      <c r="G383" s="420"/>
      <c r="H383" s="421"/>
      <c r="I383" s="420"/>
      <c r="J383" s="420"/>
      <c r="K383" s="420"/>
      <c r="L383" s="420"/>
      <c r="M383" s="420"/>
      <c r="N383" s="420"/>
      <c r="O383" s="420"/>
      <c r="P383" s="420"/>
      <c r="Q383" s="420"/>
      <c r="R383" s="420"/>
      <c r="S383" s="420"/>
      <c r="T383" s="420"/>
      <c r="U383" s="420"/>
      <c r="V383" s="420"/>
      <c r="W383" s="420"/>
      <c r="X383" s="420"/>
      <c r="Y383" s="420"/>
      <c r="Z383" s="420"/>
      <c r="AA383" s="420"/>
    </row>
    <row r="384">
      <c r="A384" s="420"/>
      <c r="B384" s="420"/>
      <c r="C384" s="420"/>
      <c r="D384" s="420"/>
      <c r="E384" s="420"/>
      <c r="F384" s="420"/>
      <c r="G384" s="420"/>
      <c r="H384" s="421"/>
      <c r="I384" s="420"/>
      <c r="J384" s="420"/>
      <c r="K384" s="420"/>
      <c r="L384" s="420"/>
      <c r="M384" s="420"/>
      <c r="N384" s="420"/>
      <c r="O384" s="420"/>
      <c r="P384" s="420"/>
      <c r="Q384" s="420"/>
      <c r="R384" s="420"/>
      <c r="S384" s="420"/>
      <c r="T384" s="420"/>
      <c r="U384" s="420"/>
      <c r="V384" s="420"/>
      <c r="W384" s="420"/>
      <c r="X384" s="420"/>
      <c r="Y384" s="420"/>
      <c r="Z384" s="420"/>
      <c r="AA384" s="420"/>
    </row>
    <row r="385">
      <c r="A385" s="420"/>
      <c r="B385" s="420"/>
      <c r="C385" s="420"/>
      <c r="D385" s="420"/>
      <c r="E385" s="420"/>
      <c r="F385" s="420"/>
      <c r="G385" s="420"/>
      <c r="H385" s="421"/>
      <c r="I385" s="420"/>
      <c r="J385" s="420"/>
      <c r="K385" s="420"/>
      <c r="L385" s="420"/>
      <c r="M385" s="420"/>
      <c r="N385" s="420"/>
      <c r="O385" s="420"/>
      <c r="P385" s="420"/>
      <c r="Q385" s="420"/>
      <c r="R385" s="420"/>
      <c r="S385" s="420"/>
      <c r="T385" s="420"/>
      <c r="U385" s="420"/>
      <c r="V385" s="420"/>
      <c r="W385" s="420"/>
      <c r="X385" s="420"/>
      <c r="Y385" s="420"/>
      <c r="Z385" s="420"/>
      <c r="AA385" s="420"/>
    </row>
    <row r="386">
      <c r="A386" s="420"/>
      <c r="B386" s="420"/>
      <c r="C386" s="420"/>
      <c r="D386" s="420"/>
      <c r="E386" s="420"/>
      <c r="F386" s="420"/>
      <c r="G386" s="420"/>
      <c r="H386" s="421"/>
      <c r="I386" s="420"/>
      <c r="J386" s="420"/>
      <c r="K386" s="420"/>
      <c r="L386" s="420"/>
      <c r="M386" s="420"/>
      <c r="N386" s="420"/>
      <c r="O386" s="420"/>
      <c r="P386" s="420"/>
      <c r="Q386" s="420"/>
      <c r="R386" s="420"/>
      <c r="S386" s="420"/>
      <c r="T386" s="420"/>
      <c r="U386" s="420"/>
      <c r="V386" s="420"/>
      <c r="W386" s="420"/>
      <c r="X386" s="420"/>
      <c r="Y386" s="420"/>
      <c r="Z386" s="420"/>
      <c r="AA386" s="420"/>
    </row>
    <row r="387">
      <c r="A387" s="420"/>
      <c r="B387" s="420"/>
      <c r="C387" s="420"/>
      <c r="D387" s="420"/>
      <c r="E387" s="420"/>
      <c r="F387" s="420"/>
      <c r="G387" s="420"/>
      <c r="H387" s="421"/>
      <c r="I387" s="420"/>
      <c r="J387" s="420"/>
      <c r="K387" s="420"/>
      <c r="L387" s="420"/>
      <c r="M387" s="420"/>
      <c r="N387" s="420"/>
      <c r="O387" s="420"/>
      <c r="P387" s="420"/>
      <c r="Q387" s="420"/>
      <c r="R387" s="420"/>
      <c r="S387" s="420"/>
      <c r="T387" s="420"/>
      <c r="U387" s="420"/>
      <c r="V387" s="420"/>
      <c r="W387" s="420"/>
      <c r="X387" s="420"/>
      <c r="Y387" s="420"/>
      <c r="Z387" s="420"/>
      <c r="AA387" s="420"/>
    </row>
    <row r="388">
      <c r="A388" s="420"/>
      <c r="B388" s="420"/>
      <c r="C388" s="420"/>
      <c r="D388" s="420"/>
      <c r="E388" s="420"/>
      <c r="F388" s="420"/>
      <c r="G388" s="420"/>
      <c r="H388" s="421"/>
      <c r="I388" s="420"/>
      <c r="J388" s="420"/>
      <c r="K388" s="420"/>
      <c r="L388" s="420"/>
      <c r="M388" s="420"/>
      <c r="N388" s="420"/>
      <c r="O388" s="420"/>
      <c r="P388" s="420"/>
      <c r="Q388" s="420"/>
      <c r="R388" s="420"/>
      <c r="S388" s="420"/>
      <c r="T388" s="420"/>
      <c r="U388" s="420"/>
      <c r="V388" s="420"/>
      <c r="W388" s="420"/>
      <c r="X388" s="420"/>
      <c r="Y388" s="420"/>
      <c r="Z388" s="420"/>
      <c r="AA388" s="420"/>
    </row>
    <row r="389">
      <c r="A389" s="420"/>
      <c r="B389" s="420"/>
      <c r="C389" s="420"/>
      <c r="D389" s="420"/>
      <c r="E389" s="420"/>
      <c r="F389" s="420"/>
      <c r="G389" s="420"/>
      <c r="H389" s="421"/>
      <c r="I389" s="420"/>
      <c r="J389" s="420"/>
      <c r="K389" s="420"/>
      <c r="L389" s="420"/>
      <c r="M389" s="420"/>
      <c r="N389" s="420"/>
      <c r="O389" s="420"/>
      <c r="P389" s="420"/>
      <c r="Q389" s="420"/>
      <c r="R389" s="420"/>
      <c r="S389" s="420"/>
      <c r="T389" s="420"/>
      <c r="U389" s="420"/>
      <c r="V389" s="420"/>
      <c r="W389" s="420"/>
      <c r="X389" s="420"/>
      <c r="Y389" s="420"/>
      <c r="Z389" s="420"/>
      <c r="AA389" s="420"/>
    </row>
    <row r="390">
      <c r="A390" s="420"/>
      <c r="B390" s="420"/>
      <c r="C390" s="420"/>
      <c r="D390" s="420"/>
      <c r="E390" s="420"/>
      <c r="F390" s="420"/>
      <c r="G390" s="420"/>
      <c r="H390" s="421"/>
      <c r="I390" s="420"/>
      <c r="J390" s="420"/>
      <c r="K390" s="420"/>
      <c r="L390" s="420"/>
      <c r="M390" s="420"/>
      <c r="N390" s="420"/>
      <c r="O390" s="420"/>
      <c r="P390" s="420"/>
      <c r="Q390" s="420"/>
      <c r="R390" s="420"/>
      <c r="S390" s="420"/>
      <c r="T390" s="420"/>
      <c r="U390" s="420"/>
      <c r="V390" s="420"/>
      <c r="W390" s="420"/>
      <c r="X390" s="420"/>
      <c r="Y390" s="420"/>
      <c r="Z390" s="420"/>
      <c r="AA390" s="420"/>
    </row>
    <row r="391">
      <c r="A391" s="420"/>
      <c r="B391" s="420"/>
      <c r="C391" s="420"/>
      <c r="D391" s="420"/>
      <c r="E391" s="420"/>
      <c r="F391" s="420"/>
      <c r="G391" s="420"/>
      <c r="H391" s="421"/>
      <c r="I391" s="420"/>
      <c r="J391" s="420"/>
      <c r="K391" s="420"/>
      <c r="L391" s="420"/>
      <c r="M391" s="420"/>
      <c r="N391" s="420"/>
      <c r="O391" s="420"/>
      <c r="P391" s="420"/>
      <c r="Q391" s="420"/>
      <c r="R391" s="420"/>
      <c r="S391" s="420"/>
      <c r="T391" s="420"/>
      <c r="U391" s="420"/>
      <c r="V391" s="420"/>
      <c r="W391" s="420"/>
      <c r="X391" s="420"/>
      <c r="Y391" s="420"/>
      <c r="Z391" s="420"/>
      <c r="AA391" s="420"/>
    </row>
    <row r="392">
      <c r="A392" s="420"/>
      <c r="B392" s="420"/>
      <c r="C392" s="420"/>
      <c r="D392" s="420"/>
      <c r="E392" s="420"/>
      <c r="F392" s="420"/>
      <c r="G392" s="420"/>
      <c r="H392" s="421"/>
      <c r="I392" s="420"/>
      <c r="J392" s="420"/>
      <c r="K392" s="420"/>
      <c r="L392" s="420"/>
      <c r="M392" s="420"/>
      <c r="N392" s="420"/>
      <c r="O392" s="420"/>
      <c r="P392" s="420"/>
      <c r="Q392" s="420"/>
      <c r="R392" s="420"/>
      <c r="S392" s="420"/>
      <c r="T392" s="420"/>
      <c r="U392" s="420"/>
      <c r="V392" s="420"/>
      <c r="W392" s="420"/>
      <c r="X392" s="420"/>
      <c r="Y392" s="420"/>
      <c r="Z392" s="420"/>
      <c r="AA392" s="420"/>
    </row>
    <row r="393">
      <c r="A393" s="420"/>
      <c r="B393" s="420"/>
      <c r="C393" s="420"/>
      <c r="D393" s="420"/>
      <c r="E393" s="420"/>
      <c r="F393" s="420"/>
      <c r="G393" s="420"/>
      <c r="H393" s="421"/>
      <c r="I393" s="420"/>
      <c r="J393" s="420"/>
      <c r="K393" s="420"/>
      <c r="L393" s="420"/>
      <c r="M393" s="420"/>
      <c r="N393" s="420"/>
      <c r="O393" s="420"/>
      <c r="P393" s="420"/>
      <c r="Q393" s="420"/>
      <c r="R393" s="420"/>
      <c r="S393" s="420"/>
      <c r="T393" s="420"/>
      <c r="U393" s="420"/>
      <c r="V393" s="420"/>
      <c r="W393" s="420"/>
      <c r="X393" s="420"/>
      <c r="Y393" s="420"/>
      <c r="Z393" s="420"/>
      <c r="AA393" s="420"/>
    </row>
    <row r="394">
      <c r="A394" s="420"/>
      <c r="B394" s="420"/>
      <c r="C394" s="420"/>
      <c r="D394" s="420"/>
      <c r="E394" s="420"/>
      <c r="F394" s="420"/>
      <c r="G394" s="420"/>
      <c r="H394" s="421"/>
      <c r="I394" s="420"/>
      <c r="J394" s="420"/>
      <c r="K394" s="420"/>
      <c r="L394" s="420"/>
      <c r="M394" s="420"/>
      <c r="N394" s="420"/>
      <c r="O394" s="420"/>
      <c r="P394" s="420"/>
      <c r="Q394" s="420"/>
      <c r="R394" s="420"/>
      <c r="S394" s="420"/>
      <c r="T394" s="420"/>
      <c r="U394" s="420"/>
      <c r="V394" s="420"/>
      <c r="W394" s="420"/>
      <c r="X394" s="420"/>
      <c r="Y394" s="420"/>
      <c r="Z394" s="420"/>
      <c r="AA394" s="420"/>
    </row>
    <row r="395">
      <c r="A395" s="420"/>
      <c r="B395" s="420"/>
      <c r="C395" s="420"/>
      <c r="D395" s="420"/>
      <c r="E395" s="420"/>
      <c r="F395" s="420"/>
      <c r="G395" s="420"/>
      <c r="H395" s="421"/>
      <c r="I395" s="420"/>
      <c r="J395" s="420"/>
      <c r="K395" s="420"/>
      <c r="L395" s="420"/>
      <c r="M395" s="420"/>
      <c r="N395" s="420"/>
      <c r="O395" s="420"/>
      <c r="P395" s="420"/>
      <c r="Q395" s="420"/>
      <c r="R395" s="420"/>
      <c r="S395" s="420"/>
      <c r="T395" s="420"/>
      <c r="U395" s="420"/>
      <c r="V395" s="420"/>
      <c r="W395" s="420"/>
      <c r="X395" s="420"/>
      <c r="Y395" s="420"/>
      <c r="Z395" s="420"/>
      <c r="AA395" s="420"/>
    </row>
    <row r="396">
      <c r="A396" s="420"/>
      <c r="B396" s="420"/>
      <c r="C396" s="420"/>
      <c r="D396" s="420"/>
      <c r="E396" s="420"/>
      <c r="F396" s="420"/>
      <c r="G396" s="420"/>
      <c r="H396" s="421"/>
      <c r="I396" s="420"/>
      <c r="J396" s="420"/>
      <c r="K396" s="420"/>
      <c r="L396" s="420"/>
      <c r="M396" s="420"/>
      <c r="N396" s="420"/>
      <c r="O396" s="420"/>
      <c r="P396" s="420"/>
      <c r="Q396" s="420"/>
      <c r="R396" s="420"/>
      <c r="S396" s="420"/>
      <c r="T396" s="420"/>
      <c r="U396" s="420"/>
      <c r="V396" s="420"/>
      <c r="W396" s="420"/>
      <c r="X396" s="420"/>
      <c r="Y396" s="420"/>
      <c r="Z396" s="420"/>
      <c r="AA396" s="420"/>
    </row>
    <row r="397">
      <c r="A397" s="420"/>
      <c r="B397" s="420"/>
      <c r="C397" s="420"/>
      <c r="D397" s="420"/>
      <c r="E397" s="420"/>
      <c r="F397" s="420"/>
      <c r="G397" s="420"/>
      <c r="H397" s="421"/>
      <c r="I397" s="420"/>
      <c r="J397" s="420"/>
      <c r="K397" s="420"/>
      <c r="L397" s="420"/>
      <c r="M397" s="420"/>
      <c r="N397" s="420"/>
      <c r="O397" s="420"/>
      <c r="P397" s="420"/>
      <c r="Q397" s="420"/>
      <c r="R397" s="420"/>
      <c r="S397" s="420"/>
      <c r="T397" s="420"/>
      <c r="U397" s="420"/>
      <c r="V397" s="420"/>
      <c r="W397" s="420"/>
      <c r="X397" s="420"/>
      <c r="Y397" s="420"/>
      <c r="Z397" s="420"/>
      <c r="AA397" s="420"/>
    </row>
    <row r="398">
      <c r="A398" s="420"/>
      <c r="B398" s="420"/>
      <c r="C398" s="420"/>
      <c r="D398" s="420"/>
      <c r="E398" s="420"/>
      <c r="F398" s="420"/>
      <c r="G398" s="420"/>
      <c r="H398" s="421"/>
      <c r="I398" s="420"/>
      <c r="J398" s="420"/>
      <c r="K398" s="420"/>
      <c r="L398" s="420"/>
      <c r="M398" s="420"/>
      <c r="N398" s="420"/>
      <c r="O398" s="420"/>
      <c r="P398" s="420"/>
      <c r="Q398" s="420"/>
      <c r="R398" s="420"/>
      <c r="S398" s="420"/>
      <c r="T398" s="420"/>
      <c r="U398" s="420"/>
      <c r="V398" s="420"/>
      <c r="W398" s="420"/>
      <c r="X398" s="420"/>
      <c r="Y398" s="420"/>
      <c r="Z398" s="420"/>
      <c r="AA398" s="420"/>
    </row>
    <row r="399">
      <c r="A399" s="420"/>
      <c r="B399" s="420"/>
      <c r="C399" s="420"/>
      <c r="D399" s="420"/>
      <c r="E399" s="420"/>
      <c r="F399" s="420"/>
      <c r="G399" s="420"/>
      <c r="H399" s="421"/>
      <c r="I399" s="420"/>
      <c r="J399" s="420"/>
      <c r="K399" s="420"/>
      <c r="L399" s="420"/>
      <c r="M399" s="420"/>
      <c r="N399" s="420"/>
      <c r="O399" s="420"/>
      <c r="P399" s="420"/>
      <c r="Q399" s="420"/>
      <c r="R399" s="420"/>
      <c r="S399" s="420"/>
      <c r="T399" s="420"/>
      <c r="U399" s="420"/>
      <c r="V399" s="420"/>
      <c r="W399" s="420"/>
      <c r="X399" s="420"/>
      <c r="Y399" s="420"/>
      <c r="Z399" s="420"/>
      <c r="AA399" s="420"/>
    </row>
    <row r="400">
      <c r="A400" s="420"/>
      <c r="B400" s="420"/>
      <c r="C400" s="420"/>
      <c r="D400" s="420"/>
      <c r="E400" s="420"/>
      <c r="F400" s="420"/>
      <c r="G400" s="420"/>
      <c r="H400" s="421"/>
      <c r="I400" s="420"/>
      <c r="J400" s="420"/>
      <c r="K400" s="420"/>
      <c r="L400" s="420"/>
      <c r="M400" s="420"/>
      <c r="N400" s="420"/>
      <c r="O400" s="420"/>
      <c r="P400" s="420"/>
      <c r="Q400" s="420"/>
      <c r="R400" s="420"/>
      <c r="S400" s="420"/>
      <c r="T400" s="420"/>
      <c r="U400" s="420"/>
      <c r="V400" s="420"/>
      <c r="W400" s="420"/>
      <c r="X400" s="420"/>
      <c r="Y400" s="420"/>
      <c r="Z400" s="420"/>
      <c r="AA400" s="420"/>
    </row>
    <row r="401">
      <c r="A401" s="420"/>
      <c r="B401" s="420"/>
      <c r="C401" s="420"/>
      <c r="D401" s="420"/>
      <c r="E401" s="420"/>
      <c r="F401" s="420"/>
      <c r="G401" s="420"/>
      <c r="H401" s="421"/>
      <c r="I401" s="420"/>
      <c r="J401" s="420"/>
      <c r="K401" s="420"/>
      <c r="L401" s="420"/>
      <c r="M401" s="420"/>
      <c r="N401" s="420"/>
      <c r="O401" s="420"/>
      <c r="P401" s="420"/>
      <c r="Q401" s="420"/>
      <c r="R401" s="420"/>
      <c r="S401" s="420"/>
      <c r="T401" s="420"/>
      <c r="U401" s="420"/>
      <c r="V401" s="420"/>
      <c r="W401" s="420"/>
      <c r="X401" s="420"/>
      <c r="Y401" s="420"/>
      <c r="Z401" s="420"/>
      <c r="AA401" s="420"/>
    </row>
    <row r="402">
      <c r="A402" s="420"/>
      <c r="B402" s="420"/>
      <c r="C402" s="420"/>
      <c r="D402" s="420"/>
      <c r="E402" s="420"/>
      <c r="F402" s="420"/>
      <c r="G402" s="420"/>
      <c r="H402" s="421"/>
      <c r="I402" s="420"/>
      <c r="J402" s="420"/>
      <c r="K402" s="420"/>
      <c r="L402" s="420"/>
      <c r="M402" s="420"/>
      <c r="N402" s="420"/>
      <c r="O402" s="420"/>
      <c r="P402" s="420"/>
      <c r="Q402" s="420"/>
      <c r="R402" s="420"/>
      <c r="S402" s="420"/>
      <c r="T402" s="420"/>
      <c r="U402" s="420"/>
      <c r="V402" s="420"/>
      <c r="W402" s="420"/>
      <c r="X402" s="420"/>
      <c r="Y402" s="420"/>
      <c r="Z402" s="420"/>
      <c r="AA402" s="420"/>
    </row>
    <row r="403">
      <c r="A403" s="420"/>
      <c r="B403" s="420"/>
      <c r="C403" s="420"/>
      <c r="D403" s="420"/>
      <c r="E403" s="420"/>
      <c r="F403" s="420"/>
      <c r="G403" s="420"/>
      <c r="H403" s="421"/>
      <c r="I403" s="420"/>
      <c r="J403" s="420"/>
      <c r="K403" s="420"/>
      <c r="L403" s="420"/>
      <c r="M403" s="420"/>
      <c r="N403" s="420"/>
      <c r="O403" s="420"/>
      <c r="P403" s="420"/>
      <c r="Q403" s="420"/>
      <c r="R403" s="420"/>
      <c r="S403" s="420"/>
      <c r="T403" s="420"/>
      <c r="U403" s="420"/>
      <c r="V403" s="420"/>
      <c r="W403" s="420"/>
      <c r="X403" s="420"/>
      <c r="Y403" s="420"/>
      <c r="Z403" s="420"/>
      <c r="AA403" s="420"/>
    </row>
    <row r="404">
      <c r="A404" s="420"/>
      <c r="B404" s="420"/>
      <c r="C404" s="420"/>
      <c r="D404" s="420"/>
      <c r="E404" s="420"/>
      <c r="F404" s="420"/>
      <c r="G404" s="420"/>
      <c r="H404" s="421"/>
      <c r="I404" s="420"/>
      <c r="J404" s="420"/>
      <c r="K404" s="420"/>
      <c r="L404" s="420"/>
      <c r="M404" s="420"/>
      <c r="N404" s="420"/>
      <c r="O404" s="420"/>
      <c r="P404" s="420"/>
      <c r="Q404" s="420"/>
      <c r="R404" s="420"/>
      <c r="S404" s="420"/>
      <c r="T404" s="420"/>
      <c r="U404" s="420"/>
      <c r="V404" s="420"/>
      <c r="W404" s="420"/>
      <c r="X404" s="420"/>
      <c r="Y404" s="420"/>
      <c r="Z404" s="420"/>
      <c r="AA404" s="420"/>
    </row>
    <row r="405">
      <c r="A405" s="420"/>
      <c r="B405" s="420"/>
      <c r="C405" s="420"/>
      <c r="D405" s="420"/>
      <c r="E405" s="420"/>
      <c r="F405" s="420"/>
      <c r="G405" s="420"/>
      <c r="H405" s="421"/>
      <c r="I405" s="420"/>
      <c r="J405" s="420"/>
      <c r="K405" s="420"/>
      <c r="L405" s="420"/>
      <c r="M405" s="420"/>
      <c r="N405" s="420"/>
      <c r="O405" s="420"/>
      <c r="P405" s="420"/>
      <c r="Q405" s="420"/>
      <c r="R405" s="420"/>
      <c r="S405" s="420"/>
      <c r="T405" s="420"/>
      <c r="U405" s="420"/>
      <c r="V405" s="420"/>
      <c r="W405" s="420"/>
      <c r="X405" s="420"/>
      <c r="Y405" s="420"/>
      <c r="Z405" s="420"/>
      <c r="AA405" s="420"/>
    </row>
    <row r="406">
      <c r="A406" s="420"/>
      <c r="B406" s="420"/>
      <c r="C406" s="420"/>
      <c r="D406" s="420"/>
      <c r="E406" s="420"/>
      <c r="F406" s="420"/>
      <c r="G406" s="420"/>
      <c r="H406" s="421"/>
      <c r="I406" s="420"/>
      <c r="J406" s="420"/>
      <c r="K406" s="420"/>
      <c r="L406" s="420"/>
      <c r="M406" s="420"/>
      <c r="N406" s="420"/>
      <c r="O406" s="420"/>
      <c r="P406" s="420"/>
      <c r="Q406" s="420"/>
      <c r="R406" s="420"/>
      <c r="S406" s="420"/>
      <c r="T406" s="420"/>
      <c r="U406" s="420"/>
      <c r="V406" s="420"/>
      <c r="W406" s="420"/>
      <c r="X406" s="420"/>
      <c r="Y406" s="420"/>
      <c r="Z406" s="420"/>
      <c r="AA406" s="420"/>
    </row>
    <row r="407">
      <c r="A407" s="420"/>
      <c r="B407" s="420"/>
      <c r="C407" s="420"/>
      <c r="D407" s="420"/>
      <c r="E407" s="420"/>
      <c r="F407" s="420"/>
      <c r="G407" s="420"/>
      <c r="H407" s="421"/>
      <c r="I407" s="420"/>
      <c r="J407" s="420"/>
      <c r="K407" s="420"/>
      <c r="L407" s="420"/>
      <c r="M407" s="420"/>
      <c r="N407" s="420"/>
      <c r="O407" s="420"/>
      <c r="P407" s="420"/>
      <c r="Q407" s="420"/>
      <c r="R407" s="420"/>
      <c r="S407" s="420"/>
      <c r="T407" s="420"/>
      <c r="U407" s="420"/>
      <c r="V407" s="420"/>
      <c r="W407" s="420"/>
      <c r="X407" s="420"/>
      <c r="Y407" s="420"/>
      <c r="Z407" s="420"/>
      <c r="AA407" s="420"/>
    </row>
    <row r="408">
      <c r="A408" s="420"/>
      <c r="B408" s="420"/>
      <c r="C408" s="420"/>
      <c r="D408" s="420"/>
      <c r="E408" s="420"/>
      <c r="F408" s="420"/>
      <c r="G408" s="420"/>
      <c r="H408" s="421"/>
      <c r="I408" s="420"/>
      <c r="J408" s="420"/>
      <c r="K408" s="420"/>
      <c r="L408" s="420"/>
      <c r="M408" s="420"/>
      <c r="N408" s="420"/>
      <c r="O408" s="420"/>
      <c r="P408" s="420"/>
      <c r="Q408" s="420"/>
      <c r="R408" s="420"/>
      <c r="S408" s="420"/>
      <c r="T408" s="420"/>
      <c r="U408" s="420"/>
      <c r="V408" s="420"/>
      <c r="W408" s="420"/>
      <c r="X408" s="420"/>
      <c r="Y408" s="420"/>
      <c r="Z408" s="420"/>
      <c r="AA408" s="420"/>
    </row>
    <row r="409">
      <c r="A409" s="420"/>
      <c r="B409" s="420"/>
      <c r="C409" s="420"/>
      <c r="D409" s="420"/>
      <c r="E409" s="420"/>
      <c r="F409" s="420"/>
      <c r="G409" s="420"/>
      <c r="H409" s="421"/>
      <c r="I409" s="420"/>
      <c r="J409" s="420"/>
      <c r="K409" s="420"/>
      <c r="L409" s="420"/>
      <c r="M409" s="420"/>
      <c r="N409" s="420"/>
      <c r="O409" s="420"/>
      <c r="P409" s="420"/>
      <c r="Q409" s="420"/>
      <c r="R409" s="420"/>
      <c r="S409" s="420"/>
      <c r="T409" s="420"/>
      <c r="U409" s="420"/>
      <c r="V409" s="420"/>
      <c r="W409" s="420"/>
      <c r="X409" s="420"/>
      <c r="Y409" s="420"/>
      <c r="Z409" s="420"/>
      <c r="AA409" s="420"/>
    </row>
    <row r="410">
      <c r="A410" s="420"/>
      <c r="B410" s="420"/>
      <c r="C410" s="420"/>
      <c r="D410" s="420"/>
      <c r="E410" s="420"/>
      <c r="F410" s="420"/>
      <c r="G410" s="420"/>
      <c r="H410" s="421"/>
      <c r="I410" s="420"/>
      <c r="J410" s="420"/>
      <c r="K410" s="420"/>
      <c r="L410" s="420"/>
      <c r="M410" s="420"/>
      <c r="N410" s="420"/>
      <c r="O410" s="420"/>
      <c r="P410" s="420"/>
      <c r="Q410" s="420"/>
      <c r="R410" s="420"/>
      <c r="S410" s="420"/>
      <c r="T410" s="420"/>
      <c r="U410" s="420"/>
      <c r="V410" s="420"/>
      <c r="W410" s="420"/>
      <c r="X410" s="420"/>
      <c r="Y410" s="420"/>
      <c r="Z410" s="420"/>
      <c r="AA410" s="420"/>
    </row>
    <row r="411">
      <c r="A411" s="420"/>
      <c r="B411" s="420"/>
      <c r="C411" s="420"/>
      <c r="D411" s="420"/>
      <c r="E411" s="420"/>
      <c r="F411" s="420"/>
      <c r="G411" s="420"/>
      <c r="H411" s="421"/>
      <c r="I411" s="420"/>
      <c r="J411" s="420"/>
      <c r="K411" s="420"/>
      <c r="L411" s="420"/>
      <c r="M411" s="420"/>
      <c r="N411" s="420"/>
      <c r="O411" s="420"/>
      <c r="P411" s="420"/>
      <c r="Q411" s="420"/>
      <c r="R411" s="420"/>
      <c r="S411" s="420"/>
      <c r="T411" s="420"/>
      <c r="U411" s="420"/>
      <c r="V411" s="420"/>
      <c r="W411" s="420"/>
      <c r="X411" s="420"/>
      <c r="Y411" s="420"/>
      <c r="Z411" s="420"/>
      <c r="AA411" s="420"/>
    </row>
    <row r="412">
      <c r="A412" s="420"/>
      <c r="B412" s="420"/>
      <c r="C412" s="420"/>
      <c r="D412" s="420"/>
      <c r="E412" s="420"/>
      <c r="F412" s="420"/>
      <c r="G412" s="420"/>
      <c r="H412" s="421"/>
      <c r="I412" s="420"/>
      <c r="J412" s="420"/>
      <c r="K412" s="420"/>
      <c r="L412" s="420"/>
      <c r="M412" s="420"/>
      <c r="N412" s="420"/>
      <c r="O412" s="420"/>
      <c r="P412" s="420"/>
      <c r="Q412" s="420"/>
      <c r="R412" s="420"/>
      <c r="S412" s="420"/>
      <c r="T412" s="420"/>
      <c r="U412" s="420"/>
      <c r="V412" s="420"/>
      <c r="W412" s="420"/>
      <c r="X412" s="420"/>
      <c r="Y412" s="420"/>
      <c r="Z412" s="420"/>
      <c r="AA412" s="420"/>
    </row>
    <row r="413">
      <c r="A413" s="420"/>
      <c r="B413" s="420"/>
      <c r="C413" s="420"/>
      <c r="D413" s="420"/>
      <c r="E413" s="420"/>
      <c r="F413" s="420"/>
      <c r="G413" s="420"/>
      <c r="H413" s="421"/>
      <c r="I413" s="420"/>
      <c r="J413" s="420"/>
      <c r="K413" s="420"/>
      <c r="L413" s="420"/>
      <c r="M413" s="420"/>
      <c r="N413" s="420"/>
      <c r="O413" s="420"/>
      <c r="P413" s="420"/>
      <c r="Q413" s="420"/>
      <c r="R413" s="420"/>
      <c r="S413" s="420"/>
      <c r="T413" s="420"/>
      <c r="U413" s="420"/>
      <c r="V413" s="420"/>
      <c r="W413" s="420"/>
      <c r="X413" s="420"/>
      <c r="Y413" s="420"/>
      <c r="Z413" s="420"/>
      <c r="AA413" s="420"/>
    </row>
    <row r="414">
      <c r="A414" s="420"/>
      <c r="B414" s="420"/>
      <c r="C414" s="420"/>
      <c r="D414" s="420"/>
      <c r="E414" s="420"/>
      <c r="F414" s="420"/>
      <c r="G414" s="420"/>
      <c r="H414" s="421"/>
      <c r="I414" s="420"/>
      <c r="J414" s="420"/>
      <c r="K414" s="420"/>
      <c r="L414" s="420"/>
      <c r="M414" s="420"/>
      <c r="N414" s="420"/>
      <c r="O414" s="420"/>
      <c r="P414" s="420"/>
      <c r="Q414" s="420"/>
      <c r="R414" s="420"/>
      <c r="S414" s="420"/>
      <c r="T414" s="420"/>
      <c r="U414" s="420"/>
      <c r="V414" s="420"/>
      <c r="W414" s="420"/>
      <c r="X414" s="420"/>
      <c r="Y414" s="420"/>
      <c r="Z414" s="420"/>
      <c r="AA414" s="420"/>
    </row>
    <row r="415">
      <c r="A415" s="420"/>
      <c r="B415" s="420"/>
      <c r="C415" s="420"/>
      <c r="D415" s="420"/>
      <c r="E415" s="420"/>
      <c r="F415" s="420"/>
      <c r="G415" s="420"/>
      <c r="H415" s="421"/>
      <c r="I415" s="420"/>
      <c r="J415" s="420"/>
      <c r="K415" s="420"/>
      <c r="L415" s="420"/>
      <c r="M415" s="420"/>
      <c r="N415" s="420"/>
      <c r="O415" s="420"/>
      <c r="P415" s="420"/>
      <c r="Q415" s="420"/>
      <c r="R415" s="420"/>
      <c r="S415" s="420"/>
      <c r="T415" s="420"/>
      <c r="U415" s="420"/>
      <c r="V415" s="420"/>
      <c r="W415" s="420"/>
      <c r="X415" s="420"/>
      <c r="Y415" s="420"/>
      <c r="Z415" s="420"/>
      <c r="AA415" s="420"/>
    </row>
    <row r="416">
      <c r="A416" s="420"/>
      <c r="B416" s="420"/>
      <c r="C416" s="420"/>
      <c r="D416" s="420"/>
      <c r="E416" s="420"/>
      <c r="F416" s="420"/>
      <c r="G416" s="420"/>
      <c r="H416" s="421"/>
      <c r="I416" s="420"/>
      <c r="J416" s="420"/>
      <c r="K416" s="420"/>
      <c r="L416" s="420"/>
      <c r="M416" s="420"/>
      <c r="N416" s="420"/>
      <c r="O416" s="420"/>
      <c r="P416" s="420"/>
      <c r="Q416" s="420"/>
      <c r="R416" s="420"/>
      <c r="S416" s="420"/>
      <c r="T416" s="420"/>
      <c r="U416" s="420"/>
      <c r="V416" s="420"/>
      <c r="W416" s="420"/>
      <c r="X416" s="420"/>
      <c r="Y416" s="420"/>
      <c r="Z416" s="420"/>
      <c r="AA416" s="420"/>
    </row>
    <row r="417">
      <c r="A417" s="420"/>
      <c r="B417" s="420"/>
      <c r="C417" s="420"/>
      <c r="D417" s="420"/>
      <c r="E417" s="420"/>
      <c r="F417" s="420"/>
      <c r="G417" s="420"/>
      <c r="H417" s="421"/>
      <c r="I417" s="420"/>
      <c r="J417" s="420"/>
      <c r="K417" s="420"/>
      <c r="L417" s="420"/>
      <c r="M417" s="420"/>
      <c r="N417" s="420"/>
      <c r="O417" s="420"/>
      <c r="P417" s="420"/>
      <c r="Q417" s="420"/>
      <c r="R417" s="420"/>
      <c r="S417" s="420"/>
      <c r="T417" s="420"/>
      <c r="U417" s="420"/>
      <c r="V417" s="420"/>
      <c r="W417" s="420"/>
      <c r="X417" s="420"/>
      <c r="Y417" s="420"/>
      <c r="Z417" s="420"/>
      <c r="AA417" s="420"/>
    </row>
    <row r="418">
      <c r="A418" s="420"/>
      <c r="B418" s="420"/>
      <c r="C418" s="420"/>
      <c r="D418" s="420"/>
      <c r="E418" s="420"/>
      <c r="F418" s="420"/>
      <c r="G418" s="420"/>
      <c r="H418" s="421"/>
      <c r="I418" s="420"/>
      <c r="J418" s="420"/>
      <c r="K418" s="420"/>
      <c r="L418" s="420"/>
      <c r="M418" s="420"/>
      <c r="N418" s="420"/>
      <c r="O418" s="420"/>
      <c r="P418" s="420"/>
      <c r="Q418" s="420"/>
      <c r="R418" s="420"/>
      <c r="S418" s="420"/>
      <c r="T418" s="420"/>
      <c r="U418" s="420"/>
      <c r="V418" s="420"/>
      <c r="W418" s="420"/>
      <c r="X418" s="420"/>
      <c r="Y418" s="420"/>
      <c r="Z418" s="420"/>
      <c r="AA418" s="420"/>
    </row>
    <row r="419">
      <c r="A419" s="420"/>
      <c r="B419" s="420"/>
      <c r="C419" s="420"/>
      <c r="D419" s="420"/>
      <c r="E419" s="420"/>
      <c r="F419" s="420"/>
      <c r="G419" s="420"/>
      <c r="H419" s="421"/>
      <c r="I419" s="420"/>
      <c r="J419" s="420"/>
      <c r="K419" s="420"/>
      <c r="L419" s="420"/>
      <c r="M419" s="420"/>
      <c r="N419" s="420"/>
      <c r="O419" s="420"/>
      <c r="P419" s="420"/>
      <c r="Q419" s="420"/>
      <c r="R419" s="420"/>
      <c r="S419" s="420"/>
      <c r="T419" s="420"/>
      <c r="U419" s="420"/>
      <c r="V419" s="420"/>
      <c r="W419" s="420"/>
      <c r="X419" s="420"/>
      <c r="Y419" s="420"/>
      <c r="Z419" s="420"/>
      <c r="AA419" s="420"/>
    </row>
    <row r="420">
      <c r="A420" s="420"/>
      <c r="B420" s="420"/>
      <c r="C420" s="420"/>
      <c r="D420" s="420"/>
      <c r="E420" s="420"/>
      <c r="F420" s="420"/>
      <c r="G420" s="420"/>
      <c r="H420" s="421"/>
      <c r="I420" s="420"/>
      <c r="J420" s="420"/>
      <c r="K420" s="420"/>
      <c r="L420" s="420"/>
      <c r="M420" s="420"/>
      <c r="N420" s="420"/>
      <c r="O420" s="420"/>
      <c r="P420" s="420"/>
      <c r="Q420" s="420"/>
      <c r="R420" s="420"/>
      <c r="S420" s="420"/>
      <c r="T420" s="420"/>
      <c r="U420" s="420"/>
      <c r="V420" s="420"/>
      <c r="W420" s="420"/>
      <c r="X420" s="420"/>
      <c r="Y420" s="420"/>
      <c r="Z420" s="420"/>
      <c r="AA420" s="420"/>
    </row>
    <row r="421">
      <c r="A421" s="420"/>
      <c r="B421" s="420"/>
      <c r="C421" s="420"/>
      <c r="D421" s="420"/>
      <c r="E421" s="420"/>
      <c r="F421" s="420"/>
      <c r="G421" s="420"/>
      <c r="H421" s="421"/>
      <c r="I421" s="420"/>
      <c r="J421" s="420"/>
      <c r="K421" s="420"/>
      <c r="L421" s="420"/>
      <c r="M421" s="420"/>
      <c r="N421" s="420"/>
      <c r="O421" s="420"/>
      <c r="P421" s="420"/>
      <c r="Q421" s="420"/>
      <c r="R421" s="420"/>
      <c r="S421" s="420"/>
      <c r="T421" s="420"/>
      <c r="U421" s="420"/>
      <c r="V421" s="420"/>
      <c r="W421" s="420"/>
      <c r="X421" s="420"/>
      <c r="Y421" s="420"/>
      <c r="Z421" s="420"/>
      <c r="AA421" s="420"/>
    </row>
    <row r="422">
      <c r="A422" s="420"/>
      <c r="B422" s="420"/>
      <c r="C422" s="420"/>
      <c r="D422" s="420"/>
      <c r="E422" s="420"/>
      <c r="F422" s="420"/>
      <c r="G422" s="420"/>
      <c r="H422" s="421"/>
      <c r="I422" s="420"/>
      <c r="J422" s="420"/>
      <c r="K422" s="420"/>
      <c r="L422" s="420"/>
      <c r="M422" s="420"/>
      <c r="N422" s="420"/>
      <c r="O422" s="420"/>
      <c r="P422" s="420"/>
      <c r="Q422" s="420"/>
      <c r="R422" s="420"/>
      <c r="S422" s="420"/>
      <c r="T422" s="420"/>
      <c r="U422" s="420"/>
      <c r="V422" s="420"/>
      <c r="W422" s="420"/>
      <c r="X422" s="420"/>
      <c r="Y422" s="420"/>
      <c r="Z422" s="420"/>
      <c r="AA422" s="420"/>
    </row>
    <row r="423">
      <c r="A423" s="420"/>
      <c r="B423" s="420"/>
      <c r="C423" s="420"/>
      <c r="D423" s="420"/>
      <c r="E423" s="420"/>
      <c r="F423" s="420"/>
      <c r="G423" s="420"/>
      <c r="H423" s="421"/>
      <c r="I423" s="420"/>
      <c r="J423" s="420"/>
      <c r="K423" s="420"/>
      <c r="L423" s="420"/>
      <c r="M423" s="420"/>
      <c r="N423" s="420"/>
      <c r="O423" s="420"/>
      <c r="P423" s="420"/>
      <c r="Q423" s="420"/>
      <c r="R423" s="420"/>
      <c r="S423" s="420"/>
      <c r="T423" s="420"/>
      <c r="U423" s="420"/>
      <c r="V423" s="420"/>
      <c r="W423" s="420"/>
      <c r="X423" s="420"/>
      <c r="Y423" s="420"/>
      <c r="Z423" s="420"/>
      <c r="AA423" s="420"/>
    </row>
    <row r="424">
      <c r="A424" s="420"/>
      <c r="B424" s="420"/>
      <c r="C424" s="420"/>
      <c r="D424" s="420"/>
      <c r="E424" s="420"/>
      <c r="F424" s="420"/>
      <c r="G424" s="420"/>
      <c r="H424" s="421"/>
      <c r="I424" s="420"/>
      <c r="J424" s="420"/>
      <c r="K424" s="420"/>
      <c r="L424" s="420"/>
      <c r="M424" s="420"/>
      <c r="N424" s="420"/>
      <c r="O424" s="420"/>
      <c r="P424" s="420"/>
      <c r="Q424" s="420"/>
      <c r="R424" s="420"/>
      <c r="S424" s="420"/>
      <c r="T424" s="420"/>
      <c r="U424" s="420"/>
      <c r="V424" s="420"/>
      <c r="W424" s="420"/>
      <c r="X424" s="420"/>
      <c r="Y424" s="420"/>
      <c r="Z424" s="420"/>
      <c r="AA424" s="420"/>
    </row>
    <row r="425">
      <c r="A425" s="420"/>
      <c r="B425" s="420"/>
      <c r="C425" s="420"/>
      <c r="D425" s="420"/>
      <c r="E425" s="420"/>
      <c r="F425" s="420"/>
      <c r="G425" s="420"/>
      <c r="H425" s="421"/>
      <c r="I425" s="420"/>
      <c r="J425" s="420"/>
      <c r="K425" s="420"/>
      <c r="L425" s="420"/>
      <c r="M425" s="420"/>
      <c r="N425" s="420"/>
      <c r="O425" s="420"/>
      <c r="P425" s="420"/>
      <c r="Q425" s="420"/>
      <c r="R425" s="420"/>
      <c r="S425" s="420"/>
      <c r="T425" s="420"/>
      <c r="U425" s="420"/>
      <c r="V425" s="420"/>
      <c r="W425" s="420"/>
      <c r="X425" s="420"/>
      <c r="Y425" s="420"/>
      <c r="Z425" s="420"/>
      <c r="AA425" s="420"/>
    </row>
    <row r="426">
      <c r="A426" s="420"/>
      <c r="B426" s="420"/>
      <c r="C426" s="420"/>
      <c r="D426" s="420"/>
      <c r="E426" s="420"/>
      <c r="F426" s="420"/>
      <c r="G426" s="420"/>
      <c r="H426" s="421"/>
      <c r="I426" s="420"/>
      <c r="J426" s="420"/>
      <c r="K426" s="420"/>
      <c r="L426" s="420"/>
      <c r="M426" s="420"/>
      <c r="N426" s="420"/>
      <c r="O426" s="420"/>
      <c r="P426" s="420"/>
      <c r="Q426" s="420"/>
      <c r="R426" s="420"/>
      <c r="S426" s="420"/>
      <c r="T426" s="420"/>
      <c r="U426" s="420"/>
      <c r="V426" s="420"/>
      <c r="W426" s="420"/>
      <c r="X426" s="420"/>
      <c r="Y426" s="420"/>
      <c r="Z426" s="420"/>
      <c r="AA426" s="420"/>
    </row>
    <row r="427">
      <c r="A427" s="420"/>
      <c r="B427" s="420"/>
      <c r="C427" s="420"/>
      <c r="D427" s="420"/>
      <c r="E427" s="420"/>
      <c r="F427" s="420"/>
      <c r="G427" s="420"/>
      <c r="H427" s="421"/>
      <c r="I427" s="420"/>
      <c r="J427" s="420"/>
      <c r="K427" s="420"/>
      <c r="L427" s="420"/>
      <c r="M427" s="420"/>
      <c r="N427" s="420"/>
      <c r="O427" s="420"/>
      <c r="P427" s="420"/>
      <c r="Q427" s="420"/>
      <c r="R427" s="420"/>
      <c r="S427" s="420"/>
      <c r="T427" s="420"/>
      <c r="U427" s="420"/>
      <c r="V427" s="420"/>
      <c r="W427" s="420"/>
      <c r="X427" s="420"/>
      <c r="Y427" s="420"/>
      <c r="Z427" s="420"/>
      <c r="AA427" s="420"/>
    </row>
    <row r="428">
      <c r="A428" s="420"/>
      <c r="B428" s="420"/>
      <c r="C428" s="420"/>
      <c r="D428" s="420"/>
      <c r="E428" s="420"/>
      <c r="F428" s="420"/>
      <c r="G428" s="420"/>
      <c r="H428" s="421"/>
      <c r="I428" s="420"/>
      <c r="J428" s="420"/>
      <c r="K428" s="420"/>
      <c r="L428" s="420"/>
      <c r="M428" s="420"/>
      <c r="N428" s="420"/>
      <c r="O428" s="420"/>
      <c r="P428" s="420"/>
      <c r="Q428" s="420"/>
      <c r="R428" s="420"/>
      <c r="S428" s="420"/>
      <c r="T428" s="420"/>
      <c r="U428" s="420"/>
      <c r="V428" s="420"/>
      <c r="W428" s="420"/>
      <c r="X428" s="420"/>
      <c r="Y428" s="420"/>
      <c r="Z428" s="420"/>
      <c r="AA428" s="420"/>
    </row>
    <row r="429">
      <c r="A429" s="420"/>
      <c r="B429" s="420"/>
      <c r="C429" s="420"/>
      <c r="D429" s="420"/>
      <c r="E429" s="420"/>
      <c r="F429" s="420"/>
      <c r="G429" s="420"/>
      <c r="H429" s="421"/>
      <c r="I429" s="420"/>
      <c r="J429" s="420"/>
      <c r="K429" s="420"/>
      <c r="L429" s="420"/>
      <c r="M429" s="420"/>
      <c r="N429" s="420"/>
      <c r="O429" s="420"/>
      <c r="P429" s="420"/>
      <c r="Q429" s="420"/>
      <c r="R429" s="420"/>
      <c r="S429" s="420"/>
      <c r="T429" s="420"/>
      <c r="U429" s="420"/>
      <c r="V429" s="420"/>
      <c r="W429" s="420"/>
      <c r="X429" s="420"/>
      <c r="Y429" s="420"/>
      <c r="Z429" s="420"/>
      <c r="AA429" s="420"/>
    </row>
    <row r="430">
      <c r="A430" s="420"/>
      <c r="B430" s="420"/>
      <c r="C430" s="420"/>
      <c r="D430" s="420"/>
      <c r="E430" s="420"/>
      <c r="F430" s="420"/>
      <c r="G430" s="420"/>
      <c r="H430" s="421"/>
      <c r="I430" s="420"/>
      <c r="J430" s="420"/>
      <c r="K430" s="420"/>
      <c r="L430" s="420"/>
      <c r="M430" s="420"/>
      <c r="N430" s="420"/>
      <c r="O430" s="420"/>
      <c r="P430" s="420"/>
      <c r="Q430" s="420"/>
      <c r="R430" s="420"/>
      <c r="S430" s="420"/>
      <c r="T430" s="420"/>
      <c r="U430" s="420"/>
      <c r="V430" s="420"/>
      <c r="W430" s="420"/>
      <c r="X430" s="420"/>
      <c r="Y430" s="420"/>
      <c r="Z430" s="420"/>
      <c r="AA430" s="420"/>
    </row>
    <row r="431">
      <c r="A431" s="420"/>
      <c r="B431" s="420"/>
      <c r="C431" s="420"/>
      <c r="D431" s="420"/>
      <c r="E431" s="420"/>
      <c r="F431" s="420"/>
      <c r="G431" s="420"/>
      <c r="H431" s="421"/>
      <c r="I431" s="420"/>
      <c r="J431" s="420"/>
      <c r="K431" s="420"/>
      <c r="L431" s="420"/>
      <c r="M431" s="420"/>
      <c r="N431" s="420"/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</row>
    <row r="432">
      <c r="A432" s="420"/>
      <c r="B432" s="420"/>
      <c r="C432" s="420"/>
      <c r="D432" s="420"/>
      <c r="E432" s="420"/>
      <c r="F432" s="420"/>
      <c r="G432" s="420"/>
      <c r="H432" s="421"/>
      <c r="I432" s="420"/>
      <c r="J432" s="420"/>
      <c r="K432" s="420"/>
      <c r="L432" s="420"/>
      <c r="M432" s="420"/>
      <c r="N432" s="420"/>
      <c r="O432" s="420"/>
      <c r="P432" s="420"/>
      <c r="Q432" s="420"/>
      <c r="R432" s="420"/>
      <c r="S432" s="420"/>
      <c r="T432" s="420"/>
      <c r="U432" s="420"/>
      <c r="V432" s="420"/>
      <c r="W432" s="420"/>
      <c r="X432" s="420"/>
      <c r="Y432" s="420"/>
      <c r="Z432" s="420"/>
      <c r="AA432" s="420"/>
    </row>
    <row r="433">
      <c r="A433" s="420"/>
      <c r="B433" s="420"/>
      <c r="C433" s="420"/>
      <c r="D433" s="420"/>
      <c r="E433" s="420"/>
      <c r="F433" s="420"/>
      <c r="G433" s="420"/>
      <c r="H433" s="421"/>
      <c r="I433" s="420"/>
      <c r="J433" s="420"/>
      <c r="K433" s="420"/>
      <c r="L433" s="420"/>
      <c r="M433" s="420"/>
      <c r="N433" s="420"/>
      <c r="O433" s="420"/>
      <c r="P433" s="420"/>
      <c r="Q433" s="420"/>
      <c r="R433" s="420"/>
      <c r="S433" s="420"/>
      <c r="T433" s="420"/>
      <c r="U433" s="420"/>
      <c r="V433" s="420"/>
      <c r="W433" s="420"/>
      <c r="X433" s="420"/>
      <c r="Y433" s="420"/>
      <c r="Z433" s="420"/>
      <c r="AA433" s="420"/>
    </row>
    <row r="434">
      <c r="A434" s="420"/>
      <c r="B434" s="420"/>
      <c r="C434" s="420"/>
      <c r="D434" s="420"/>
      <c r="E434" s="420"/>
      <c r="F434" s="420"/>
      <c r="G434" s="420"/>
      <c r="H434" s="421"/>
      <c r="I434" s="420"/>
      <c r="J434" s="420"/>
      <c r="K434" s="420"/>
      <c r="L434" s="420"/>
      <c r="M434" s="420"/>
      <c r="N434" s="420"/>
      <c r="O434" s="420"/>
      <c r="P434" s="420"/>
      <c r="Q434" s="420"/>
      <c r="R434" s="420"/>
      <c r="S434" s="420"/>
      <c r="T434" s="420"/>
      <c r="U434" s="420"/>
      <c r="V434" s="420"/>
      <c r="W434" s="420"/>
      <c r="X434" s="420"/>
      <c r="Y434" s="420"/>
      <c r="Z434" s="420"/>
      <c r="AA434" s="420"/>
    </row>
    <row r="435">
      <c r="A435" s="420"/>
      <c r="B435" s="420"/>
      <c r="C435" s="420"/>
      <c r="D435" s="420"/>
      <c r="E435" s="420"/>
      <c r="F435" s="420"/>
      <c r="G435" s="420"/>
      <c r="H435" s="421"/>
      <c r="I435" s="420"/>
      <c r="J435" s="420"/>
      <c r="K435" s="420"/>
      <c r="L435" s="420"/>
      <c r="M435" s="420"/>
      <c r="N435" s="420"/>
      <c r="O435" s="420"/>
      <c r="P435" s="420"/>
      <c r="Q435" s="420"/>
      <c r="R435" s="420"/>
      <c r="S435" s="420"/>
      <c r="T435" s="420"/>
      <c r="U435" s="420"/>
      <c r="V435" s="420"/>
      <c r="W435" s="420"/>
      <c r="X435" s="420"/>
      <c r="Y435" s="420"/>
      <c r="Z435" s="420"/>
      <c r="AA435" s="420"/>
    </row>
    <row r="436">
      <c r="A436" s="420"/>
      <c r="B436" s="420"/>
      <c r="C436" s="420"/>
      <c r="D436" s="420"/>
      <c r="E436" s="420"/>
      <c r="F436" s="420"/>
      <c r="G436" s="420"/>
      <c r="H436" s="421"/>
      <c r="I436" s="420"/>
      <c r="J436" s="420"/>
      <c r="K436" s="420"/>
      <c r="L436" s="420"/>
      <c r="M436" s="420"/>
      <c r="N436" s="420"/>
      <c r="O436" s="420"/>
      <c r="P436" s="420"/>
      <c r="Q436" s="420"/>
      <c r="R436" s="420"/>
      <c r="S436" s="420"/>
      <c r="T436" s="420"/>
      <c r="U436" s="420"/>
      <c r="V436" s="420"/>
      <c r="W436" s="420"/>
      <c r="X436" s="420"/>
      <c r="Y436" s="420"/>
      <c r="Z436" s="420"/>
      <c r="AA436" s="420"/>
    </row>
    <row r="437">
      <c r="A437" s="420"/>
      <c r="B437" s="420"/>
      <c r="C437" s="420"/>
      <c r="D437" s="420"/>
      <c r="E437" s="420"/>
      <c r="F437" s="420"/>
      <c r="G437" s="420"/>
      <c r="H437" s="421"/>
      <c r="I437" s="420"/>
      <c r="J437" s="420"/>
      <c r="K437" s="420"/>
      <c r="L437" s="420"/>
      <c r="M437" s="420"/>
      <c r="N437" s="420"/>
      <c r="O437" s="420"/>
      <c r="P437" s="420"/>
      <c r="Q437" s="420"/>
      <c r="R437" s="420"/>
      <c r="S437" s="420"/>
      <c r="T437" s="420"/>
      <c r="U437" s="420"/>
      <c r="V437" s="420"/>
      <c r="W437" s="420"/>
      <c r="X437" s="420"/>
      <c r="Y437" s="420"/>
      <c r="Z437" s="420"/>
      <c r="AA437" s="420"/>
    </row>
    <row r="438">
      <c r="A438" s="420"/>
      <c r="B438" s="420"/>
      <c r="C438" s="420"/>
      <c r="D438" s="420"/>
      <c r="E438" s="420"/>
      <c r="F438" s="420"/>
      <c r="G438" s="420"/>
      <c r="H438" s="421"/>
      <c r="I438" s="420"/>
      <c r="J438" s="420"/>
      <c r="K438" s="420"/>
      <c r="L438" s="420"/>
      <c r="M438" s="420"/>
      <c r="N438" s="420"/>
      <c r="O438" s="420"/>
      <c r="P438" s="420"/>
      <c r="Q438" s="420"/>
      <c r="R438" s="420"/>
      <c r="S438" s="420"/>
      <c r="T438" s="420"/>
      <c r="U438" s="420"/>
      <c r="V438" s="420"/>
      <c r="W438" s="420"/>
      <c r="X438" s="420"/>
      <c r="Y438" s="420"/>
      <c r="Z438" s="420"/>
      <c r="AA438" s="420"/>
    </row>
    <row r="439">
      <c r="A439" s="420"/>
      <c r="B439" s="420"/>
      <c r="C439" s="420"/>
      <c r="D439" s="420"/>
      <c r="E439" s="420"/>
      <c r="F439" s="420"/>
      <c r="G439" s="420"/>
      <c r="H439" s="421"/>
      <c r="I439" s="420"/>
      <c r="J439" s="420"/>
      <c r="K439" s="420"/>
      <c r="L439" s="420"/>
      <c r="M439" s="420"/>
      <c r="N439" s="420"/>
      <c r="O439" s="420"/>
      <c r="P439" s="420"/>
      <c r="Q439" s="420"/>
      <c r="R439" s="420"/>
      <c r="S439" s="420"/>
      <c r="T439" s="420"/>
      <c r="U439" s="420"/>
      <c r="V439" s="420"/>
      <c r="W439" s="420"/>
      <c r="X439" s="420"/>
      <c r="Y439" s="420"/>
      <c r="Z439" s="420"/>
      <c r="AA439" s="420"/>
    </row>
    <row r="440">
      <c r="A440" s="420"/>
      <c r="B440" s="420"/>
      <c r="C440" s="420"/>
      <c r="D440" s="420"/>
      <c r="E440" s="420"/>
      <c r="F440" s="420"/>
      <c r="G440" s="420"/>
      <c r="H440" s="421"/>
      <c r="I440" s="420"/>
      <c r="J440" s="420"/>
      <c r="K440" s="420"/>
      <c r="L440" s="420"/>
      <c r="M440" s="420"/>
      <c r="N440" s="420"/>
      <c r="O440" s="420"/>
      <c r="P440" s="420"/>
      <c r="Q440" s="420"/>
      <c r="R440" s="420"/>
      <c r="S440" s="420"/>
      <c r="T440" s="420"/>
      <c r="U440" s="420"/>
      <c r="V440" s="420"/>
      <c r="W440" s="420"/>
      <c r="X440" s="420"/>
      <c r="Y440" s="420"/>
      <c r="Z440" s="420"/>
      <c r="AA440" s="420"/>
    </row>
    <row r="441">
      <c r="A441" s="420"/>
      <c r="B441" s="420"/>
      <c r="C441" s="420"/>
      <c r="D441" s="420"/>
      <c r="E441" s="420"/>
      <c r="F441" s="420"/>
      <c r="G441" s="420"/>
      <c r="H441" s="421"/>
      <c r="I441" s="420"/>
      <c r="J441" s="420"/>
      <c r="K441" s="420"/>
      <c r="L441" s="420"/>
      <c r="M441" s="420"/>
      <c r="N441" s="420"/>
      <c r="O441" s="420"/>
      <c r="P441" s="420"/>
      <c r="Q441" s="420"/>
      <c r="R441" s="420"/>
      <c r="S441" s="420"/>
      <c r="T441" s="420"/>
      <c r="U441" s="420"/>
      <c r="V441" s="420"/>
      <c r="W441" s="420"/>
      <c r="X441" s="420"/>
      <c r="Y441" s="420"/>
      <c r="Z441" s="420"/>
      <c r="AA441" s="420"/>
    </row>
    <row r="442">
      <c r="A442" s="420"/>
      <c r="B442" s="420"/>
      <c r="C442" s="420"/>
      <c r="D442" s="420"/>
      <c r="E442" s="420"/>
      <c r="F442" s="420"/>
      <c r="G442" s="420"/>
      <c r="H442" s="421"/>
      <c r="I442" s="420"/>
      <c r="J442" s="420"/>
      <c r="K442" s="420"/>
      <c r="L442" s="420"/>
      <c r="M442" s="420"/>
      <c r="N442" s="420"/>
      <c r="O442" s="420"/>
      <c r="P442" s="420"/>
      <c r="Q442" s="420"/>
      <c r="R442" s="420"/>
      <c r="S442" s="420"/>
      <c r="T442" s="420"/>
      <c r="U442" s="420"/>
      <c r="V442" s="420"/>
      <c r="W442" s="420"/>
      <c r="X442" s="420"/>
      <c r="Y442" s="420"/>
      <c r="Z442" s="420"/>
      <c r="AA442" s="420"/>
    </row>
    <row r="443">
      <c r="A443" s="420"/>
      <c r="B443" s="420"/>
      <c r="C443" s="420"/>
      <c r="D443" s="420"/>
      <c r="E443" s="420"/>
      <c r="F443" s="420"/>
      <c r="G443" s="420"/>
      <c r="H443" s="421"/>
      <c r="I443" s="420"/>
      <c r="J443" s="420"/>
      <c r="K443" s="420"/>
      <c r="L443" s="420"/>
      <c r="M443" s="420"/>
      <c r="N443" s="420"/>
      <c r="O443" s="420"/>
      <c r="P443" s="420"/>
      <c r="Q443" s="420"/>
      <c r="R443" s="420"/>
      <c r="S443" s="420"/>
      <c r="T443" s="420"/>
      <c r="U443" s="420"/>
      <c r="V443" s="420"/>
      <c r="W443" s="420"/>
      <c r="X443" s="420"/>
      <c r="Y443" s="420"/>
      <c r="Z443" s="420"/>
      <c r="AA443" s="420"/>
    </row>
    <row r="444">
      <c r="A444" s="420"/>
      <c r="B444" s="420"/>
      <c r="C444" s="420"/>
      <c r="D444" s="420"/>
      <c r="E444" s="420"/>
      <c r="F444" s="420"/>
      <c r="G444" s="420"/>
      <c r="H444" s="421"/>
      <c r="I444" s="420"/>
      <c r="J444" s="420"/>
      <c r="K444" s="420"/>
      <c r="L444" s="420"/>
      <c r="M444" s="420"/>
      <c r="N444" s="420"/>
      <c r="O444" s="420"/>
      <c r="P444" s="420"/>
      <c r="Q444" s="420"/>
      <c r="R444" s="420"/>
      <c r="S444" s="420"/>
      <c r="T444" s="420"/>
      <c r="U444" s="420"/>
      <c r="V444" s="420"/>
      <c r="W444" s="420"/>
      <c r="X444" s="420"/>
      <c r="Y444" s="420"/>
      <c r="Z444" s="420"/>
      <c r="AA444" s="420"/>
    </row>
    <row r="445">
      <c r="A445" s="420"/>
      <c r="B445" s="420"/>
      <c r="C445" s="420"/>
      <c r="D445" s="420"/>
      <c r="E445" s="420"/>
      <c r="F445" s="420"/>
      <c r="G445" s="420"/>
      <c r="H445" s="421"/>
      <c r="I445" s="420"/>
      <c r="J445" s="420"/>
      <c r="K445" s="420"/>
      <c r="L445" s="420"/>
      <c r="M445" s="420"/>
      <c r="N445" s="420"/>
      <c r="O445" s="420"/>
      <c r="P445" s="420"/>
      <c r="Q445" s="420"/>
      <c r="R445" s="420"/>
      <c r="S445" s="420"/>
      <c r="T445" s="420"/>
      <c r="U445" s="420"/>
      <c r="V445" s="420"/>
      <c r="W445" s="420"/>
      <c r="X445" s="420"/>
      <c r="Y445" s="420"/>
      <c r="Z445" s="420"/>
      <c r="AA445" s="420"/>
    </row>
    <row r="446">
      <c r="A446" s="420"/>
      <c r="B446" s="420"/>
      <c r="C446" s="420"/>
      <c r="D446" s="420"/>
      <c r="E446" s="420"/>
      <c r="F446" s="420"/>
      <c r="G446" s="420"/>
      <c r="H446" s="421"/>
      <c r="I446" s="420"/>
      <c r="J446" s="420"/>
      <c r="K446" s="420"/>
      <c r="L446" s="420"/>
      <c r="M446" s="420"/>
      <c r="N446" s="420"/>
      <c r="O446" s="420"/>
      <c r="P446" s="420"/>
      <c r="Q446" s="420"/>
      <c r="R446" s="420"/>
      <c r="S446" s="420"/>
      <c r="T446" s="420"/>
      <c r="U446" s="420"/>
      <c r="V446" s="420"/>
      <c r="W446" s="420"/>
      <c r="X446" s="420"/>
      <c r="Y446" s="420"/>
      <c r="Z446" s="420"/>
      <c r="AA446" s="420"/>
    </row>
    <row r="447">
      <c r="A447" s="420"/>
      <c r="B447" s="420"/>
      <c r="C447" s="420"/>
      <c r="D447" s="420"/>
      <c r="E447" s="420"/>
      <c r="F447" s="420"/>
      <c r="G447" s="420"/>
      <c r="H447" s="421"/>
      <c r="I447" s="420"/>
      <c r="J447" s="420"/>
      <c r="K447" s="420"/>
      <c r="L447" s="420"/>
      <c r="M447" s="420"/>
      <c r="N447" s="420"/>
      <c r="O447" s="420"/>
      <c r="P447" s="420"/>
      <c r="Q447" s="420"/>
      <c r="R447" s="420"/>
      <c r="S447" s="420"/>
      <c r="T447" s="420"/>
      <c r="U447" s="420"/>
      <c r="V447" s="420"/>
      <c r="W447" s="420"/>
      <c r="X447" s="420"/>
      <c r="Y447" s="420"/>
      <c r="Z447" s="420"/>
      <c r="AA447" s="420"/>
    </row>
    <row r="448">
      <c r="A448" s="420"/>
      <c r="B448" s="420"/>
      <c r="C448" s="420"/>
      <c r="D448" s="420"/>
      <c r="E448" s="420"/>
      <c r="F448" s="420"/>
      <c r="G448" s="420"/>
      <c r="H448" s="421"/>
      <c r="I448" s="420"/>
      <c r="J448" s="420"/>
      <c r="K448" s="420"/>
      <c r="L448" s="420"/>
      <c r="M448" s="420"/>
      <c r="N448" s="420"/>
      <c r="O448" s="420"/>
      <c r="P448" s="420"/>
      <c r="Q448" s="420"/>
      <c r="R448" s="420"/>
      <c r="S448" s="420"/>
      <c r="T448" s="420"/>
      <c r="U448" s="420"/>
      <c r="V448" s="420"/>
      <c r="W448" s="420"/>
      <c r="X448" s="420"/>
      <c r="Y448" s="420"/>
      <c r="Z448" s="420"/>
      <c r="AA448" s="420"/>
    </row>
    <row r="449">
      <c r="A449" s="420"/>
      <c r="B449" s="420"/>
      <c r="C449" s="420"/>
      <c r="D449" s="420"/>
      <c r="E449" s="420"/>
      <c r="F449" s="420"/>
      <c r="G449" s="420"/>
      <c r="H449" s="421"/>
      <c r="I449" s="420"/>
      <c r="J449" s="420"/>
      <c r="K449" s="420"/>
      <c r="L449" s="420"/>
      <c r="M449" s="420"/>
      <c r="N449" s="420"/>
      <c r="O449" s="420"/>
      <c r="P449" s="420"/>
      <c r="Q449" s="420"/>
      <c r="R449" s="420"/>
      <c r="S449" s="420"/>
      <c r="T449" s="420"/>
      <c r="U449" s="420"/>
      <c r="V449" s="420"/>
      <c r="W449" s="420"/>
      <c r="X449" s="420"/>
      <c r="Y449" s="420"/>
      <c r="Z449" s="420"/>
      <c r="AA449" s="420"/>
    </row>
    <row r="450">
      <c r="A450" s="420"/>
      <c r="B450" s="420"/>
      <c r="C450" s="420"/>
      <c r="D450" s="420"/>
      <c r="E450" s="420"/>
      <c r="F450" s="420"/>
      <c r="G450" s="420"/>
      <c r="H450" s="421"/>
      <c r="I450" s="420"/>
      <c r="J450" s="420"/>
      <c r="K450" s="420"/>
      <c r="L450" s="420"/>
      <c r="M450" s="420"/>
      <c r="N450" s="420"/>
      <c r="O450" s="420"/>
      <c r="P450" s="420"/>
      <c r="Q450" s="420"/>
      <c r="R450" s="420"/>
      <c r="S450" s="420"/>
      <c r="T450" s="420"/>
      <c r="U450" s="420"/>
      <c r="V450" s="420"/>
      <c r="W450" s="420"/>
      <c r="X450" s="420"/>
      <c r="Y450" s="420"/>
      <c r="Z450" s="420"/>
      <c r="AA450" s="420"/>
    </row>
    <row r="451">
      <c r="A451" s="420"/>
      <c r="B451" s="420"/>
      <c r="C451" s="420"/>
      <c r="D451" s="420"/>
      <c r="E451" s="420"/>
      <c r="F451" s="420"/>
      <c r="G451" s="420"/>
      <c r="H451" s="421"/>
      <c r="I451" s="420"/>
      <c r="J451" s="420"/>
      <c r="K451" s="420"/>
      <c r="L451" s="420"/>
      <c r="M451" s="420"/>
      <c r="N451" s="420"/>
      <c r="O451" s="420"/>
      <c r="P451" s="420"/>
      <c r="Q451" s="420"/>
      <c r="R451" s="420"/>
      <c r="S451" s="420"/>
      <c r="T451" s="420"/>
      <c r="U451" s="420"/>
      <c r="V451" s="420"/>
      <c r="W451" s="420"/>
      <c r="X451" s="420"/>
      <c r="Y451" s="420"/>
      <c r="Z451" s="420"/>
      <c r="AA451" s="420"/>
    </row>
    <row r="452">
      <c r="A452" s="420"/>
      <c r="B452" s="420"/>
      <c r="C452" s="420"/>
      <c r="D452" s="420"/>
      <c r="E452" s="420"/>
      <c r="F452" s="420"/>
      <c r="G452" s="420"/>
      <c r="H452" s="421"/>
      <c r="I452" s="420"/>
      <c r="J452" s="420"/>
      <c r="K452" s="420"/>
      <c r="L452" s="420"/>
      <c r="M452" s="420"/>
      <c r="N452" s="420"/>
      <c r="O452" s="420"/>
      <c r="P452" s="420"/>
      <c r="Q452" s="420"/>
      <c r="R452" s="420"/>
      <c r="S452" s="420"/>
      <c r="T452" s="420"/>
      <c r="U452" s="420"/>
      <c r="V452" s="420"/>
      <c r="W452" s="420"/>
      <c r="X452" s="420"/>
      <c r="Y452" s="420"/>
      <c r="Z452" s="420"/>
      <c r="AA452" s="420"/>
    </row>
    <row r="453">
      <c r="A453" s="420"/>
      <c r="B453" s="420"/>
      <c r="C453" s="420"/>
      <c r="D453" s="420"/>
      <c r="E453" s="420"/>
      <c r="F453" s="420"/>
      <c r="G453" s="420"/>
      <c r="H453" s="421"/>
      <c r="I453" s="420"/>
      <c r="J453" s="420"/>
      <c r="K453" s="420"/>
      <c r="L453" s="420"/>
      <c r="M453" s="420"/>
      <c r="N453" s="420"/>
      <c r="O453" s="420"/>
      <c r="P453" s="420"/>
      <c r="Q453" s="420"/>
      <c r="R453" s="420"/>
      <c r="S453" s="420"/>
      <c r="T453" s="420"/>
      <c r="U453" s="420"/>
      <c r="V453" s="420"/>
      <c r="W453" s="420"/>
      <c r="X453" s="420"/>
      <c r="Y453" s="420"/>
      <c r="Z453" s="420"/>
      <c r="AA453" s="420"/>
    </row>
    <row r="454">
      <c r="A454" s="420"/>
      <c r="B454" s="420"/>
      <c r="C454" s="420"/>
      <c r="D454" s="420"/>
      <c r="E454" s="420"/>
      <c r="F454" s="420"/>
      <c r="G454" s="420"/>
      <c r="H454" s="421"/>
      <c r="I454" s="420"/>
      <c r="J454" s="420"/>
      <c r="K454" s="420"/>
      <c r="L454" s="420"/>
      <c r="M454" s="420"/>
      <c r="N454" s="420"/>
      <c r="O454" s="420"/>
      <c r="P454" s="420"/>
      <c r="Q454" s="420"/>
      <c r="R454" s="420"/>
      <c r="S454" s="420"/>
      <c r="T454" s="420"/>
      <c r="U454" s="420"/>
      <c r="V454" s="420"/>
      <c r="W454" s="420"/>
      <c r="X454" s="420"/>
      <c r="Y454" s="420"/>
      <c r="Z454" s="420"/>
      <c r="AA454" s="420"/>
    </row>
    <row r="455">
      <c r="A455" s="420"/>
      <c r="B455" s="420"/>
      <c r="C455" s="420"/>
      <c r="D455" s="420"/>
      <c r="E455" s="420"/>
      <c r="F455" s="420"/>
      <c r="G455" s="420"/>
      <c r="H455" s="421"/>
      <c r="I455" s="420"/>
      <c r="J455" s="420"/>
      <c r="K455" s="420"/>
      <c r="L455" s="420"/>
      <c r="M455" s="420"/>
      <c r="N455" s="420"/>
      <c r="O455" s="420"/>
      <c r="P455" s="420"/>
      <c r="Q455" s="420"/>
      <c r="R455" s="420"/>
      <c r="S455" s="420"/>
      <c r="T455" s="420"/>
      <c r="U455" s="420"/>
      <c r="V455" s="420"/>
      <c r="W455" s="420"/>
      <c r="X455" s="420"/>
      <c r="Y455" s="420"/>
      <c r="Z455" s="420"/>
      <c r="AA455" s="420"/>
    </row>
    <row r="456">
      <c r="A456" s="420"/>
      <c r="B456" s="420"/>
      <c r="C456" s="420"/>
      <c r="D456" s="420"/>
      <c r="E456" s="420"/>
      <c r="F456" s="420"/>
      <c r="G456" s="420"/>
      <c r="H456" s="421"/>
      <c r="I456" s="420"/>
      <c r="J456" s="420"/>
      <c r="K456" s="420"/>
      <c r="L456" s="420"/>
      <c r="M456" s="420"/>
      <c r="N456" s="420"/>
      <c r="O456" s="420"/>
      <c r="P456" s="420"/>
      <c r="Q456" s="420"/>
      <c r="R456" s="420"/>
      <c r="S456" s="420"/>
      <c r="T456" s="420"/>
      <c r="U456" s="420"/>
      <c r="V456" s="420"/>
      <c r="W456" s="420"/>
      <c r="X456" s="420"/>
      <c r="Y456" s="420"/>
      <c r="Z456" s="420"/>
      <c r="AA456" s="420"/>
    </row>
    <row r="457">
      <c r="A457" s="420"/>
      <c r="B457" s="420"/>
      <c r="C457" s="420"/>
      <c r="D457" s="420"/>
      <c r="E457" s="420"/>
      <c r="F457" s="420"/>
      <c r="G457" s="420"/>
      <c r="H457" s="421"/>
      <c r="I457" s="420"/>
      <c r="J457" s="420"/>
      <c r="K457" s="420"/>
      <c r="L457" s="420"/>
      <c r="M457" s="420"/>
      <c r="N457" s="420"/>
      <c r="O457" s="420"/>
      <c r="P457" s="420"/>
      <c r="Q457" s="420"/>
      <c r="R457" s="420"/>
      <c r="S457" s="420"/>
      <c r="T457" s="420"/>
      <c r="U457" s="420"/>
      <c r="V457" s="420"/>
      <c r="W457" s="420"/>
      <c r="X457" s="420"/>
      <c r="Y457" s="420"/>
      <c r="Z457" s="420"/>
      <c r="AA457" s="420"/>
    </row>
    <row r="458">
      <c r="A458" s="420"/>
      <c r="B458" s="420"/>
      <c r="C458" s="420"/>
      <c r="D458" s="420"/>
      <c r="E458" s="420"/>
      <c r="F458" s="420"/>
      <c r="G458" s="420"/>
      <c r="H458" s="421"/>
      <c r="I458" s="420"/>
      <c r="J458" s="420"/>
      <c r="K458" s="420"/>
      <c r="L458" s="420"/>
      <c r="M458" s="420"/>
      <c r="N458" s="420"/>
      <c r="O458" s="420"/>
      <c r="P458" s="420"/>
      <c r="Q458" s="420"/>
      <c r="R458" s="420"/>
      <c r="S458" s="420"/>
      <c r="T458" s="420"/>
      <c r="U458" s="420"/>
      <c r="V458" s="420"/>
      <c r="W458" s="420"/>
      <c r="X458" s="420"/>
      <c r="Y458" s="420"/>
      <c r="Z458" s="420"/>
      <c r="AA458" s="420"/>
    </row>
    <row r="459">
      <c r="A459" s="420"/>
      <c r="B459" s="420"/>
      <c r="C459" s="420"/>
      <c r="D459" s="420"/>
      <c r="E459" s="420"/>
      <c r="F459" s="420"/>
      <c r="G459" s="420"/>
      <c r="H459" s="421"/>
      <c r="I459" s="420"/>
      <c r="J459" s="420"/>
      <c r="K459" s="420"/>
      <c r="L459" s="420"/>
      <c r="M459" s="420"/>
      <c r="N459" s="420"/>
      <c r="O459" s="420"/>
      <c r="P459" s="420"/>
      <c r="Q459" s="420"/>
      <c r="R459" s="420"/>
      <c r="S459" s="420"/>
      <c r="T459" s="420"/>
      <c r="U459" s="420"/>
      <c r="V459" s="420"/>
      <c r="W459" s="420"/>
      <c r="X459" s="420"/>
      <c r="Y459" s="420"/>
      <c r="Z459" s="420"/>
      <c r="AA459" s="420"/>
    </row>
    <row r="460">
      <c r="A460" s="420"/>
      <c r="B460" s="420"/>
      <c r="C460" s="420"/>
      <c r="D460" s="420"/>
      <c r="E460" s="420"/>
      <c r="F460" s="420"/>
      <c r="G460" s="420"/>
      <c r="H460" s="421"/>
      <c r="I460" s="420"/>
      <c r="J460" s="420"/>
      <c r="K460" s="420"/>
      <c r="L460" s="420"/>
      <c r="M460" s="420"/>
      <c r="N460" s="420"/>
      <c r="O460" s="420"/>
      <c r="P460" s="420"/>
      <c r="Q460" s="420"/>
      <c r="R460" s="420"/>
      <c r="S460" s="420"/>
      <c r="T460" s="420"/>
      <c r="U460" s="420"/>
      <c r="V460" s="420"/>
      <c r="W460" s="420"/>
      <c r="X460" s="420"/>
      <c r="Y460" s="420"/>
      <c r="Z460" s="420"/>
      <c r="AA460" s="420"/>
    </row>
    <row r="461">
      <c r="A461" s="420"/>
      <c r="B461" s="420"/>
      <c r="C461" s="420"/>
      <c r="D461" s="420"/>
      <c r="E461" s="420"/>
      <c r="F461" s="420"/>
      <c r="G461" s="420"/>
      <c r="H461" s="421"/>
      <c r="I461" s="420"/>
      <c r="J461" s="420"/>
      <c r="K461" s="420"/>
      <c r="L461" s="420"/>
      <c r="M461" s="420"/>
      <c r="N461" s="420"/>
      <c r="O461" s="420"/>
      <c r="P461" s="420"/>
      <c r="Q461" s="420"/>
      <c r="R461" s="420"/>
      <c r="S461" s="420"/>
      <c r="T461" s="420"/>
      <c r="U461" s="420"/>
      <c r="V461" s="420"/>
      <c r="W461" s="420"/>
      <c r="X461" s="420"/>
      <c r="Y461" s="420"/>
      <c r="Z461" s="420"/>
      <c r="AA461" s="420"/>
    </row>
    <row r="462">
      <c r="A462" s="420"/>
      <c r="B462" s="420"/>
      <c r="C462" s="420"/>
      <c r="D462" s="420"/>
      <c r="E462" s="420"/>
      <c r="F462" s="420"/>
      <c r="G462" s="420"/>
      <c r="H462" s="421"/>
      <c r="I462" s="420"/>
      <c r="J462" s="420"/>
      <c r="K462" s="420"/>
      <c r="L462" s="420"/>
      <c r="M462" s="420"/>
      <c r="N462" s="420"/>
      <c r="O462" s="420"/>
      <c r="P462" s="420"/>
      <c r="Q462" s="420"/>
      <c r="R462" s="420"/>
      <c r="S462" s="420"/>
      <c r="T462" s="420"/>
      <c r="U462" s="420"/>
      <c r="V462" s="420"/>
      <c r="W462" s="420"/>
      <c r="X462" s="420"/>
      <c r="Y462" s="420"/>
      <c r="Z462" s="420"/>
      <c r="AA462" s="420"/>
    </row>
    <row r="463">
      <c r="A463" s="420"/>
      <c r="B463" s="420"/>
      <c r="C463" s="420"/>
      <c r="D463" s="420"/>
      <c r="E463" s="420"/>
      <c r="F463" s="420"/>
      <c r="G463" s="420"/>
      <c r="H463" s="421"/>
      <c r="I463" s="420"/>
      <c r="J463" s="420"/>
      <c r="K463" s="420"/>
      <c r="L463" s="420"/>
      <c r="M463" s="420"/>
      <c r="N463" s="420"/>
      <c r="O463" s="420"/>
      <c r="P463" s="420"/>
      <c r="Q463" s="420"/>
      <c r="R463" s="420"/>
      <c r="S463" s="420"/>
      <c r="T463" s="420"/>
      <c r="U463" s="420"/>
      <c r="V463" s="420"/>
      <c r="W463" s="420"/>
      <c r="X463" s="420"/>
      <c r="Y463" s="420"/>
      <c r="Z463" s="420"/>
      <c r="AA463" s="420"/>
    </row>
    <row r="464">
      <c r="A464" s="420"/>
      <c r="B464" s="420"/>
      <c r="C464" s="420"/>
      <c r="D464" s="420"/>
      <c r="E464" s="420"/>
      <c r="F464" s="420"/>
      <c r="G464" s="420"/>
      <c r="H464" s="421"/>
      <c r="I464" s="420"/>
      <c r="J464" s="420"/>
      <c r="K464" s="420"/>
      <c r="L464" s="420"/>
      <c r="M464" s="420"/>
      <c r="N464" s="420"/>
      <c r="O464" s="420"/>
      <c r="P464" s="420"/>
      <c r="Q464" s="420"/>
      <c r="R464" s="420"/>
      <c r="S464" s="420"/>
      <c r="T464" s="420"/>
      <c r="U464" s="420"/>
      <c r="V464" s="420"/>
      <c r="W464" s="420"/>
      <c r="X464" s="420"/>
      <c r="Y464" s="420"/>
      <c r="Z464" s="420"/>
      <c r="AA464" s="420"/>
    </row>
    <row r="465">
      <c r="A465" s="420"/>
      <c r="B465" s="420"/>
      <c r="C465" s="420"/>
      <c r="D465" s="420"/>
      <c r="E465" s="420"/>
      <c r="F465" s="420"/>
      <c r="G465" s="420"/>
      <c r="H465" s="421"/>
      <c r="I465" s="420"/>
      <c r="J465" s="420"/>
      <c r="K465" s="420"/>
      <c r="L465" s="420"/>
      <c r="M465" s="420"/>
      <c r="N465" s="420"/>
      <c r="O465" s="420"/>
      <c r="P465" s="420"/>
      <c r="Q465" s="420"/>
      <c r="R465" s="420"/>
      <c r="S465" s="420"/>
      <c r="T465" s="420"/>
      <c r="U465" s="420"/>
      <c r="V465" s="420"/>
      <c r="W465" s="420"/>
      <c r="X465" s="420"/>
      <c r="Y465" s="420"/>
      <c r="Z465" s="420"/>
      <c r="AA465" s="420"/>
    </row>
    <row r="466">
      <c r="A466" s="420"/>
      <c r="B466" s="420"/>
      <c r="C466" s="420"/>
      <c r="D466" s="420"/>
      <c r="E466" s="420"/>
      <c r="F466" s="420"/>
      <c r="G466" s="420"/>
      <c r="H466" s="421"/>
      <c r="I466" s="420"/>
      <c r="J466" s="420"/>
      <c r="K466" s="420"/>
      <c r="L466" s="420"/>
      <c r="M466" s="420"/>
      <c r="N466" s="420"/>
      <c r="O466" s="420"/>
      <c r="P466" s="420"/>
      <c r="Q466" s="420"/>
      <c r="R466" s="420"/>
      <c r="S466" s="420"/>
      <c r="T466" s="420"/>
      <c r="U466" s="420"/>
      <c r="V466" s="420"/>
      <c r="W466" s="420"/>
      <c r="X466" s="420"/>
      <c r="Y466" s="420"/>
      <c r="Z466" s="420"/>
      <c r="AA466" s="420"/>
    </row>
    <row r="467">
      <c r="A467" s="420"/>
      <c r="B467" s="420"/>
      <c r="C467" s="420"/>
      <c r="D467" s="420"/>
      <c r="E467" s="420"/>
      <c r="F467" s="420"/>
      <c r="G467" s="420"/>
      <c r="H467" s="421"/>
      <c r="I467" s="420"/>
      <c r="J467" s="420"/>
      <c r="K467" s="420"/>
      <c r="L467" s="420"/>
      <c r="M467" s="420"/>
      <c r="N467" s="420"/>
      <c r="O467" s="420"/>
      <c r="P467" s="420"/>
      <c r="Q467" s="420"/>
      <c r="R467" s="420"/>
      <c r="S467" s="420"/>
      <c r="T467" s="420"/>
      <c r="U467" s="420"/>
      <c r="V467" s="420"/>
      <c r="W467" s="420"/>
      <c r="X467" s="420"/>
      <c r="Y467" s="420"/>
      <c r="Z467" s="420"/>
      <c r="AA467" s="420"/>
    </row>
    <row r="468">
      <c r="A468" s="420"/>
      <c r="B468" s="420"/>
      <c r="C468" s="420"/>
      <c r="D468" s="420"/>
      <c r="E468" s="420"/>
      <c r="F468" s="420"/>
      <c r="G468" s="420"/>
      <c r="H468" s="421"/>
      <c r="I468" s="420"/>
      <c r="J468" s="420"/>
      <c r="K468" s="420"/>
      <c r="L468" s="420"/>
      <c r="M468" s="420"/>
      <c r="N468" s="420"/>
      <c r="O468" s="420"/>
      <c r="P468" s="420"/>
      <c r="Q468" s="420"/>
      <c r="R468" s="420"/>
      <c r="S468" s="420"/>
      <c r="T468" s="420"/>
      <c r="U468" s="420"/>
      <c r="V468" s="420"/>
      <c r="W468" s="420"/>
      <c r="X468" s="420"/>
      <c r="Y468" s="420"/>
      <c r="Z468" s="420"/>
      <c r="AA468" s="420"/>
    </row>
    <row r="469">
      <c r="A469" s="420"/>
      <c r="B469" s="420"/>
      <c r="C469" s="420"/>
      <c r="D469" s="420"/>
      <c r="E469" s="420"/>
      <c r="F469" s="420"/>
      <c r="G469" s="420"/>
      <c r="H469" s="421"/>
      <c r="I469" s="420"/>
      <c r="J469" s="420"/>
      <c r="K469" s="420"/>
      <c r="L469" s="420"/>
      <c r="M469" s="420"/>
      <c r="N469" s="420"/>
      <c r="O469" s="420"/>
      <c r="P469" s="420"/>
      <c r="Q469" s="420"/>
      <c r="R469" s="420"/>
      <c r="S469" s="420"/>
      <c r="T469" s="420"/>
      <c r="U469" s="420"/>
      <c r="V469" s="420"/>
      <c r="W469" s="420"/>
      <c r="X469" s="420"/>
      <c r="Y469" s="420"/>
      <c r="Z469" s="420"/>
      <c r="AA469" s="420"/>
    </row>
    <row r="470">
      <c r="A470" s="420"/>
      <c r="B470" s="420"/>
      <c r="C470" s="420"/>
      <c r="D470" s="420"/>
      <c r="E470" s="420"/>
      <c r="F470" s="420"/>
      <c r="G470" s="420"/>
      <c r="H470" s="421"/>
      <c r="I470" s="420"/>
      <c r="J470" s="420"/>
      <c r="K470" s="420"/>
      <c r="L470" s="420"/>
      <c r="M470" s="420"/>
      <c r="N470" s="420"/>
      <c r="O470" s="420"/>
      <c r="P470" s="420"/>
      <c r="Q470" s="420"/>
      <c r="R470" s="420"/>
      <c r="S470" s="420"/>
      <c r="T470" s="420"/>
      <c r="U470" s="420"/>
      <c r="V470" s="420"/>
      <c r="W470" s="420"/>
      <c r="X470" s="420"/>
      <c r="Y470" s="420"/>
      <c r="Z470" s="420"/>
      <c r="AA470" s="420"/>
    </row>
    <row r="471">
      <c r="A471" s="420"/>
      <c r="B471" s="420"/>
      <c r="C471" s="420"/>
      <c r="D471" s="420"/>
      <c r="E471" s="420"/>
      <c r="F471" s="420"/>
      <c r="G471" s="420"/>
      <c r="H471" s="421"/>
      <c r="I471" s="420"/>
      <c r="J471" s="420"/>
      <c r="K471" s="420"/>
      <c r="L471" s="420"/>
      <c r="M471" s="420"/>
      <c r="N471" s="420"/>
      <c r="O471" s="420"/>
      <c r="P471" s="420"/>
      <c r="Q471" s="420"/>
      <c r="R471" s="420"/>
      <c r="S471" s="420"/>
      <c r="T471" s="420"/>
      <c r="U471" s="420"/>
      <c r="V471" s="420"/>
      <c r="W471" s="420"/>
      <c r="X471" s="420"/>
      <c r="Y471" s="420"/>
      <c r="Z471" s="420"/>
      <c r="AA471" s="420"/>
    </row>
    <row r="472">
      <c r="A472" s="420"/>
      <c r="B472" s="420"/>
      <c r="C472" s="420"/>
      <c r="D472" s="420"/>
      <c r="E472" s="420"/>
      <c r="F472" s="420"/>
      <c r="G472" s="420"/>
      <c r="H472" s="421"/>
      <c r="I472" s="420"/>
      <c r="J472" s="420"/>
      <c r="K472" s="420"/>
      <c r="L472" s="420"/>
      <c r="M472" s="420"/>
      <c r="N472" s="420"/>
      <c r="O472" s="420"/>
      <c r="P472" s="420"/>
      <c r="Q472" s="420"/>
      <c r="R472" s="420"/>
      <c r="S472" s="420"/>
      <c r="T472" s="420"/>
      <c r="U472" s="420"/>
      <c r="V472" s="420"/>
      <c r="W472" s="420"/>
      <c r="X472" s="420"/>
      <c r="Y472" s="420"/>
      <c r="Z472" s="420"/>
      <c r="AA472" s="420"/>
    </row>
    <row r="473">
      <c r="A473" s="420"/>
      <c r="B473" s="420"/>
      <c r="C473" s="420"/>
      <c r="D473" s="420"/>
      <c r="E473" s="420"/>
      <c r="F473" s="420"/>
      <c r="G473" s="420"/>
      <c r="H473" s="421"/>
      <c r="I473" s="420"/>
      <c r="J473" s="420"/>
      <c r="K473" s="420"/>
      <c r="L473" s="420"/>
      <c r="M473" s="420"/>
      <c r="N473" s="420"/>
      <c r="O473" s="420"/>
      <c r="P473" s="420"/>
      <c r="Q473" s="420"/>
      <c r="R473" s="420"/>
      <c r="S473" s="420"/>
      <c r="T473" s="420"/>
      <c r="U473" s="420"/>
      <c r="V473" s="420"/>
      <c r="W473" s="420"/>
      <c r="X473" s="420"/>
      <c r="Y473" s="420"/>
      <c r="Z473" s="420"/>
      <c r="AA473" s="420"/>
    </row>
    <row r="474">
      <c r="A474" s="420"/>
      <c r="B474" s="420"/>
      <c r="C474" s="420"/>
      <c r="D474" s="420"/>
      <c r="E474" s="420"/>
      <c r="F474" s="420"/>
      <c r="G474" s="420"/>
      <c r="H474" s="421"/>
      <c r="I474" s="420"/>
      <c r="J474" s="420"/>
      <c r="K474" s="420"/>
      <c r="L474" s="420"/>
      <c r="M474" s="420"/>
      <c r="N474" s="420"/>
      <c r="O474" s="420"/>
      <c r="P474" s="420"/>
      <c r="Q474" s="420"/>
      <c r="R474" s="420"/>
      <c r="S474" s="420"/>
      <c r="T474" s="420"/>
      <c r="U474" s="420"/>
      <c r="V474" s="420"/>
      <c r="W474" s="420"/>
      <c r="X474" s="420"/>
      <c r="Y474" s="420"/>
      <c r="Z474" s="420"/>
      <c r="AA474" s="420"/>
    </row>
    <row r="475">
      <c r="A475" s="420"/>
      <c r="B475" s="420"/>
      <c r="C475" s="420"/>
      <c r="D475" s="420"/>
      <c r="E475" s="420"/>
      <c r="F475" s="420"/>
      <c r="G475" s="420"/>
      <c r="H475" s="421"/>
      <c r="I475" s="420"/>
      <c r="J475" s="420"/>
      <c r="K475" s="420"/>
      <c r="L475" s="420"/>
      <c r="M475" s="420"/>
      <c r="N475" s="420"/>
      <c r="O475" s="420"/>
      <c r="P475" s="420"/>
      <c r="Q475" s="420"/>
      <c r="R475" s="420"/>
      <c r="S475" s="420"/>
      <c r="T475" s="420"/>
      <c r="U475" s="420"/>
      <c r="V475" s="420"/>
      <c r="W475" s="420"/>
      <c r="X475" s="420"/>
      <c r="Y475" s="420"/>
      <c r="Z475" s="420"/>
      <c r="AA475" s="420"/>
    </row>
    <row r="476">
      <c r="A476" s="420"/>
      <c r="B476" s="420"/>
      <c r="C476" s="420"/>
      <c r="D476" s="420"/>
      <c r="E476" s="420"/>
      <c r="F476" s="420"/>
      <c r="G476" s="420"/>
      <c r="H476" s="421"/>
      <c r="I476" s="420"/>
      <c r="J476" s="420"/>
      <c r="K476" s="420"/>
      <c r="L476" s="420"/>
      <c r="M476" s="420"/>
      <c r="N476" s="420"/>
      <c r="O476" s="420"/>
      <c r="P476" s="420"/>
      <c r="Q476" s="420"/>
      <c r="R476" s="420"/>
      <c r="S476" s="420"/>
      <c r="T476" s="420"/>
      <c r="U476" s="420"/>
      <c r="V476" s="420"/>
      <c r="W476" s="420"/>
      <c r="X476" s="420"/>
      <c r="Y476" s="420"/>
      <c r="Z476" s="420"/>
      <c r="AA476" s="420"/>
    </row>
    <row r="477">
      <c r="A477" s="420"/>
      <c r="B477" s="420"/>
      <c r="C477" s="420"/>
      <c r="D477" s="420"/>
      <c r="E477" s="420"/>
      <c r="F477" s="420"/>
      <c r="G477" s="420"/>
      <c r="H477" s="421"/>
      <c r="I477" s="420"/>
      <c r="J477" s="420"/>
      <c r="K477" s="420"/>
      <c r="L477" s="420"/>
      <c r="M477" s="420"/>
      <c r="N477" s="420"/>
      <c r="O477" s="420"/>
      <c r="P477" s="420"/>
      <c r="Q477" s="420"/>
      <c r="R477" s="420"/>
      <c r="S477" s="420"/>
      <c r="T477" s="420"/>
      <c r="U477" s="420"/>
      <c r="V477" s="420"/>
      <c r="W477" s="420"/>
      <c r="X477" s="420"/>
      <c r="Y477" s="420"/>
      <c r="Z477" s="420"/>
      <c r="AA477" s="420"/>
    </row>
    <row r="478">
      <c r="A478" s="420"/>
      <c r="B478" s="420"/>
      <c r="C478" s="420"/>
      <c r="D478" s="420"/>
      <c r="E478" s="420"/>
      <c r="F478" s="420"/>
      <c r="G478" s="420"/>
      <c r="H478" s="421"/>
      <c r="I478" s="420"/>
      <c r="J478" s="420"/>
      <c r="K478" s="420"/>
      <c r="L478" s="420"/>
      <c r="M478" s="420"/>
      <c r="N478" s="420"/>
      <c r="O478" s="420"/>
      <c r="P478" s="420"/>
      <c r="Q478" s="420"/>
      <c r="R478" s="420"/>
      <c r="S478" s="420"/>
      <c r="T478" s="420"/>
      <c r="U478" s="420"/>
      <c r="V478" s="420"/>
      <c r="W478" s="420"/>
      <c r="X478" s="420"/>
      <c r="Y478" s="420"/>
      <c r="Z478" s="420"/>
      <c r="AA478" s="420"/>
    </row>
    <row r="479">
      <c r="A479" s="420"/>
      <c r="B479" s="420"/>
      <c r="C479" s="420"/>
      <c r="D479" s="420"/>
      <c r="E479" s="420"/>
      <c r="F479" s="420"/>
      <c r="G479" s="420"/>
      <c r="H479" s="421"/>
      <c r="I479" s="420"/>
      <c r="J479" s="420"/>
      <c r="K479" s="420"/>
      <c r="L479" s="420"/>
      <c r="M479" s="420"/>
      <c r="N479" s="420"/>
      <c r="O479" s="420"/>
      <c r="P479" s="420"/>
      <c r="Q479" s="420"/>
      <c r="R479" s="420"/>
      <c r="S479" s="420"/>
      <c r="T479" s="420"/>
      <c r="U479" s="420"/>
      <c r="V479" s="420"/>
      <c r="W479" s="420"/>
      <c r="X479" s="420"/>
      <c r="Y479" s="420"/>
      <c r="Z479" s="420"/>
      <c r="AA479" s="420"/>
    </row>
    <row r="480">
      <c r="A480" s="420"/>
      <c r="B480" s="420"/>
      <c r="C480" s="420"/>
      <c r="D480" s="420"/>
      <c r="E480" s="420"/>
      <c r="F480" s="420"/>
      <c r="G480" s="420"/>
      <c r="H480" s="421"/>
      <c r="I480" s="420"/>
      <c r="J480" s="420"/>
      <c r="K480" s="420"/>
      <c r="L480" s="420"/>
      <c r="M480" s="420"/>
      <c r="N480" s="420"/>
      <c r="O480" s="420"/>
      <c r="P480" s="420"/>
      <c r="Q480" s="420"/>
      <c r="R480" s="420"/>
      <c r="S480" s="420"/>
      <c r="T480" s="420"/>
      <c r="U480" s="420"/>
      <c r="V480" s="420"/>
      <c r="W480" s="420"/>
      <c r="X480" s="420"/>
      <c r="Y480" s="420"/>
      <c r="Z480" s="420"/>
      <c r="AA480" s="420"/>
    </row>
    <row r="481">
      <c r="A481" s="420"/>
      <c r="B481" s="420"/>
      <c r="C481" s="420"/>
      <c r="D481" s="420"/>
      <c r="E481" s="420"/>
      <c r="F481" s="420"/>
      <c r="G481" s="420"/>
      <c r="H481" s="421"/>
      <c r="I481" s="420"/>
      <c r="J481" s="420"/>
      <c r="K481" s="420"/>
      <c r="L481" s="420"/>
      <c r="M481" s="420"/>
      <c r="N481" s="420"/>
      <c r="O481" s="420"/>
      <c r="P481" s="420"/>
      <c r="Q481" s="420"/>
      <c r="R481" s="420"/>
      <c r="S481" s="420"/>
      <c r="T481" s="420"/>
      <c r="U481" s="420"/>
      <c r="V481" s="420"/>
      <c r="W481" s="420"/>
      <c r="X481" s="420"/>
      <c r="Y481" s="420"/>
      <c r="Z481" s="420"/>
      <c r="AA481" s="420"/>
    </row>
    <row r="482">
      <c r="A482" s="420"/>
      <c r="B482" s="420"/>
      <c r="C482" s="420"/>
      <c r="D482" s="420"/>
      <c r="E482" s="420"/>
      <c r="F482" s="420"/>
      <c r="G482" s="420"/>
      <c r="H482" s="421"/>
      <c r="I482" s="420"/>
      <c r="J482" s="420"/>
      <c r="K482" s="420"/>
      <c r="L482" s="420"/>
      <c r="M482" s="420"/>
      <c r="N482" s="420"/>
      <c r="O482" s="420"/>
      <c r="P482" s="420"/>
      <c r="Q482" s="420"/>
      <c r="R482" s="420"/>
      <c r="S482" s="420"/>
      <c r="T482" s="420"/>
      <c r="U482" s="420"/>
      <c r="V482" s="420"/>
      <c r="W482" s="420"/>
      <c r="X482" s="420"/>
      <c r="Y482" s="420"/>
      <c r="Z482" s="420"/>
      <c r="AA482" s="420"/>
    </row>
    <row r="483">
      <c r="A483" s="420"/>
      <c r="B483" s="420"/>
      <c r="C483" s="420"/>
      <c r="D483" s="420"/>
      <c r="E483" s="420"/>
      <c r="F483" s="420"/>
      <c r="G483" s="420"/>
      <c r="H483" s="421"/>
      <c r="I483" s="420"/>
      <c r="J483" s="420"/>
      <c r="K483" s="420"/>
      <c r="L483" s="420"/>
      <c r="M483" s="420"/>
      <c r="N483" s="420"/>
      <c r="O483" s="420"/>
      <c r="P483" s="420"/>
      <c r="Q483" s="420"/>
      <c r="R483" s="420"/>
      <c r="S483" s="420"/>
      <c r="T483" s="420"/>
      <c r="U483" s="420"/>
      <c r="V483" s="420"/>
      <c r="W483" s="420"/>
      <c r="X483" s="420"/>
      <c r="Y483" s="420"/>
      <c r="Z483" s="420"/>
      <c r="AA483" s="420"/>
    </row>
    <row r="484">
      <c r="A484" s="420"/>
      <c r="B484" s="420"/>
      <c r="C484" s="420"/>
      <c r="D484" s="420"/>
      <c r="E484" s="420"/>
      <c r="F484" s="420"/>
      <c r="G484" s="420"/>
      <c r="H484" s="421"/>
      <c r="I484" s="420"/>
      <c r="J484" s="420"/>
      <c r="K484" s="420"/>
      <c r="L484" s="420"/>
      <c r="M484" s="420"/>
      <c r="N484" s="420"/>
      <c r="O484" s="420"/>
      <c r="P484" s="420"/>
      <c r="Q484" s="420"/>
      <c r="R484" s="420"/>
      <c r="S484" s="420"/>
      <c r="T484" s="420"/>
      <c r="U484" s="420"/>
      <c r="V484" s="420"/>
      <c r="W484" s="420"/>
      <c r="X484" s="420"/>
      <c r="Y484" s="420"/>
      <c r="Z484" s="420"/>
      <c r="AA484" s="420"/>
    </row>
    <row r="485">
      <c r="A485" s="420"/>
      <c r="B485" s="420"/>
      <c r="C485" s="420"/>
      <c r="D485" s="420"/>
      <c r="E485" s="420"/>
      <c r="F485" s="420"/>
      <c r="G485" s="420"/>
      <c r="H485" s="421"/>
      <c r="I485" s="420"/>
      <c r="J485" s="420"/>
      <c r="K485" s="420"/>
      <c r="L485" s="420"/>
      <c r="M485" s="420"/>
      <c r="N485" s="420"/>
      <c r="O485" s="420"/>
      <c r="P485" s="420"/>
      <c r="Q485" s="420"/>
      <c r="R485" s="420"/>
      <c r="S485" s="420"/>
      <c r="T485" s="420"/>
      <c r="U485" s="420"/>
      <c r="V485" s="420"/>
      <c r="W485" s="420"/>
      <c r="X485" s="420"/>
      <c r="Y485" s="420"/>
      <c r="Z485" s="420"/>
      <c r="AA485" s="420"/>
    </row>
    <row r="486">
      <c r="A486" s="420"/>
      <c r="B486" s="420"/>
      <c r="C486" s="420"/>
      <c r="D486" s="420"/>
      <c r="E486" s="420"/>
      <c r="F486" s="420"/>
      <c r="G486" s="420"/>
      <c r="H486" s="421"/>
      <c r="I486" s="420"/>
      <c r="J486" s="420"/>
      <c r="K486" s="420"/>
      <c r="L486" s="420"/>
      <c r="M486" s="420"/>
      <c r="N486" s="420"/>
      <c r="O486" s="420"/>
      <c r="P486" s="420"/>
      <c r="Q486" s="420"/>
      <c r="R486" s="420"/>
      <c r="S486" s="420"/>
      <c r="T486" s="420"/>
      <c r="U486" s="420"/>
      <c r="V486" s="420"/>
      <c r="W486" s="420"/>
      <c r="X486" s="420"/>
      <c r="Y486" s="420"/>
      <c r="Z486" s="420"/>
      <c r="AA486" s="420"/>
    </row>
    <row r="487">
      <c r="A487" s="420"/>
      <c r="B487" s="420"/>
      <c r="C487" s="420"/>
      <c r="D487" s="420"/>
      <c r="E487" s="420"/>
      <c r="F487" s="420"/>
      <c r="G487" s="420"/>
      <c r="H487" s="421"/>
      <c r="I487" s="420"/>
      <c r="J487" s="420"/>
      <c r="K487" s="420"/>
      <c r="L487" s="420"/>
      <c r="M487" s="420"/>
      <c r="N487" s="420"/>
      <c r="O487" s="420"/>
      <c r="P487" s="420"/>
      <c r="Q487" s="420"/>
      <c r="R487" s="420"/>
      <c r="S487" s="420"/>
      <c r="T487" s="420"/>
      <c r="U487" s="420"/>
      <c r="V487" s="420"/>
      <c r="W487" s="420"/>
      <c r="X487" s="420"/>
      <c r="Y487" s="420"/>
      <c r="Z487" s="420"/>
      <c r="AA487" s="420"/>
    </row>
    <row r="488">
      <c r="A488" s="420"/>
      <c r="B488" s="420"/>
      <c r="C488" s="420"/>
      <c r="D488" s="420"/>
      <c r="E488" s="420"/>
      <c r="F488" s="420"/>
      <c r="G488" s="420"/>
      <c r="H488" s="421"/>
      <c r="I488" s="420"/>
      <c r="J488" s="420"/>
      <c r="K488" s="420"/>
      <c r="L488" s="420"/>
      <c r="M488" s="420"/>
      <c r="N488" s="420"/>
      <c r="O488" s="420"/>
      <c r="P488" s="420"/>
      <c r="Q488" s="420"/>
      <c r="R488" s="420"/>
      <c r="S488" s="420"/>
      <c r="T488" s="420"/>
      <c r="U488" s="420"/>
      <c r="V488" s="420"/>
      <c r="W488" s="420"/>
      <c r="X488" s="420"/>
      <c r="Y488" s="420"/>
      <c r="Z488" s="420"/>
      <c r="AA488" s="420"/>
    </row>
    <row r="489">
      <c r="A489" s="420"/>
      <c r="B489" s="420"/>
      <c r="C489" s="420"/>
      <c r="D489" s="420"/>
      <c r="E489" s="420"/>
      <c r="F489" s="420"/>
      <c r="G489" s="420"/>
      <c r="H489" s="421"/>
      <c r="I489" s="420"/>
      <c r="J489" s="420"/>
      <c r="K489" s="420"/>
      <c r="L489" s="420"/>
      <c r="M489" s="420"/>
      <c r="N489" s="420"/>
      <c r="O489" s="420"/>
      <c r="P489" s="420"/>
      <c r="Q489" s="420"/>
      <c r="R489" s="420"/>
      <c r="S489" s="420"/>
      <c r="T489" s="420"/>
      <c r="U489" s="420"/>
      <c r="V489" s="420"/>
      <c r="W489" s="420"/>
      <c r="X489" s="420"/>
      <c r="Y489" s="420"/>
      <c r="Z489" s="420"/>
      <c r="AA489" s="420"/>
    </row>
    <row r="490">
      <c r="A490" s="420"/>
      <c r="B490" s="420"/>
      <c r="C490" s="420"/>
      <c r="D490" s="420"/>
      <c r="E490" s="420"/>
      <c r="F490" s="420"/>
      <c r="G490" s="420"/>
      <c r="H490" s="421"/>
      <c r="I490" s="420"/>
      <c r="J490" s="420"/>
      <c r="K490" s="420"/>
      <c r="L490" s="420"/>
      <c r="M490" s="420"/>
      <c r="N490" s="420"/>
      <c r="O490" s="420"/>
      <c r="P490" s="420"/>
      <c r="Q490" s="420"/>
      <c r="R490" s="420"/>
      <c r="S490" s="420"/>
      <c r="T490" s="420"/>
      <c r="U490" s="420"/>
      <c r="V490" s="420"/>
      <c r="W490" s="420"/>
      <c r="X490" s="420"/>
      <c r="Y490" s="420"/>
      <c r="Z490" s="420"/>
      <c r="AA490" s="420"/>
    </row>
    <row r="491">
      <c r="A491" s="420"/>
      <c r="B491" s="420"/>
      <c r="C491" s="420"/>
      <c r="D491" s="420"/>
      <c r="E491" s="420"/>
      <c r="F491" s="420"/>
      <c r="G491" s="420"/>
      <c r="H491" s="421"/>
      <c r="I491" s="420"/>
      <c r="J491" s="420"/>
      <c r="K491" s="420"/>
      <c r="L491" s="420"/>
      <c r="M491" s="420"/>
      <c r="N491" s="420"/>
      <c r="O491" s="420"/>
      <c r="P491" s="420"/>
      <c r="Q491" s="420"/>
      <c r="R491" s="420"/>
      <c r="S491" s="420"/>
      <c r="T491" s="420"/>
      <c r="U491" s="420"/>
      <c r="V491" s="420"/>
      <c r="W491" s="420"/>
      <c r="X491" s="420"/>
      <c r="Y491" s="420"/>
      <c r="Z491" s="420"/>
      <c r="AA491" s="420"/>
    </row>
    <row r="492">
      <c r="A492" s="420"/>
      <c r="B492" s="420"/>
      <c r="C492" s="420"/>
      <c r="D492" s="420"/>
      <c r="E492" s="420"/>
      <c r="F492" s="420"/>
      <c r="G492" s="420"/>
      <c r="H492" s="421"/>
      <c r="I492" s="420"/>
      <c r="J492" s="420"/>
      <c r="K492" s="420"/>
      <c r="L492" s="420"/>
      <c r="M492" s="420"/>
      <c r="N492" s="420"/>
      <c r="O492" s="420"/>
      <c r="P492" s="420"/>
      <c r="Q492" s="420"/>
      <c r="R492" s="420"/>
      <c r="S492" s="420"/>
      <c r="T492" s="420"/>
      <c r="U492" s="420"/>
      <c r="V492" s="420"/>
      <c r="W492" s="420"/>
      <c r="X492" s="420"/>
      <c r="Y492" s="420"/>
      <c r="Z492" s="420"/>
      <c r="AA492" s="420"/>
    </row>
    <row r="493">
      <c r="A493" s="420"/>
      <c r="B493" s="420"/>
      <c r="C493" s="420"/>
      <c r="D493" s="420"/>
      <c r="E493" s="420"/>
      <c r="F493" s="420"/>
      <c r="G493" s="420"/>
      <c r="H493" s="421"/>
      <c r="I493" s="420"/>
      <c r="J493" s="420"/>
      <c r="K493" s="420"/>
      <c r="L493" s="420"/>
      <c r="M493" s="420"/>
      <c r="N493" s="420"/>
      <c r="O493" s="420"/>
      <c r="P493" s="420"/>
      <c r="Q493" s="420"/>
      <c r="R493" s="420"/>
      <c r="S493" s="420"/>
      <c r="T493" s="420"/>
      <c r="U493" s="420"/>
      <c r="V493" s="420"/>
      <c r="W493" s="420"/>
      <c r="X493" s="420"/>
      <c r="Y493" s="420"/>
      <c r="Z493" s="420"/>
      <c r="AA493" s="420"/>
    </row>
    <row r="494">
      <c r="A494" s="420"/>
      <c r="B494" s="420"/>
      <c r="C494" s="420"/>
      <c r="D494" s="420"/>
      <c r="E494" s="420"/>
      <c r="F494" s="420"/>
      <c r="G494" s="420"/>
      <c r="H494" s="421"/>
      <c r="I494" s="420"/>
      <c r="J494" s="420"/>
      <c r="K494" s="420"/>
      <c r="L494" s="420"/>
      <c r="M494" s="420"/>
      <c r="N494" s="420"/>
      <c r="O494" s="420"/>
      <c r="P494" s="420"/>
      <c r="Q494" s="420"/>
      <c r="R494" s="420"/>
      <c r="S494" s="420"/>
      <c r="T494" s="420"/>
      <c r="U494" s="420"/>
      <c r="V494" s="420"/>
      <c r="W494" s="420"/>
      <c r="X494" s="420"/>
      <c r="Y494" s="420"/>
      <c r="Z494" s="420"/>
      <c r="AA494" s="420"/>
    </row>
    <row r="495">
      <c r="A495" s="420"/>
      <c r="B495" s="420"/>
      <c r="C495" s="420"/>
      <c r="D495" s="420"/>
      <c r="E495" s="420"/>
      <c r="F495" s="420"/>
      <c r="G495" s="420"/>
      <c r="H495" s="421"/>
      <c r="I495" s="420"/>
      <c r="J495" s="420"/>
      <c r="K495" s="420"/>
      <c r="L495" s="420"/>
      <c r="M495" s="420"/>
      <c r="N495" s="420"/>
      <c r="O495" s="420"/>
      <c r="P495" s="420"/>
      <c r="Q495" s="420"/>
      <c r="R495" s="420"/>
      <c r="S495" s="420"/>
      <c r="T495" s="420"/>
      <c r="U495" s="420"/>
      <c r="V495" s="420"/>
      <c r="W495" s="420"/>
      <c r="X495" s="420"/>
      <c r="Y495" s="420"/>
      <c r="Z495" s="420"/>
      <c r="AA495" s="420"/>
    </row>
    <row r="496">
      <c r="A496" s="420"/>
      <c r="B496" s="420"/>
      <c r="C496" s="420"/>
      <c r="D496" s="420"/>
      <c r="E496" s="420"/>
      <c r="F496" s="420"/>
      <c r="G496" s="420"/>
      <c r="H496" s="421"/>
      <c r="I496" s="420"/>
      <c r="J496" s="420"/>
      <c r="K496" s="420"/>
      <c r="L496" s="420"/>
      <c r="M496" s="420"/>
      <c r="N496" s="420"/>
      <c r="O496" s="420"/>
      <c r="P496" s="420"/>
      <c r="Q496" s="420"/>
      <c r="R496" s="420"/>
      <c r="S496" s="420"/>
      <c r="T496" s="420"/>
      <c r="U496" s="420"/>
      <c r="V496" s="420"/>
      <c r="W496" s="420"/>
      <c r="X496" s="420"/>
      <c r="Y496" s="420"/>
      <c r="Z496" s="420"/>
      <c r="AA496" s="420"/>
    </row>
    <row r="497">
      <c r="A497" s="420"/>
      <c r="B497" s="420"/>
      <c r="C497" s="420"/>
      <c r="D497" s="420"/>
      <c r="E497" s="420"/>
      <c r="F497" s="420"/>
      <c r="G497" s="420"/>
      <c r="H497" s="421"/>
      <c r="I497" s="420"/>
      <c r="J497" s="420"/>
      <c r="K497" s="420"/>
      <c r="L497" s="420"/>
      <c r="M497" s="420"/>
      <c r="N497" s="420"/>
      <c r="O497" s="420"/>
      <c r="P497" s="420"/>
      <c r="Q497" s="420"/>
      <c r="R497" s="420"/>
      <c r="S497" s="420"/>
      <c r="T497" s="420"/>
      <c r="U497" s="420"/>
      <c r="V497" s="420"/>
      <c r="W497" s="420"/>
      <c r="X497" s="420"/>
      <c r="Y497" s="420"/>
      <c r="Z497" s="420"/>
      <c r="AA497" s="420"/>
    </row>
    <row r="498">
      <c r="A498" s="420"/>
      <c r="B498" s="420"/>
      <c r="C498" s="420"/>
      <c r="D498" s="420"/>
      <c r="E498" s="420"/>
      <c r="F498" s="420"/>
      <c r="G498" s="420"/>
      <c r="H498" s="421"/>
      <c r="I498" s="420"/>
      <c r="J498" s="420"/>
      <c r="K498" s="420"/>
      <c r="L498" s="420"/>
      <c r="M498" s="420"/>
      <c r="N498" s="420"/>
      <c r="O498" s="420"/>
      <c r="P498" s="420"/>
      <c r="Q498" s="420"/>
      <c r="R498" s="420"/>
      <c r="S498" s="420"/>
      <c r="T498" s="420"/>
      <c r="U498" s="420"/>
      <c r="V498" s="420"/>
      <c r="W498" s="420"/>
      <c r="X498" s="420"/>
      <c r="Y498" s="420"/>
      <c r="Z498" s="420"/>
      <c r="AA498" s="420"/>
    </row>
    <row r="499">
      <c r="A499" s="420"/>
      <c r="B499" s="420"/>
      <c r="C499" s="420"/>
      <c r="D499" s="420"/>
      <c r="E499" s="420"/>
      <c r="F499" s="420"/>
      <c r="G499" s="420"/>
      <c r="H499" s="421"/>
      <c r="I499" s="420"/>
      <c r="J499" s="420"/>
      <c r="K499" s="420"/>
      <c r="L499" s="420"/>
      <c r="M499" s="420"/>
      <c r="N499" s="420"/>
      <c r="O499" s="420"/>
      <c r="P499" s="420"/>
      <c r="Q499" s="420"/>
      <c r="R499" s="420"/>
      <c r="S499" s="420"/>
      <c r="T499" s="420"/>
      <c r="U499" s="420"/>
      <c r="V499" s="420"/>
      <c r="W499" s="420"/>
      <c r="X499" s="420"/>
      <c r="Y499" s="420"/>
      <c r="Z499" s="420"/>
      <c r="AA499" s="420"/>
    </row>
    <row r="500">
      <c r="A500" s="420"/>
      <c r="B500" s="420"/>
      <c r="C500" s="420"/>
      <c r="D500" s="420"/>
      <c r="E500" s="420"/>
      <c r="F500" s="420"/>
      <c r="G500" s="420"/>
      <c r="H500" s="421"/>
      <c r="I500" s="420"/>
      <c r="J500" s="420"/>
      <c r="K500" s="420"/>
      <c r="L500" s="420"/>
      <c r="M500" s="420"/>
      <c r="N500" s="420"/>
      <c r="O500" s="420"/>
      <c r="P500" s="420"/>
      <c r="Q500" s="420"/>
      <c r="R500" s="420"/>
      <c r="S500" s="420"/>
      <c r="T500" s="420"/>
      <c r="U500" s="420"/>
      <c r="V500" s="420"/>
      <c r="W500" s="420"/>
      <c r="X500" s="420"/>
      <c r="Y500" s="420"/>
      <c r="Z500" s="420"/>
      <c r="AA500" s="420"/>
    </row>
    <row r="501">
      <c r="A501" s="420"/>
      <c r="B501" s="420"/>
      <c r="C501" s="420"/>
      <c r="D501" s="420"/>
      <c r="E501" s="420"/>
      <c r="F501" s="420"/>
      <c r="G501" s="420"/>
      <c r="H501" s="421"/>
      <c r="I501" s="420"/>
      <c r="J501" s="420"/>
      <c r="K501" s="420"/>
      <c r="L501" s="420"/>
      <c r="M501" s="420"/>
      <c r="N501" s="420"/>
      <c r="O501" s="420"/>
      <c r="P501" s="420"/>
      <c r="Q501" s="420"/>
      <c r="R501" s="420"/>
      <c r="S501" s="420"/>
      <c r="T501" s="420"/>
      <c r="U501" s="420"/>
      <c r="V501" s="420"/>
      <c r="W501" s="420"/>
      <c r="X501" s="420"/>
      <c r="Y501" s="420"/>
      <c r="Z501" s="420"/>
      <c r="AA501" s="420"/>
    </row>
    <row r="502">
      <c r="A502" s="420"/>
      <c r="B502" s="420"/>
      <c r="C502" s="420"/>
      <c r="D502" s="420"/>
      <c r="E502" s="420"/>
      <c r="F502" s="420"/>
      <c r="G502" s="420"/>
      <c r="H502" s="421"/>
      <c r="I502" s="420"/>
      <c r="J502" s="420"/>
      <c r="K502" s="420"/>
      <c r="L502" s="420"/>
      <c r="M502" s="420"/>
      <c r="N502" s="420"/>
      <c r="O502" s="420"/>
      <c r="P502" s="420"/>
      <c r="Q502" s="420"/>
      <c r="R502" s="420"/>
      <c r="S502" s="420"/>
      <c r="T502" s="420"/>
      <c r="U502" s="420"/>
      <c r="V502" s="420"/>
      <c r="W502" s="420"/>
      <c r="X502" s="420"/>
      <c r="Y502" s="420"/>
      <c r="Z502" s="420"/>
      <c r="AA502" s="420"/>
    </row>
    <row r="503">
      <c r="A503" s="420"/>
      <c r="B503" s="420"/>
      <c r="C503" s="420"/>
      <c r="D503" s="420"/>
      <c r="E503" s="420"/>
      <c r="F503" s="420"/>
      <c r="G503" s="420"/>
      <c r="H503" s="421"/>
      <c r="I503" s="420"/>
      <c r="J503" s="420"/>
      <c r="K503" s="420"/>
      <c r="L503" s="420"/>
      <c r="M503" s="420"/>
      <c r="N503" s="420"/>
      <c r="O503" s="420"/>
      <c r="P503" s="420"/>
      <c r="Q503" s="420"/>
      <c r="R503" s="420"/>
      <c r="S503" s="420"/>
      <c r="T503" s="420"/>
      <c r="U503" s="420"/>
      <c r="V503" s="420"/>
      <c r="W503" s="420"/>
      <c r="X503" s="420"/>
      <c r="Y503" s="420"/>
      <c r="Z503" s="420"/>
      <c r="AA503" s="420"/>
    </row>
    <row r="504">
      <c r="A504" s="420"/>
      <c r="B504" s="420"/>
      <c r="C504" s="420"/>
      <c r="D504" s="420"/>
      <c r="E504" s="420"/>
      <c r="F504" s="420"/>
      <c r="G504" s="420"/>
      <c r="H504" s="421"/>
      <c r="I504" s="420"/>
      <c r="J504" s="420"/>
      <c r="K504" s="420"/>
      <c r="L504" s="420"/>
      <c r="M504" s="420"/>
      <c r="N504" s="420"/>
      <c r="O504" s="420"/>
      <c r="P504" s="420"/>
      <c r="Q504" s="420"/>
      <c r="R504" s="420"/>
      <c r="S504" s="420"/>
      <c r="T504" s="420"/>
      <c r="U504" s="420"/>
      <c r="V504" s="420"/>
      <c r="W504" s="420"/>
      <c r="X504" s="420"/>
      <c r="Y504" s="420"/>
      <c r="Z504" s="420"/>
      <c r="AA504" s="420"/>
    </row>
    <row r="505">
      <c r="A505" s="420"/>
      <c r="B505" s="420"/>
      <c r="C505" s="420"/>
      <c r="D505" s="420"/>
      <c r="E505" s="420"/>
      <c r="F505" s="420"/>
      <c r="G505" s="420"/>
      <c r="H505" s="421"/>
      <c r="I505" s="420"/>
      <c r="J505" s="420"/>
      <c r="K505" s="420"/>
      <c r="L505" s="420"/>
      <c r="M505" s="420"/>
      <c r="N505" s="420"/>
      <c r="O505" s="420"/>
      <c r="P505" s="420"/>
      <c r="Q505" s="420"/>
      <c r="R505" s="420"/>
      <c r="S505" s="420"/>
      <c r="T505" s="420"/>
      <c r="U505" s="420"/>
      <c r="V505" s="420"/>
      <c r="W505" s="420"/>
      <c r="X505" s="420"/>
      <c r="Y505" s="420"/>
      <c r="Z505" s="420"/>
      <c r="AA505" s="420"/>
    </row>
    <row r="506">
      <c r="A506" s="420"/>
      <c r="B506" s="420"/>
      <c r="C506" s="420"/>
      <c r="D506" s="420"/>
      <c r="E506" s="420"/>
      <c r="F506" s="420"/>
      <c r="G506" s="420"/>
      <c r="H506" s="421"/>
      <c r="I506" s="420"/>
      <c r="J506" s="420"/>
      <c r="K506" s="420"/>
      <c r="L506" s="420"/>
      <c r="M506" s="420"/>
      <c r="N506" s="420"/>
      <c r="O506" s="420"/>
      <c r="P506" s="420"/>
      <c r="Q506" s="420"/>
      <c r="R506" s="420"/>
      <c r="S506" s="420"/>
      <c r="T506" s="420"/>
      <c r="U506" s="420"/>
      <c r="V506" s="420"/>
      <c r="W506" s="420"/>
      <c r="X506" s="420"/>
      <c r="Y506" s="420"/>
      <c r="Z506" s="420"/>
      <c r="AA506" s="420"/>
    </row>
    <row r="507">
      <c r="A507" s="420"/>
      <c r="B507" s="420"/>
      <c r="C507" s="420"/>
      <c r="D507" s="420"/>
      <c r="E507" s="420"/>
      <c r="F507" s="420"/>
      <c r="G507" s="420"/>
      <c r="H507" s="421"/>
      <c r="I507" s="420"/>
      <c r="J507" s="420"/>
      <c r="K507" s="420"/>
      <c r="L507" s="420"/>
      <c r="M507" s="420"/>
      <c r="N507" s="420"/>
      <c r="O507" s="420"/>
      <c r="P507" s="420"/>
      <c r="Q507" s="420"/>
      <c r="R507" s="420"/>
      <c r="S507" s="420"/>
      <c r="T507" s="420"/>
      <c r="U507" s="420"/>
      <c r="V507" s="420"/>
      <c r="W507" s="420"/>
      <c r="X507" s="420"/>
      <c r="Y507" s="420"/>
      <c r="Z507" s="420"/>
      <c r="AA507" s="420"/>
    </row>
    <row r="508">
      <c r="A508" s="420"/>
      <c r="B508" s="420"/>
      <c r="C508" s="420"/>
      <c r="D508" s="420"/>
      <c r="E508" s="420"/>
      <c r="F508" s="420"/>
      <c r="G508" s="420"/>
      <c r="H508" s="421"/>
      <c r="I508" s="420"/>
      <c r="J508" s="420"/>
      <c r="K508" s="420"/>
      <c r="L508" s="420"/>
      <c r="M508" s="420"/>
      <c r="N508" s="420"/>
      <c r="O508" s="420"/>
      <c r="P508" s="420"/>
      <c r="Q508" s="420"/>
      <c r="R508" s="420"/>
      <c r="S508" s="420"/>
      <c r="T508" s="420"/>
      <c r="U508" s="420"/>
      <c r="V508" s="420"/>
      <c r="W508" s="420"/>
      <c r="X508" s="420"/>
      <c r="Y508" s="420"/>
      <c r="Z508" s="420"/>
      <c r="AA508" s="420"/>
    </row>
    <row r="509">
      <c r="A509" s="420"/>
      <c r="B509" s="420"/>
      <c r="C509" s="420"/>
      <c r="D509" s="420"/>
      <c r="E509" s="420"/>
      <c r="F509" s="420"/>
      <c r="G509" s="420"/>
      <c r="H509" s="421"/>
      <c r="I509" s="420"/>
      <c r="J509" s="420"/>
      <c r="K509" s="420"/>
      <c r="L509" s="420"/>
      <c r="M509" s="420"/>
      <c r="N509" s="420"/>
      <c r="O509" s="420"/>
      <c r="P509" s="420"/>
      <c r="Q509" s="420"/>
      <c r="R509" s="420"/>
      <c r="S509" s="420"/>
      <c r="T509" s="420"/>
      <c r="U509" s="420"/>
      <c r="V509" s="420"/>
      <c r="W509" s="420"/>
      <c r="X509" s="420"/>
      <c r="Y509" s="420"/>
      <c r="Z509" s="420"/>
      <c r="AA509" s="420"/>
    </row>
    <row r="510">
      <c r="A510" s="420"/>
      <c r="B510" s="420"/>
      <c r="C510" s="420"/>
      <c r="D510" s="420"/>
      <c r="E510" s="420"/>
      <c r="F510" s="420"/>
      <c r="G510" s="420"/>
      <c r="H510" s="421"/>
      <c r="I510" s="420"/>
      <c r="J510" s="420"/>
      <c r="K510" s="420"/>
      <c r="L510" s="420"/>
      <c r="M510" s="420"/>
      <c r="N510" s="420"/>
      <c r="O510" s="420"/>
      <c r="P510" s="420"/>
      <c r="Q510" s="420"/>
      <c r="R510" s="420"/>
      <c r="S510" s="420"/>
      <c r="T510" s="420"/>
      <c r="U510" s="420"/>
      <c r="V510" s="420"/>
      <c r="W510" s="420"/>
      <c r="X510" s="420"/>
      <c r="Y510" s="420"/>
      <c r="Z510" s="420"/>
      <c r="AA510" s="420"/>
    </row>
    <row r="511">
      <c r="A511" s="420"/>
      <c r="B511" s="420"/>
      <c r="C511" s="420"/>
      <c r="D511" s="420"/>
      <c r="E511" s="420"/>
      <c r="F511" s="420"/>
      <c r="G511" s="420"/>
      <c r="H511" s="421"/>
      <c r="I511" s="420"/>
      <c r="J511" s="420"/>
      <c r="K511" s="420"/>
      <c r="L511" s="420"/>
      <c r="M511" s="420"/>
      <c r="N511" s="420"/>
      <c r="O511" s="420"/>
      <c r="P511" s="420"/>
      <c r="Q511" s="420"/>
      <c r="R511" s="420"/>
      <c r="S511" s="420"/>
      <c r="T511" s="420"/>
      <c r="U511" s="420"/>
      <c r="V511" s="420"/>
      <c r="W511" s="420"/>
      <c r="X511" s="420"/>
      <c r="Y511" s="420"/>
      <c r="Z511" s="420"/>
      <c r="AA511" s="420"/>
    </row>
    <row r="512">
      <c r="A512" s="420"/>
      <c r="B512" s="420"/>
      <c r="C512" s="420"/>
      <c r="D512" s="420"/>
      <c r="E512" s="420"/>
      <c r="F512" s="420"/>
      <c r="G512" s="420"/>
      <c r="H512" s="421"/>
      <c r="I512" s="420"/>
      <c r="J512" s="420"/>
      <c r="K512" s="420"/>
      <c r="L512" s="420"/>
      <c r="M512" s="420"/>
      <c r="N512" s="420"/>
      <c r="O512" s="420"/>
      <c r="P512" s="420"/>
      <c r="Q512" s="420"/>
      <c r="R512" s="420"/>
      <c r="S512" s="420"/>
      <c r="T512" s="420"/>
      <c r="U512" s="420"/>
      <c r="V512" s="420"/>
      <c r="W512" s="420"/>
      <c r="X512" s="420"/>
      <c r="Y512" s="420"/>
      <c r="Z512" s="420"/>
      <c r="AA512" s="420"/>
    </row>
    <row r="513">
      <c r="A513" s="420"/>
      <c r="B513" s="420"/>
      <c r="C513" s="420"/>
      <c r="D513" s="420"/>
      <c r="E513" s="420"/>
      <c r="F513" s="420"/>
      <c r="G513" s="420"/>
      <c r="H513" s="421"/>
      <c r="I513" s="420"/>
      <c r="J513" s="420"/>
      <c r="K513" s="420"/>
      <c r="L513" s="420"/>
      <c r="M513" s="420"/>
      <c r="N513" s="420"/>
      <c r="O513" s="420"/>
      <c r="P513" s="420"/>
      <c r="Q513" s="420"/>
      <c r="R513" s="420"/>
      <c r="S513" s="420"/>
      <c r="T513" s="420"/>
      <c r="U513" s="420"/>
      <c r="V513" s="420"/>
      <c r="W513" s="420"/>
      <c r="X513" s="420"/>
      <c r="Y513" s="420"/>
      <c r="Z513" s="420"/>
      <c r="AA513" s="420"/>
    </row>
    <row r="514">
      <c r="A514" s="420"/>
      <c r="B514" s="420"/>
      <c r="C514" s="420"/>
      <c r="D514" s="420"/>
      <c r="E514" s="420"/>
      <c r="F514" s="420"/>
      <c r="G514" s="420"/>
      <c r="H514" s="421"/>
      <c r="I514" s="420"/>
      <c r="J514" s="420"/>
      <c r="K514" s="420"/>
      <c r="L514" s="420"/>
      <c r="M514" s="420"/>
      <c r="N514" s="420"/>
      <c r="O514" s="420"/>
      <c r="P514" s="420"/>
      <c r="Q514" s="420"/>
      <c r="R514" s="420"/>
      <c r="S514" s="420"/>
      <c r="T514" s="420"/>
      <c r="U514" s="420"/>
      <c r="V514" s="420"/>
      <c r="W514" s="420"/>
      <c r="X514" s="420"/>
      <c r="Y514" s="420"/>
      <c r="Z514" s="420"/>
      <c r="AA514" s="420"/>
    </row>
    <row r="515">
      <c r="A515" s="420"/>
      <c r="B515" s="420"/>
      <c r="C515" s="420"/>
      <c r="D515" s="420"/>
      <c r="E515" s="420"/>
      <c r="F515" s="420"/>
      <c r="G515" s="420"/>
      <c r="H515" s="421"/>
      <c r="I515" s="420"/>
      <c r="J515" s="420"/>
      <c r="K515" s="420"/>
      <c r="L515" s="420"/>
      <c r="M515" s="420"/>
      <c r="N515" s="420"/>
      <c r="O515" s="420"/>
      <c r="P515" s="420"/>
      <c r="Q515" s="420"/>
      <c r="R515" s="420"/>
      <c r="S515" s="420"/>
      <c r="T515" s="420"/>
      <c r="U515" s="420"/>
      <c r="V515" s="420"/>
      <c r="W515" s="420"/>
      <c r="X515" s="420"/>
      <c r="Y515" s="420"/>
      <c r="Z515" s="420"/>
      <c r="AA515" s="420"/>
    </row>
    <row r="516">
      <c r="A516" s="420"/>
      <c r="B516" s="420"/>
      <c r="C516" s="420"/>
      <c r="D516" s="420"/>
      <c r="E516" s="420"/>
      <c r="F516" s="420"/>
      <c r="G516" s="420"/>
      <c r="H516" s="421"/>
      <c r="I516" s="420"/>
      <c r="J516" s="420"/>
      <c r="K516" s="420"/>
      <c r="L516" s="420"/>
      <c r="M516" s="420"/>
      <c r="N516" s="420"/>
      <c r="O516" s="420"/>
      <c r="P516" s="420"/>
      <c r="Q516" s="420"/>
      <c r="R516" s="420"/>
      <c r="S516" s="420"/>
      <c r="T516" s="420"/>
      <c r="U516" s="420"/>
      <c r="V516" s="420"/>
      <c r="W516" s="420"/>
      <c r="X516" s="420"/>
      <c r="Y516" s="420"/>
      <c r="Z516" s="420"/>
      <c r="AA516" s="420"/>
    </row>
    <row r="517">
      <c r="A517" s="420"/>
      <c r="B517" s="420"/>
      <c r="C517" s="420"/>
      <c r="D517" s="420"/>
      <c r="E517" s="420"/>
      <c r="F517" s="420"/>
      <c r="G517" s="420"/>
      <c r="H517" s="421"/>
      <c r="I517" s="420"/>
      <c r="J517" s="420"/>
      <c r="K517" s="420"/>
      <c r="L517" s="420"/>
      <c r="M517" s="420"/>
      <c r="N517" s="420"/>
      <c r="O517" s="420"/>
      <c r="P517" s="420"/>
      <c r="Q517" s="420"/>
      <c r="R517" s="420"/>
      <c r="S517" s="420"/>
      <c r="T517" s="420"/>
      <c r="U517" s="420"/>
      <c r="V517" s="420"/>
      <c r="W517" s="420"/>
      <c r="X517" s="420"/>
      <c r="Y517" s="420"/>
      <c r="Z517" s="420"/>
      <c r="AA517" s="420"/>
    </row>
    <row r="518">
      <c r="A518" s="420"/>
      <c r="B518" s="420"/>
      <c r="C518" s="420"/>
      <c r="D518" s="420"/>
      <c r="E518" s="420"/>
      <c r="F518" s="420"/>
      <c r="G518" s="420"/>
      <c r="H518" s="421"/>
      <c r="I518" s="420"/>
      <c r="J518" s="420"/>
      <c r="K518" s="420"/>
      <c r="L518" s="420"/>
      <c r="M518" s="420"/>
      <c r="N518" s="420"/>
      <c r="O518" s="420"/>
      <c r="P518" s="420"/>
      <c r="Q518" s="420"/>
      <c r="R518" s="420"/>
      <c r="S518" s="420"/>
      <c r="T518" s="420"/>
      <c r="U518" s="420"/>
      <c r="V518" s="420"/>
      <c r="W518" s="420"/>
      <c r="X518" s="420"/>
      <c r="Y518" s="420"/>
      <c r="Z518" s="420"/>
      <c r="AA518" s="420"/>
    </row>
    <row r="519">
      <c r="A519" s="420"/>
      <c r="B519" s="420"/>
      <c r="C519" s="420"/>
      <c r="D519" s="420"/>
      <c r="E519" s="420"/>
      <c r="F519" s="420"/>
      <c r="G519" s="420"/>
      <c r="H519" s="421"/>
      <c r="I519" s="420"/>
      <c r="J519" s="420"/>
      <c r="K519" s="420"/>
      <c r="L519" s="420"/>
      <c r="M519" s="420"/>
      <c r="N519" s="420"/>
      <c r="O519" s="420"/>
      <c r="P519" s="420"/>
      <c r="Q519" s="420"/>
      <c r="R519" s="420"/>
      <c r="S519" s="420"/>
      <c r="T519" s="420"/>
      <c r="U519" s="420"/>
      <c r="V519" s="420"/>
      <c r="W519" s="420"/>
      <c r="X519" s="420"/>
      <c r="Y519" s="420"/>
      <c r="Z519" s="420"/>
      <c r="AA519" s="420"/>
    </row>
    <row r="520">
      <c r="A520" s="420"/>
      <c r="B520" s="420"/>
      <c r="C520" s="420"/>
      <c r="D520" s="420"/>
      <c r="E520" s="420"/>
      <c r="F520" s="420"/>
      <c r="G520" s="420"/>
      <c r="H520" s="421"/>
      <c r="I520" s="420"/>
      <c r="J520" s="420"/>
      <c r="K520" s="420"/>
      <c r="L520" s="420"/>
      <c r="M520" s="420"/>
      <c r="N520" s="420"/>
      <c r="O520" s="420"/>
      <c r="P520" s="420"/>
      <c r="Q520" s="420"/>
      <c r="R520" s="420"/>
      <c r="S520" s="420"/>
      <c r="T520" s="420"/>
      <c r="U520" s="420"/>
      <c r="V520" s="420"/>
      <c r="W520" s="420"/>
      <c r="X520" s="420"/>
      <c r="Y520" s="420"/>
      <c r="Z520" s="420"/>
      <c r="AA520" s="420"/>
    </row>
    <row r="521">
      <c r="A521" s="420"/>
      <c r="B521" s="420"/>
      <c r="C521" s="420"/>
      <c r="D521" s="420"/>
      <c r="E521" s="420"/>
      <c r="F521" s="420"/>
      <c r="G521" s="420"/>
      <c r="H521" s="421"/>
      <c r="I521" s="420"/>
      <c r="J521" s="420"/>
      <c r="K521" s="420"/>
      <c r="L521" s="420"/>
      <c r="M521" s="420"/>
      <c r="N521" s="420"/>
      <c r="O521" s="420"/>
      <c r="P521" s="420"/>
      <c r="Q521" s="420"/>
      <c r="R521" s="420"/>
      <c r="S521" s="420"/>
      <c r="T521" s="420"/>
      <c r="U521" s="420"/>
      <c r="V521" s="420"/>
      <c r="W521" s="420"/>
      <c r="X521" s="420"/>
      <c r="Y521" s="420"/>
      <c r="Z521" s="420"/>
      <c r="AA521" s="420"/>
    </row>
    <row r="522">
      <c r="A522" s="420"/>
      <c r="B522" s="420"/>
      <c r="C522" s="420"/>
      <c r="D522" s="420"/>
      <c r="E522" s="420"/>
      <c r="F522" s="420"/>
      <c r="G522" s="420"/>
      <c r="H522" s="421"/>
      <c r="I522" s="420"/>
      <c r="J522" s="420"/>
      <c r="K522" s="420"/>
      <c r="L522" s="420"/>
      <c r="M522" s="420"/>
      <c r="N522" s="420"/>
      <c r="O522" s="420"/>
      <c r="P522" s="420"/>
      <c r="Q522" s="420"/>
      <c r="R522" s="420"/>
      <c r="S522" s="420"/>
      <c r="T522" s="420"/>
      <c r="U522" s="420"/>
      <c r="V522" s="420"/>
      <c r="W522" s="420"/>
      <c r="X522" s="420"/>
      <c r="Y522" s="420"/>
      <c r="Z522" s="420"/>
      <c r="AA522" s="420"/>
    </row>
    <row r="523">
      <c r="A523" s="420"/>
      <c r="B523" s="420"/>
      <c r="C523" s="420"/>
      <c r="D523" s="420"/>
      <c r="E523" s="420"/>
      <c r="F523" s="420"/>
      <c r="G523" s="420"/>
      <c r="H523" s="421"/>
      <c r="I523" s="420"/>
      <c r="J523" s="420"/>
      <c r="K523" s="420"/>
      <c r="L523" s="420"/>
      <c r="M523" s="420"/>
      <c r="N523" s="420"/>
      <c r="O523" s="420"/>
      <c r="P523" s="420"/>
      <c r="Q523" s="420"/>
      <c r="R523" s="420"/>
      <c r="S523" s="420"/>
      <c r="T523" s="420"/>
      <c r="U523" s="420"/>
      <c r="V523" s="420"/>
      <c r="W523" s="420"/>
      <c r="X523" s="420"/>
      <c r="Y523" s="420"/>
      <c r="Z523" s="420"/>
      <c r="AA523" s="420"/>
    </row>
    <row r="524">
      <c r="A524" s="420"/>
      <c r="B524" s="420"/>
      <c r="C524" s="420"/>
      <c r="D524" s="420"/>
      <c r="E524" s="420"/>
      <c r="F524" s="420"/>
      <c r="G524" s="420"/>
      <c r="H524" s="421"/>
      <c r="I524" s="420"/>
      <c r="J524" s="420"/>
      <c r="K524" s="420"/>
      <c r="L524" s="420"/>
      <c r="M524" s="420"/>
      <c r="N524" s="420"/>
      <c r="O524" s="420"/>
      <c r="P524" s="420"/>
      <c r="Q524" s="420"/>
      <c r="R524" s="420"/>
      <c r="S524" s="420"/>
      <c r="T524" s="420"/>
      <c r="U524" s="420"/>
      <c r="V524" s="420"/>
      <c r="W524" s="420"/>
      <c r="X524" s="420"/>
      <c r="Y524" s="420"/>
      <c r="Z524" s="420"/>
      <c r="AA524" s="420"/>
    </row>
    <row r="525">
      <c r="A525" s="420"/>
      <c r="B525" s="420"/>
      <c r="C525" s="420"/>
      <c r="D525" s="420"/>
      <c r="E525" s="420"/>
      <c r="F525" s="420"/>
      <c r="G525" s="420"/>
      <c r="H525" s="421"/>
      <c r="I525" s="420"/>
      <c r="J525" s="420"/>
      <c r="K525" s="420"/>
      <c r="L525" s="420"/>
      <c r="M525" s="420"/>
      <c r="N525" s="420"/>
      <c r="O525" s="420"/>
      <c r="P525" s="420"/>
      <c r="Q525" s="420"/>
      <c r="R525" s="420"/>
      <c r="S525" s="420"/>
      <c r="T525" s="420"/>
      <c r="U525" s="420"/>
      <c r="V525" s="420"/>
      <c r="W525" s="420"/>
      <c r="X525" s="420"/>
      <c r="Y525" s="420"/>
      <c r="Z525" s="420"/>
      <c r="AA525" s="420"/>
    </row>
    <row r="526">
      <c r="A526" s="420"/>
      <c r="B526" s="420"/>
      <c r="C526" s="420"/>
      <c r="D526" s="420"/>
      <c r="E526" s="420"/>
      <c r="F526" s="420"/>
      <c r="G526" s="420"/>
      <c r="H526" s="421"/>
      <c r="I526" s="420"/>
      <c r="J526" s="420"/>
      <c r="K526" s="420"/>
      <c r="L526" s="420"/>
      <c r="M526" s="420"/>
      <c r="N526" s="420"/>
      <c r="O526" s="420"/>
      <c r="P526" s="420"/>
      <c r="Q526" s="420"/>
      <c r="R526" s="420"/>
      <c r="S526" s="420"/>
      <c r="T526" s="420"/>
      <c r="U526" s="420"/>
      <c r="V526" s="420"/>
      <c r="W526" s="420"/>
      <c r="X526" s="420"/>
      <c r="Y526" s="420"/>
      <c r="Z526" s="420"/>
      <c r="AA526" s="420"/>
    </row>
    <row r="527">
      <c r="A527" s="420"/>
      <c r="B527" s="420"/>
      <c r="C527" s="420"/>
      <c r="D527" s="420"/>
      <c r="E527" s="420"/>
      <c r="F527" s="420"/>
      <c r="G527" s="420"/>
      <c r="H527" s="421"/>
      <c r="I527" s="420"/>
      <c r="J527" s="420"/>
      <c r="K527" s="420"/>
      <c r="L527" s="420"/>
      <c r="M527" s="420"/>
      <c r="N527" s="420"/>
      <c r="O527" s="420"/>
      <c r="P527" s="420"/>
      <c r="Q527" s="420"/>
      <c r="R527" s="420"/>
      <c r="S527" s="420"/>
      <c r="T527" s="420"/>
      <c r="U527" s="420"/>
      <c r="V527" s="420"/>
      <c r="W527" s="420"/>
      <c r="X527" s="420"/>
      <c r="Y527" s="420"/>
      <c r="Z527" s="420"/>
      <c r="AA527" s="420"/>
    </row>
    <row r="528">
      <c r="A528" s="420"/>
      <c r="B528" s="420"/>
      <c r="C528" s="420"/>
      <c r="D528" s="420"/>
      <c r="E528" s="420"/>
      <c r="F528" s="420"/>
      <c r="G528" s="420"/>
      <c r="H528" s="421"/>
      <c r="I528" s="420"/>
      <c r="J528" s="420"/>
      <c r="K528" s="420"/>
      <c r="L528" s="420"/>
      <c r="M528" s="420"/>
      <c r="N528" s="420"/>
      <c r="O528" s="420"/>
      <c r="P528" s="420"/>
      <c r="Q528" s="420"/>
      <c r="R528" s="420"/>
      <c r="S528" s="420"/>
      <c r="T528" s="420"/>
      <c r="U528" s="420"/>
      <c r="V528" s="420"/>
      <c r="W528" s="420"/>
      <c r="X528" s="420"/>
      <c r="Y528" s="420"/>
      <c r="Z528" s="420"/>
      <c r="AA528" s="420"/>
    </row>
    <row r="529">
      <c r="A529" s="420"/>
      <c r="B529" s="420"/>
      <c r="C529" s="420"/>
      <c r="D529" s="420"/>
      <c r="E529" s="420"/>
      <c r="F529" s="420"/>
      <c r="G529" s="420"/>
      <c r="H529" s="421"/>
      <c r="I529" s="420"/>
      <c r="J529" s="420"/>
      <c r="K529" s="420"/>
      <c r="L529" s="420"/>
      <c r="M529" s="420"/>
      <c r="N529" s="420"/>
      <c r="O529" s="420"/>
      <c r="P529" s="420"/>
      <c r="Q529" s="420"/>
      <c r="R529" s="420"/>
      <c r="S529" s="420"/>
      <c r="T529" s="420"/>
      <c r="U529" s="420"/>
      <c r="V529" s="420"/>
      <c r="W529" s="420"/>
      <c r="X529" s="420"/>
      <c r="Y529" s="420"/>
      <c r="Z529" s="420"/>
      <c r="AA529" s="420"/>
    </row>
    <row r="530">
      <c r="A530" s="420"/>
      <c r="B530" s="420"/>
      <c r="C530" s="420"/>
      <c r="D530" s="420"/>
      <c r="E530" s="420"/>
      <c r="F530" s="420"/>
      <c r="G530" s="420"/>
      <c r="H530" s="421"/>
      <c r="I530" s="420"/>
      <c r="J530" s="420"/>
      <c r="K530" s="420"/>
      <c r="L530" s="420"/>
      <c r="M530" s="420"/>
      <c r="N530" s="420"/>
      <c r="O530" s="420"/>
      <c r="P530" s="420"/>
      <c r="Q530" s="420"/>
      <c r="R530" s="420"/>
      <c r="S530" s="420"/>
      <c r="T530" s="420"/>
      <c r="U530" s="420"/>
      <c r="V530" s="420"/>
      <c r="W530" s="420"/>
      <c r="X530" s="420"/>
      <c r="Y530" s="420"/>
      <c r="Z530" s="420"/>
      <c r="AA530" s="420"/>
    </row>
    <row r="531">
      <c r="A531" s="420"/>
      <c r="B531" s="420"/>
      <c r="C531" s="420"/>
      <c r="D531" s="420"/>
      <c r="E531" s="420"/>
      <c r="F531" s="420"/>
      <c r="G531" s="420"/>
      <c r="H531" s="421"/>
      <c r="I531" s="420"/>
      <c r="J531" s="420"/>
      <c r="K531" s="420"/>
      <c r="L531" s="420"/>
      <c r="M531" s="420"/>
      <c r="N531" s="420"/>
      <c r="O531" s="420"/>
      <c r="P531" s="420"/>
      <c r="Q531" s="420"/>
      <c r="R531" s="420"/>
      <c r="S531" s="420"/>
      <c r="T531" s="420"/>
      <c r="U531" s="420"/>
      <c r="V531" s="420"/>
      <c r="W531" s="420"/>
      <c r="X531" s="420"/>
      <c r="Y531" s="420"/>
      <c r="Z531" s="420"/>
      <c r="AA531" s="420"/>
    </row>
    <row r="532">
      <c r="A532" s="420"/>
      <c r="B532" s="420"/>
      <c r="C532" s="420"/>
      <c r="D532" s="420"/>
      <c r="E532" s="420"/>
      <c r="F532" s="420"/>
      <c r="G532" s="420"/>
      <c r="H532" s="421"/>
      <c r="I532" s="420"/>
      <c r="J532" s="420"/>
      <c r="K532" s="420"/>
      <c r="L532" s="420"/>
      <c r="M532" s="420"/>
      <c r="N532" s="420"/>
      <c r="O532" s="420"/>
      <c r="P532" s="420"/>
      <c r="Q532" s="420"/>
      <c r="R532" s="420"/>
      <c r="S532" s="420"/>
      <c r="T532" s="420"/>
      <c r="U532" s="420"/>
      <c r="V532" s="420"/>
      <c r="W532" s="420"/>
      <c r="X532" s="420"/>
      <c r="Y532" s="420"/>
      <c r="Z532" s="420"/>
      <c r="AA532" s="420"/>
    </row>
    <row r="533">
      <c r="A533" s="420"/>
      <c r="B533" s="420"/>
      <c r="C533" s="420"/>
      <c r="D533" s="420"/>
      <c r="E533" s="420"/>
      <c r="F533" s="420"/>
      <c r="G533" s="420"/>
      <c r="H533" s="421"/>
      <c r="I533" s="420"/>
      <c r="J533" s="420"/>
      <c r="K533" s="420"/>
      <c r="L533" s="420"/>
      <c r="M533" s="420"/>
      <c r="N533" s="420"/>
      <c r="O533" s="420"/>
      <c r="P533" s="420"/>
      <c r="Q533" s="420"/>
      <c r="R533" s="420"/>
      <c r="S533" s="420"/>
      <c r="T533" s="420"/>
      <c r="U533" s="420"/>
      <c r="V533" s="420"/>
      <c r="W533" s="420"/>
      <c r="X533" s="420"/>
      <c r="Y533" s="420"/>
      <c r="Z533" s="420"/>
      <c r="AA533" s="420"/>
    </row>
    <row r="534">
      <c r="A534" s="420"/>
      <c r="B534" s="420"/>
      <c r="C534" s="420"/>
      <c r="D534" s="420"/>
      <c r="E534" s="420"/>
      <c r="F534" s="420"/>
      <c r="G534" s="420"/>
      <c r="H534" s="421"/>
      <c r="I534" s="420"/>
      <c r="J534" s="420"/>
      <c r="K534" s="420"/>
      <c r="L534" s="420"/>
      <c r="M534" s="420"/>
      <c r="N534" s="420"/>
      <c r="O534" s="420"/>
      <c r="P534" s="420"/>
      <c r="Q534" s="420"/>
      <c r="R534" s="420"/>
      <c r="S534" s="420"/>
      <c r="T534" s="420"/>
      <c r="U534" s="420"/>
      <c r="V534" s="420"/>
      <c r="W534" s="420"/>
      <c r="X534" s="420"/>
      <c r="Y534" s="420"/>
      <c r="Z534" s="420"/>
      <c r="AA534" s="420"/>
    </row>
    <row r="535">
      <c r="A535" s="420"/>
      <c r="B535" s="420"/>
      <c r="C535" s="420"/>
      <c r="D535" s="420"/>
      <c r="E535" s="420"/>
      <c r="F535" s="420"/>
      <c r="G535" s="420"/>
      <c r="H535" s="421"/>
      <c r="I535" s="420"/>
      <c r="J535" s="420"/>
      <c r="K535" s="420"/>
      <c r="L535" s="420"/>
      <c r="M535" s="420"/>
      <c r="N535" s="420"/>
      <c r="O535" s="420"/>
      <c r="P535" s="420"/>
      <c r="Q535" s="420"/>
      <c r="R535" s="420"/>
      <c r="S535" s="420"/>
      <c r="T535" s="420"/>
      <c r="U535" s="420"/>
      <c r="V535" s="420"/>
      <c r="W535" s="420"/>
      <c r="X535" s="420"/>
      <c r="Y535" s="420"/>
      <c r="Z535" s="420"/>
      <c r="AA535" s="420"/>
    </row>
    <row r="536">
      <c r="A536" s="420"/>
      <c r="B536" s="420"/>
      <c r="C536" s="420"/>
      <c r="D536" s="420"/>
      <c r="E536" s="420"/>
      <c r="F536" s="420"/>
      <c r="G536" s="420"/>
      <c r="H536" s="421"/>
      <c r="I536" s="420"/>
      <c r="J536" s="420"/>
      <c r="K536" s="420"/>
      <c r="L536" s="420"/>
      <c r="M536" s="420"/>
      <c r="N536" s="420"/>
      <c r="O536" s="420"/>
      <c r="P536" s="420"/>
      <c r="Q536" s="420"/>
      <c r="R536" s="420"/>
      <c r="S536" s="420"/>
      <c r="T536" s="420"/>
      <c r="U536" s="420"/>
      <c r="V536" s="420"/>
      <c r="W536" s="420"/>
      <c r="X536" s="420"/>
      <c r="Y536" s="420"/>
      <c r="Z536" s="420"/>
      <c r="AA536" s="420"/>
    </row>
    <row r="537">
      <c r="A537" s="420"/>
      <c r="B537" s="420"/>
      <c r="C537" s="420"/>
      <c r="D537" s="420"/>
      <c r="E537" s="420"/>
      <c r="F537" s="420"/>
      <c r="G537" s="420"/>
      <c r="H537" s="421"/>
      <c r="I537" s="420"/>
      <c r="J537" s="420"/>
      <c r="K537" s="420"/>
      <c r="L537" s="420"/>
      <c r="M537" s="420"/>
      <c r="N537" s="420"/>
      <c r="O537" s="420"/>
      <c r="P537" s="420"/>
      <c r="Q537" s="420"/>
      <c r="R537" s="420"/>
      <c r="S537" s="420"/>
      <c r="T537" s="420"/>
      <c r="U537" s="420"/>
      <c r="V537" s="420"/>
      <c r="W537" s="420"/>
      <c r="X537" s="420"/>
      <c r="Y537" s="420"/>
      <c r="Z537" s="420"/>
      <c r="AA537" s="420"/>
    </row>
    <row r="538">
      <c r="A538" s="420"/>
      <c r="B538" s="420"/>
      <c r="C538" s="420"/>
      <c r="D538" s="420"/>
      <c r="E538" s="420"/>
      <c r="F538" s="420"/>
      <c r="G538" s="420"/>
      <c r="H538" s="421"/>
      <c r="I538" s="420"/>
      <c r="J538" s="420"/>
      <c r="K538" s="420"/>
      <c r="L538" s="420"/>
      <c r="M538" s="420"/>
      <c r="N538" s="420"/>
      <c r="O538" s="420"/>
      <c r="P538" s="420"/>
      <c r="Q538" s="420"/>
      <c r="R538" s="420"/>
      <c r="S538" s="420"/>
      <c r="T538" s="420"/>
      <c r="U538" s="420"/>
      <c r="V538" s="420"/>
      <c r="W538" s="420"/>
      <c r="X538" s="420"/>
      <c r="Y538" s="420"/>
      <c r="Z538" s="420"/>
      <c r="AA538" s="420"/>
    </row>
    <row r="539">
      <c r="A539" s="420"/>
      <c r="B539" s="420"/>
      <c r="C539" s="420"/>
      <c r="D539" s="420"/>
      <c r="E539" s="420"/>
      <c r="F539" s="420"/>
      <c r="G539" s="420"/>
      <c r="H539" s="421"/>
      <c r="I539" s="420"/>
      <c r="J539" s="420"/>
      <c r="K539" s="420"/>
      <c r="L539" s="420"/>
      <c r="M539" s="420"/>
      <c r="N539" s="420"/>
      <c r="O539" s="420"/>
      <c r="P539" s="420"/>
      <c r="Q539" s="420"/>
      <c r="R539" s="420"/>
      <c r="S539" s="420"/>
      <c r="T539" s="420"/>
      <c r="U539" s="420"/>
      <c r="V539" s="420"/>
      <c r="W539" s="420"/>
      <c r="X539" s="420"/>
      <c r="Y539" s="420"/>
      <c r="Z539" s="420"/>
      <c r="AA539" s="420"/>
    </row>
    <row r="540">
      <c r="A540" s="420"/>
      <c r="B540" s="420"/>
      <c r="C540" s="420"/>
      <c r="D540" s="420"/>
      <c r="E540" s="420"/>
      <c r="F540" s="420"/>
      <c r="G540" s="420"/>
      <c r="H540" s="421"/>
      <c r="I540" s="420"/>
      <c r="J540" s="420"/>
      <c r="K540" s="420"/>
      <c r="L540" s="420"/>
      <c r="M540" s="420"/>
      <c r="N540" s="420"/>
      <c r="O540" s="420"/>
      <c r="P540" s="420"/>
      <c r="Q540" s="420"/>
      <c r="R540" s="420"/>
      <c r="S540" s="420"/>
      <c r="T540" s="420"/>
      <c r="U540" s="420"/>
      <c r="V540" s="420"/>
      <c r="W540" s="420"/>
      <c r="X540" s="420"/>
      <c r="Y540" s="420"/>
      <c r="Z540" s="420"/>
      <c r="AA540" s="420"/>
    </row>
    <row r="541">
      <c r="A541" s="420"/>
      <c r="B541" s="420"/>
      <c r="C541" s="420"/>
      <c r="D541" s="420"/>
      <c r="E541" s="420"/>
      <c r="F541" s="420"/>
      <c r="G541" s="420"/>
      <c r="H541" s="421"/>
      <c r="I541" s="420"/>
      <c r="J541" s="420"/>
      <c r="K541" s="420"/>
      <c r="L541" s="420"/>
      <c r="M541" s="420"/>
      <c r="N541" s="420"/>
      <c r="O541" s="420"/>
      <c r="P541" s="420"/>
      <c r="Q541" s="420"/>
      <c r="R541" s="420"/>
      <c r="S541" s="420"/>
      <c r="T541" s="420"/>
      <c r="U541" s="420"/>
      <c r="V541" s="420"/>
      <c r="W541" s="420"/>
      <c r="X541" s="420"/>
      <c r="Y541" s="420"/>
      <c r="Z541" s="420"/>
      <c r="AA541" s="420"/>
    </row>
    <row r="542">
      <c r="A542" s="420"/>
      <c r="B542" s="420"/>
      <c r="C542" s="420"/>
      <c r="D542" s="420"/>
      <c r="E542" s="420"/>
      <c r="F542" s="420"/>
      <c r="G542" s="420"/>
      <c r="H542" s="421"/>
      <c r="I542" s="420"/>
      <c r="J542" s="420"/>
      <c r="K542" s="420"/>
      <c r="L542" s="420"/>
      <c r="M542" s="420"/>
      <c r="N542" s="420"/>
      <c r="O542" s="420"/>
      <c r="P542" s="420"/>
      <c r="Q542" s="420"/>
      <c r="R542" s="420"/>
      <c r="S542" s="420"/>
      <c r="T542" s="420"/>
      <c r="U542" s="420"/>
      <c r="V542" s="420"/>
      <c r="W542" s="420"/>
      <c r="X542" s="420"/>
      <c r="Y542" s="420"/>
      <c r="Z542" s="420"/>
      <c r="AA542" s="420"/>
    </row>
    <row r="543">
      <c r="A543" s="420"/>
      <c r="B543" s="420"/>
      <c r="C543" s="420"/>
      <c r="D543" s="420"/>
      <c r="E543" s="420"/>
      <c r="F543" s="420"/>
      <c r="G543" s="420"/>
      <c r="H543" s="421"/>
      <c r="I543" s="420"/>
      <c r="J543" s="420"/>
      <c r="K543" s="420"/>
      <c r="L543" s="420"/>
      <c r="M543" s="420"/>
      <c r="N543" s="420"/>
      <c r="O543" s="420"/>
      <c r="P543" s="420"/>
      <c r="Q543" s="420"/>
      <c r="R543" s="420"/>
      <c r="S543" s="420"/>
      <c r="T543" s="420"/>
      <c r="U543" s="420"/>
      <c r="V543" s="420"/>
      <c r="W543" s="420"/>
      <c r="X543" s="420"/>
      <c r="Y543" s="420"/>
      <c r="Z543" s="420"/>
      <c r="AA543" s="420"/>
    </row>
    <row r="544">
      <c r="A544" s="420"/>
      <c r="B544" s="420"/>
      <c r="C544" s="420"/>
      <c r="D544" s="420"/>
      <c r="E544" s="420"/>
      <c r="F544" s="420"/>
      <c r="G544" s="420"/>
      <c r="H544" s="421"/>
      <c r="I544" s="420"/>
      <c r="J544" s="420"/>
      <c r="K544" s="420"/>
      <c r="L544" s="420"/>
      <c r="M544" s="420"/>
      <c r="N544" s="420"/>
      <c r="O544" s="420"/>
      <c r="P544" s="420"/>
      <c r="Q544" s="420"/>
      <c r="R544" s="420"/>
      <c r="S544" s="420"/>
      <c r="T544" s="420"/>
      <c r="U544" s="420"/>
      <c r="V544" s="420"/>
      <c r="W544" s="420"/>
      <c r="X544" s="420"/>
      <c r="Y544" s="420"/>
      <c r="Z544" s="420"/>
      <c r="AA544" s="420"/>
    </row>
    <row r="545">
      <c r="A545" s="420"/>
      <c r="B545" s="420"/>
      <c r="C545" s="420"/>
      <c r="D545" s="420"/>
      <c r="E545" s="420"/>
      <c r="F545" s="420"/>
      <c r="G545" s="420"/>
      <c r="H545" s="421"/>
      <c r="I545" s="420"/>
      <c r="J545" s="420"/>
      <c r="K545" s="420"/>
      <c r="L545" s="420"/>
      <c r="M545" s="420"/>
      <c r="N545" s="420"/>
      <c r="O545" s="420"/>
      <c r="P545" s="420"/>
      <c r="Q545" s="420"/>
      <c r="R545" s="420"/>
      <c r="S545" s="420"/>
      <c r="T545" s="420"/>
      <c r="U545" s="420"/>
      <c r="V545" s="420"/>
      <c r="W545" s="420"/>
      <c r="X545" s="420"/>
      <c r="Y545" s="420"/>
      <c r="Z545" s="420"/>
      <c r="AA545" s="420"/>
    </row>
    <row r="546">
      <c r="A546" s="420"/>
      <c r="B546" s="420"/>
      <c r="C546" s="420"/>
      <c r="D546" s="420"/>
      <c r="E546" s="420"/>
      <c r="F546" s="420"/>
      <c r="G546" s="420"/>
      <c r="H546" s="421"/>
      <c r="I546" s="420"/>
      <c r="J546" s="420"/>
      <c r="K546" s="420"/>
      <c r="L546" s="420"/>
      <c r="M546" s="420"/>
      <c r="N546" s="420"/>
      <c r="O546" s="420"/>
      <c r="P546" s="420"/>
      <c r="Q546" s="420"/>
      <c r="R546" s="420"/>
      <c r="S546" s="420"/>
      <c r="T546" s="420"/>
      <c r="U546" s="420"/>
      <c r="V546" s="420"/>
      <c r="W546" s="420"/>
      <c r="X546" s="420"/>
      <c r="Y546" s="420"/>
      <c r="Z546" s="420"/>
      <c r="AA546" s="420"/>
    </row>
    <row r="547">
      <c r="A547" s="420"/>
      <c r="B547" s="420"/>
      <c r="C547" s="420"/>
      <c r="D547" s="420"/>
      <c r="E547" s="420"/>
      <c r="F547" s="420"/>
      <c r="G547" s="420"/>
      <c r="H547" s="421"/>
      <c r="I547" s="420"/>
      <c r="J547" s="420"/>
      <c r="K547" s="420"/>
      <c r="L547" s="420"/>
      <c r="M547" s="420"/>
      <c r="N547" s="420"/>
      <c r="O547" s="420"/>
      <c r="P547" s="420"/>
      <c r="Q547" s="420"/>
      <c r="R547" s="420"/>
      <c r="S547" s="420"/>
      <c r="T547" s="420"/>
      <c r="U547" s="420"/>
      <c r="V547" s="420"/>
      <c r="W547" s="420"/>
      <c r="X547" s="420"/>
      <c r="Y547" s="420"/>
      <c r="Z547" s="420"/>
      <c r="AA547" s="420"/>
    </row>
    <row r="548">
      <c r="A548" s="420"/>
      <c r="B548" s="420"/>
      <c r="C548" s="420"/>
      <c r="D548" s="420"/>
      <c r="E548" s="420"/>
      <c r="F548" s="420"/>
      <c r="G548" s="420"/>
      <c r="H548" s="421"/>
      <c r="I548" s="420"/>
      <c r="J548" s="420"/>
      <c r="K548" s="420"/>
      <c r="L548" s="420"/>
      <c r="M548" s="420"/>
      <c r="N548" s="420"/>
      <c r="O548" s="420"/>
      <c r="P548" s="420"/>
      <c r="Q548" s="420"/>
      <c r="R548" s="420"/>
      <c r="S548" s="420"/>
      <c r="T548" s="420"/>
      <c r="U548" s="420"/>
      <c r="V548" s="420"/>
      <c r="W548" s="420"/>
      <c r="X548" s="420"/>
      <c r="Y548" s="420"/>
      <c r="Z548" s="420"/>
      <c r="AA548" s="420"/>
    </row>
    <row r="549">
      <c r="A549" s="420"/>
      <c r="B549" s="420"/>
      <c r="C549" s="420"/>
      <c r="D549" s="420"/>
      <c r="E549" s="420"/>
      <c r="F549" s="420"/>
      <c r="G549" s="420"/>
      <c r="H549" s="421"/>
      <c r="I549" s="420"/>
      <c r="J549" s="420"/>
      <c r="K549" s="420"/>
      <c r="L549" s="420"/>
      <c r="M549" s="420"/>
      <c r="N549" s="420"/>
      <c r="O549" s="420"/>
      <c r="P549" s="420"/>
      <c r="Q549" s="420"/>
      <c r="R549" s="420"/>
      <c r="S549" s="420"/>
      <c r="T549" s="420"/>
      <c r="U549" s="420"/>
      <c r="V549" s="420"/>
      <c r="W549" s="420"/>
      <c r="X549" s="420"/>
      <c r="Y549" s="420"/>
      <c r="Z549" s="420"/>
      <c r="AA549" s="420"/>
    </row>
    <row r="550">
      <c r="A550" s="420"/>
      <c r="B550" s="420"/>
      <c r="C550" s="420"/>
      <c r="D550" s="420"/>
      <c r="E550" s="420"/>
      <c r="F550" s="420"/>
      <c r="G550" s="420"/>
      <c r="H550" s="421"/>
      <c r="I550" s="420"/>
      <c r="J550" s="420"/>
      <c r="K550" s="420"/>
      <c r="L550" s="420"/>
      <c r="M550" s="420"/>
      <c r="N550" s="420"/>
      <c r="O550" s="420"/>
      <c r="P550" s="420"/>
      <c r="Q550" s="420"/>
      <c r="R550" s="420"/>
      <c r="S550" s="420"/>
      <c r="T550" s="420"/>
      <c r="U550" s="420"/>
      <c r="V550" s="420"/>
      <c r="W550" s="420"/>
      <c r="X550" s="420"/>
      <c r="Y550" s="420"/>
      <c r="Z550" s="420"/>
      <c r="AA550" s="420"/>
    </row>
    <row r="551">
      <c r="A551" s="420"/>
      <c r="B551" s="420"/>
      <c r="C551" s="420"/>
      <c r="D551" s="420"/>
      <c r="E551" s="420"/>
      <c r="F551" s="420"/>
      <c r="G551" s="420"/>
      <c r="H551" s="421"/>
      <c r="I551" s="420"/>
      <c r="J551" s="420"/>
      <c r="K551" s="420"/>
      <c r="L551" s="420"/>
      <c r="M551" s="420"/>
      <c r="N551" s="420"/>
      <c r="O551" s="420"/>
      <c r="P551" s="420"/>
      <c r="Q551" s="420"/>
      <c r="R551" s="420"/>
      <c r="S551" s="420"/>
      <c r="T551" s="420"/>
      <c r="U551" s="420"/>
      <c r="V551" s="420"/>
      <c r="W551" s="420"/>
      <c r="X551" s="420"/>
      <c r="Y551" s="420"/>
      <c r="Z551" s="420"/>
      <c r="AA551" s="420"/>
    </row>
    <row r="552">
      <c r="A552" s="420"/>
      <c r="B552" s="420"/>
      <c r="C552" s="420"/>
      <c r="D552" s="420"/>
      <c r="E552" s="420"/>
      <c r="F552" s="420"/>
      <c r="G552" s="420"/>
      <c r="H552" s="421"/>
      <c r="I552" s="420"/>
      <c r="J552" s="420"/>
      <c r="K552" s="420"/>
      <c r="L552" s="420"/>
      <c r="M552" s="420"/>
      <c r="N552" s="420"/>
      <c r="O552" s="420"/>
      <c r="P552" s="420"/>
      <c r="Q552" s="420"/>
      <c r="R552" s="420"/>
      <c r="S552" s="420"/>
      <c r="T552" s="420"/>
      <c r="U552" s="420"/>
      <c r="V552" s="420"/>
      <c r="W552" s="420"/>
      <c r="X552" s="420"/>
      <c r="Y552" s="420"/>
      <c r="Z552" s="420"/>
      <c r="AA552" s="420"/>
    </row>
    <row r="553">
      <c r="A553" s="420"/>
      <c r="B553" s="420"/>
      <c r="C553" s="420"/>
      <c r="D553" s="420"/>
      <c r="E553" s="420"/>
      <c r="F553" s="420"/>
      <c r="G553" s="420"/>
      <c r="H553" s="421"/>
      <c r="I553" s="420"/>
      <c r="J553" s="420"/>
      <c r="K553" s="420"/>
      <c r="L553" s="420"/>
      <c r="M553" s="420"/>
      <c r="N553" s="420"/>
      <c r="O553" s="420"/>
      <c r="P553" s="420"/>
      <c r="Q553" s="420"/>
      <c r="R553" s="420"/>
      <c r="S553" s="420"/>
      <c r="T553" s="420"/>
      <c r="U553" s="420"/>
      <c r="V553" s="420"/>
      <c r="W553" s="420"/>
      <c r="X553" s="420"/>
      <c r="Y553" s="420"/>
      <c r="Z553" s="420"/>
      <c r="AA553" s="420"/>
    </row>
    <row r="554">
      <c r="A554" s="420"/>
      <c r="B554" s="420"/>
      <c r="C554" s="420"/>
      <c r="D554" s="420"/>
      <c r="E554" s="420"/>
      <c r="F554" s="420"/>
      <c r="G554" s="420"/>
      <c r="H554" s="421"/>
      <c r="I554" s="420"/>
      <c r="J554" s="420"/>
      <c r="K554" s="420"/>
      <c r="L554" s="420"/>
      <c r="M554" s="420"/>
      <c r="N554" s="420"/>
      <c r="O554" s="420"/>
      <c r="P554" s="420"/>
      <c r="Q554" s="420"/>
      <c r="R554" s="420"/>
      <c r="S554" s="420"/>
      <c r="T554" s="420"/>
      <c r="U554" s="420"/>
      <c r="V554" s="420"/>
      <c r="W554" s="420"/>
      <c r="X554" s="420"/>
      <c r="Y554" s="420"/>
      <c r="Z554" s="420"/>
      <c r="AA554" s="420"/>
    </row>
    <row r="555">
      <c r="A555" s="420"/>
      <c r="B555" s="420"/>
      <c r="C555" s="420"/>
      <c r="D555" s="420"/>
      <c r="E555" s="420"/>
      <c r="F555" s="420"/>
      <c r="G555" s="420"/>
      <c r="H555" s="421"/>
      <c r="I555" s="420"/>
      <c r="J555" s="420"/>
      <c r="K555" s="420"/>
      <c r="L555" s="420"/>
      <c r="M555" s="420"/>
      <c r="N555" s="420"/>
      <c r="O555" s="420"/>
      <c r="P555" s="420"/>
      <c r="Q555" s="420"/>
      <c r="R555" s="420"/>
      <c r="S555" s="420"/>
      <c r="T555" s="420"/>
      <c r="U555" s="420"/>
      <c r="V555" s="420"/>
      <c r="W555" s="420"/>
      <c r="X555" s="420"/>
      <c r="Y555" s="420"/>
      <c r="Z555" s="420"/>
      <c r="AA555" s="420"/>
    </row>
    <row r="556">
      <c r="A556" s="420"/>
      <c r="B556" s="420"/>
      <c r="C556" s="420"/>
      <c r="D556" s="420"/>
      <c r="E556" s="420"/>
      <c r="F556" s="420"/>
      <c r="G556" s="420"/>
      <c r="H556" s="421"/>
      <c r="I556" s="420"/>
      <c r="J556" s="420"/>
      <c r="K556" s="420"/>
      <c r="L556" s="420"/>
      <c r="M556" s="420"/>
      <c r="N556" s="420"/>
      <c r="O556" s="420"/>
      <c r="P556" s="420"/>
      <c r="Q556" s="420"/>
      <c r="R556" s="420"/>
      <c r="S556" s="420"/>
      <c r="T556" s="420"/>
      <c r="U556" s="420"/>
      <c r="V556" s="420"/>
      <c r="W556" s="420"/>
      <c r="X556" s="420"/>
      <c r="Y556" s="420"/>
      <c r="Z556" s="420"/>
      <c r="AA556" s="420"/>
    </row>
    <row r="557">
      <c r="A557" s="420"/>
      <c r="B557" s="420"/>
      <c r="C557" s="420"/>
      <c r="D557" s="420"/>
      <c r="E557" s="420"/>
      <c r="F557" s="420"/>
      <c r="G557" s="420"/>
      <c r="H557" s="421"/>
      <c r="I557" s="420"/>
      <c r="J557" s="420"/>
      <c r="K557" s="420"/>
      <c r="L557" s="420"/>
      <c r="M557" s="420"/>
      <c r="N557" s="420"/>
      <c r="O557" s="420"/>
      <c r="P557" s="420"/>
      <c r="Q557" s="420"/>
      <c r="R557" s="420"/>
      <c r="S557" s="420"/>
      <c r="T557" s="420"/>
      <c r="U557" s="420"/>
      <c r="V557" s="420"/>
      <c r="W557" s="420"/>
      <c r="X557" s="420"/>
      <c r="Y557" s="420"/>
      <c r="Z557" s="420"/>
      <c r="AA557" s="420"/>
    </row>
    <row r="558">
      <c r="A558" s="420"/>
      <c r="B558" s="420"/>
      <c r="C558" s="420"/>
      <c r="D558" s="420"/>
      <c r="E558" s="420"/>
      <c r="F558" s="420"/>
      <c r="G558" s="420"/>
      <c r="H558" s="421"/>
      <c r="I558" s="420"/>
      <c r="J558" s="420"/>
      <c r="K558" s="420"/>
      <c r="L558" s="420"/>
      <c r="M558" s="420"/>
      <c r="N558" s="420"/>
      <c r="O558" s="420"/>
      <c r="P558" s="420"/>
      <c r="Q558" s="420"/>
      <c r="R558" s="420"/>
      <c r="S558" s="420"/>
      <c r="T558" s="420"/>
      <c r="U558" s="420"/>
      <c r="V558" s="420"/>
      <c r="W558" s="420"/>
      <c r="X558" s="420"/>
      <c r="Y558" s="420"/>
      <c r="Z558" s="420"/>
      <c r="AA558" s="420"/>
    </row>
    <row r="559">
      <c r="A559" s="420"/>
      <c r="B559" s="420"/>
      <c r="C559" s="420"/>
      <c r="D559" s="420"/>
      <c r="E559" s="420"/>
      <c r="F559" s="420"/>
      <c r="G559" s="420"/>
      <c r="H559" s="421"/>
      <c r="I559" s="420"/>
      <c r="J559" s="420"/>
      <c r="K559" s="420"/>
      <c r="L559" s="420"/>
      <c r="M559" s="420"/>
      <c r="N559" s="420"/>
      <c r="O559" s="420"/>
      <c r="P559" s="420"/>
      <c r="Q559" s="420"/>
      <c r="R559" s="420"/>
      <c r="S559" s="420"/>
      <c r="T559" s="420"/>
      <c r="U559" s="420"/>
      <c r="V559" s="420"/>
      <c r="W559" s="420"/>
      <c r="X559" s="420"/>
      <c r="Y559" s="420"/>
      <c r="Z559" s="420"/>
      <c r="AA559" s="420"/>
    </row>
    <row r="560">
      <c r="A560" s="420"/>
      <c r="B560" s="420"/>
      <c r="C560" s="420"/>
      <c r="D560" s="420"/>
      <c r="E560" s="420"/>
      <c r="F560" s="420"/>
      <c r="G560" s="420"/>
      <c r="H560" s="421"/>
      <c r="I560" s="420"/>
      <c r="J560" s="420"/>
      <c r="K560" s="420"/>
      <c r="L560" s="420"/>
      <c r="M560" s="420"/>
      <c r="N560" s="420"/>
      <c r="O560" s="420"/>
      <c r="P560" s="420"/>
      <c r="Q560" s="420"/>
      <c r="R560" s="420"/>
      <c r="S560" s="420"/>
      <c r="T560" s="420"/>
      <c r="U560" s="420"/>
      <c r="V560" s="420"/>
      <c r="W560" s="420"/>
      <c r="X560" s="420"/>
      <c r="Y560" s="420"/>
      <c r="Z560" s="420"/>
      <c r="AA560" s="420"/>
    </row>
    <row r="561">
      <c r="A561" s="420"/>
      <c r="B561" s="420"/>
      <c r="C561" s="420"/>
      <c r="D561" s="420"/>
      <c r="E561" s="420"/>
      <c r="F561" s="420"/>
      <c r="G561" s="420"/>
      <c r="H561" s="421"/>
      <c r="I561" s="420"/>
      <c r="J561" s="420"/>
      <c r="K561" s="420"/>
      <c r="L561" s="420"/>
      <c r="M561" s="420"/>
      <c r="N561" s="420"/>
      <c r="O561" s="420"/>
      <c r="P561" s="420"/>
      <c r="Q561" s="420"/>
      <c r="R561" s="420"/>
      <c r="S561" s="420"/>
      <c r="T561" s="420"/>
      <c r="U561" s="420"/>
      <c r="V561" s="420"/>
      <c r="W561" s="420"/>
      <c r="X561" s="420"/>
      <c r="Y561" s="420"/>
      <c r="Z561" s="420"/>
      <c r="AA561" s="420"/>
    </row>
    <row r="562">
      <c r="A562" s="420"/>
      <c r="B562" s="420"/>
      <c r="C562" s="420"/>
      <c r="D562" s="420"/>
      <c r="E562" s="420"/>
      <c r="F562" s="420"/>
      <c r="G562" s="420"/>
      <c r="H562" s="421"/>
      <c r="I562" s="420"/>
      <c r="J562" s="420"/>
      <c r="K562" s="420"/>
      <c r="L562" s="420"/>
      <c r="M562" s="420"/>
      <c r="N562" s="420"/>
      <c r="O562" s="420"/>
      <c r="P562" s="420"/>
      <c r="Q562" s="420"/>
      <c r="R562" s="420"/>
      <c r="S562" s="420"/>
      <c r="T562" s="420"/>
      <c r="U562" s="420"/>
      <c r="V562" s="420"/>
      <c r="W562" s="420"/>
      <c r="X562" s="420"/>
      <c r="Y562" s="420"/>
      <c r="Z562" s="420"/>
      <c r="AA562" s="420"/>
    </row>
    <row r="563">
      <c r="A563" s="420"/>
      <c r="B563" s="420"/>
      <c r="C563" s="420"/>
      <c r="D563" s="420"/>
      <c r="E563" s="420"/>
      <c r="F563" s="420"/>
      <c r="G563" s="420"/>
      <c r="H563" s="421"/>
      <c r="I563" s="420"/>
      <c r="J563" s="420"/>
      <c r="K563" s="420"/>
      <c r="L563" s="420"/>
      <c r="M563" s="420"/>
      <c r="N563" s="420"/>
      <c r="O563" s="420"/>
      <c r="P563" s="420"/>
      <c r="Q563" s="420"/>
      <c r="R563" s="420"/>
      <c r="S563" s="420"/>
      <c r="T563" s="420"/>
      <c r="U563" s="420"/>
      <c r="V563" s="420"/>
      <c r="W563" s="420"/>
      <c r="X563" s="420"/>
      <c r="Y563" s="420"/>
      <c r="Z563" s="420"/>
      <c r="AA563" s="420"/>
    </row>
    <row r="564">
      <c r="A564" s="420"/>
      <c r="B564" s="420"/>
      <c r="C564" s="420"/>
      <c r="D564" s="420"/>
      <c r="E564" s="420"/>
      <c r="F564" s="420"/>
      <c r="G564" s="420"/>
      <c r="H564" s="421"/>
      <c r="I564" s="420"/>
      <c r="J564" s="420"/>
      <c r="K564" s="420"/>
      <c r="L564" s="420"/>
      <c r="M564" s="420"/>
      <c r="N564" s="420"/>
      <c r="O564" s="420"/>
      <c r="P564" s="420"/>
      <c r="Q564" s="420"/>
      <c r="R564" s="420"/>
      <c r="S564" s="420"/>
      <c r="T564" s="420"/>
      <c r="U564" s="420"/>
      <c r="V564" s="420"/>
      <c r="W564" s="420"/>
      <c r="X564" s="420"/>
      <c r="Y564" s="420"/>
      <c r="Z564" s="420"/>
      <c r="AA564" s="420"/>
    </row>
    <row r="565">
      <c r="A565" s="420"/>
      <c r="B565" s="420"/>
      <c r="C565" s="420"/>
      <c r="D565" s="420"/>
      <c r="E565" s="420"/>
      <c r="F565" s="420"/>
      <c r="G565" s="420"/>
      <c r="H565" s="421"/>
      <c r="I565" s="420"/>
      <c r="J565" s="420"/>
      <c r="K565" s="420"/>
      <c r="L565" s="420"/>
      <c r="M565" s="420"/>
      <c r="N565" s="420"/>
      <c r="O565" s="420"/>
      <c r="P565" s="420"/>
      <c r="Q565" s="420"/>
      <c r="R565" s="420"/>
      <c r="S565" s="420"/>
      <c r="T565" s="420"/>
      <c r="U565" s="420"/>
      <c r="V565" s="420"/>
      <c r="W565" s="420"/>
      <c r="X565" s="420"/>
      <c r="Y565" s="420"/>
      <c r="Z565" s="420"/>
      <c r="AA565" s="420"/>
    </row>
    <row r="566">
      <c r="A566" s="420"/>
      <c r="B566" s="420"/>
      <c r="C566" s="420"/>
      <c r="D566" s="420"/>
      <c r="E566" s="420"/>
      <c r="F566" s="420"/>
      <c r="G566" s="420"/>
      <c r="H566" s="421"/>
      <c r="I566" s="420"/>
      <c r="J566" s="420"/>
      <c r="K566" s="420"/>
      <c r="L566" s="420"/>
      <c r="M566" s="420"/>
      <c r="N566" s="420"/>
      <c r="O566" s="420"/>
      <c r="P566" s="420"/>
      <c r="Q566" s="420"/>
      <c r="R566" s="420"/>
      <c r="S566" s="420"/>
      <c r="T566" s="420"/>
      <c r="U566" s="420"/>
      <c r="V566" s="420"/>
      <c r="W566" s="420"/>
      <c r="X566" s="420"/>
      <c r="Y566" s="420"/>
      <c r="Z566" s="420"/>
      <c r="AA566" s="420"/>
    </row>
    <row r="567">
      <c r="A567" s="420"/>
      <c r="B567" s="420"/>
      <c r="C567" s="420"/>
      <c r="D567" s="420"/>
      <c r="E567" s="420"/>
      <c r="F567" s="420"/>
      <c r="G567" s="420"/>
      <c r="H567" s="421"/>
      <c r="I567" s="420"/>
      <c r="J567" s="420"/>
      <c r="K567" s="420"/>
      <c r="L567" s="420"/>
      <c r="M567" s="420"/>
      <c r="N567" s="420"/>
      <c r="O567" s="420"/>
      <c r="P567" s="420"/>
      <c r="Q567" s="420"/>
      <c r="R567" s="420"/>
      <c r="S567" s="420"/>
      <c r="T567" s="420"/>
      <c r="U567" s="420"/>
      <c r="V567" s="420"/>
      <c r="W567" s="420"/>
      <c r="X567" s="420"/>
      <c r="Y567" s="420"/>
      <c r="Z567" s="420"/>
      <c r="AA567" s="420"/>
    </row>
    <row r="568">
      <c r="A568" s="420"/>
      <c r="B568" s="420"/>
      <c r="C568" s="420"/>
      <c r="D568" s="420"/>
      <c r="E568" s="420"/>
      <c r="F568" s="420"/>
      <c r="G568" s="420"/>
      <c r="H568" s="421"/>
      <c r="I568" s="420"/>
      <c r="J568" s="420"/>
      <c r="K568" s="420"/>
      <c r="L568" s="420"/>
      <c r="M568" s="420"/>
      <c r="N568" s="420"/>
      <c r="O568" s="420"/>
      <c r="P568" s="420"/>
      <c r="Q568" s="420"/>
      <c r="R568" s="420"/>
      <c r="S568" s="420"/>
      <c r="T568" s="420"/>
      <c r="U568" s="420"/>
      <c r="V568" s="420"/>
      <c r="W568" s="420"/>
      <c r="X568" s="420"/>
      <c r="Y568" s="420"/>
      <c r="Z568" s="420"/>
      <c r="AA568" s="420"/>
    </row>
    <row r="569">
      <c r="A569" s="420"/>
      <c r="B569" s="420"/>
      <c r="C569" s="420"/>
      <c r="D569" s="420"/>
      <c r="E569" s="420"/>
      <c r="F569" s="420"/>
      <c r="G569" s="420"/>
      <c r="H569" s="421"/>
      <c r="I569" s="420"/>
      <c r="J569" s="420"/>
      <c r="K569" s="420"/>
      <c r="L569" s="420"/>
      <c r="M569" s="420"/>
      <c r="N569" s="420"/>
      <c r="O569" s="420"/>
      <c r="P569" s="420"/>
      <c r="Q569" s="420"/>
      <c r="R569" s="420"/>
      <c r="S569" s="420"/>
      <c r="T569" s="420"/>
      <c r="U569" s="420"/>
      <c r="V569" s="420"/>
      <c r="W569" s="420"/>
      <c r="X569" s="420"/>
      <c r="Y569" s="420"/>
      <c r="Z569" s="420"/>
      <c r="AA569" s="420"/>
    </row>
    <row r="570">
      <c r="A570" s="420"/>
      <c r="B570" s="420"/>
      <c r="C570" s="420"/>
      <c r="D570" s="420"/>
      <c r="E570" s="420"/>
      <c r="F570" s="420"/>
      <c r="G570" s="420"/>
      <c r="H570" s="421"/>
      <c r="I570" s="420"/>
      <c r="J570" s="420"/>
      <c r="K570" s="420"/>
      <c r="L570" s="420"/>
      <c r="M570" s="420"/>
      <c r="N570" s="420"/>
      <c r="O570" s="420"/>
      <c r="P570" s="420"/>
      <c r="Q570" s="420"/>
      <c r="R570" s="420"/>
      <c r="S570" s="420"/>
      <c r="T570" s="420"/>
      <c r="U570" s="420"/>
      <c r="V570" s="420"/>
      <c r="W570" s="420"/>
      <c r="X570" s="420"/>
      <c r="Y570" s="420"/>
      <c r="Z570" s="420"/>
      <c r="AA570" s="420"/>
    </row>
    <row r="571">
      <c r="A571" s="420"/>
      <c r="B571" s="420"/>
      <c r="C571" s="420"/>
      <c r="D571" s="420"/>
      <c r="E571" s="420"/>
      <c r="F571" s="420"/>
      <c r="G571" s="420"/>
      <c r="H571" s="421"/>
      <c r="I571" s="420"/>
      <c r="J571" s="420"/>
      <c r="K571" s="420"/>
      <c r="L571" s="420"/>
      <c r="M571" s="420"/>
      <c r="N571" s="420"/>
      <c r="O571" s="420"/>
      <c r="P571" s="420"/>
      <c r="Q571" s="420"/>
      <c r="R571" s="420"/>
      <c r="S571" s="420"/>
      <c r="T571" s="420"/>
      <c r="U571" s="420"/>
      <c r="V571" s="420"/>
      <c r="W571" s="420"/>
      <c r="X571" s="420"/>
      <c r="Y571" s="420"/>
      <c r="Z571" s="420"/>
      <c r="AA571" s="420"/>
    </row>
    <row r="572">
      <c r="A572" s="420"/>
      <c r="B572" s="420"/>
      <c r="C572" s="420"/>
      <c r="D572" s="420"/>
      <c r="E572" s="420"/>
      <c r="F572" s="420"/>
      <c r="G572" s="420"/>
      <c r="H572" s="421"/>
      <c r="I572" s="420"/>
      <c r="J572" s="420"/>
      <c r="K572" s="420"/>
      <c r="L572" s="420"/>
      <c r="M572" s="420"/>
      <c r="N572" s="420"/>
      <c r="O572" s="420"/>
      <c r="P572" s="420"/>
      <c r="Q572" s="420"/>
      <c r="R572" s="420"/>
      <c r="S572" s="420"/>
      <c r="T572" s="420"/>
      <c r="U572" s="420"/>
      <c r="V572" s="420"/>
      <c r="W572" s="420"/>
      <c r="X572" s="420"/>
      <c r="Y572" s="420"/>
      <c r="Z572" s="420"/>
      <c r="AA572" s="420"/>
    </row>
    <row r="573">
      <c r="A573" s="420"/>
      <c r="B573" s="420"/>
      <c r="C573" s="420"/>
      <c r="D573" s="420"/>
      <c r="E573" s="420"/>
      <c r="F573" s="420"/>
      <c r="G573" s="420"/>
      <c r="H573" s="421"/>
      <c r="I573" s="420"/>
      <c r="J573" s="420"/>
      <c r="K573" s="420"/>
      <c r="L573" s="420"/>
      <c r="M573" s="420"/>
      <c r="N573" s="420"/>
      <c r="O573" s="420"/>
      <c r="P573" s="420"/>
      <c r="Q573" s="420"/>
      <c r="R573" s="420"/>
      <c r="S573" s="420"/>
      <c r="T573" s="420"/>
      <c r="U573" s="420"/>
      <c r="V573" s="420"/>
      <c r="W573" s="420"/>
      <c r="X573" s="420"/>
      <c r="Y573" s="420"/>
      <c r="Z573" s="420"/>
      <c r="AA573" s="420"/>
    </row>
    <row r="574">
      <c r="A574" s="420"/>
      <c r="B574" s="420"/>
      <c r="C574" s="420"/>
      <c r="D574" s="420"/>
      <c r="E574" s="420"/>
      <c r="F574" s="420"/>
      <c r="G574" s="420"/>
      <c r="H574" s="421"/>
      <c r="I574" s="420"/>
      <c r="J574" s="420"/>
      <c r="K574" s="420"/>
      <c r="L574" s="420"/>
      <c r="M574" s="420"/>
      <c r="N574" s="420"/>
      <c r="O574" s="420"/>
      <c r="P574" s="420"/>
      <c r="Q574" s="420"/>
      <c r="R574" s="420"/>
      <c r="S574" s="420"/>
      <c r="T574" s="420"/>
      <c r="U574" s="420"/>
      <c r="V574" s="420"/>
      <c r="W574" s="420"/>
      <c r="X574" s="420"/>
      <c r="Y574" s="420"/>
      <c r="Z574" s="420"/>
      <c r="AA574" s="420"/>
    </row>
    <row r="575">
      <c r="A575" s="420"/>
      <c r="B575" s="420"/>
      <c r="C575" s="420"/>
      <c r="D575" s="420"/>
      <c r="E575" s="420"/>
      <c r="F575" s="420"/>
      <c r="G575" s="420"/>
      <c r="H575" s="421"/>
      <c r="I575" s="420"/>
      <c r="J575" s="420"/>
      <c r="K575" s="420"/>
      <c r="L575" s="420"/>
      <c r="M575" s="420"/>
      <c r="N575" s="420"/>
      <c r="O575" s="420"/>
      <c r="P575" s="420"/>
      <c r="Q575" s="420"/>
      <c r="R575" s="420"/>
      <c r="S575" s="420"/>
      <c r="T575" s="420"/>
      <c r="U575" s="420"/>
      <c r="V575" s="420"/>
      <c r="W575" s="420"/>
      <c r="X575" s="420"/>
      <c r="Y575" s="420"/>
      <c r="Z575" s="420"/>
      <c r="AA575" s="420"/>
    </row>
    <row r="576">
      <c r="A576" s="420"/>
      <c r="B576" s="420"/>
      <c r="C576" s="420"/>
      <c r="D576" s="420"/>
      <c r="E576" s="420"/>
      <c r="F576" s="420"/>
      <c r="G576" s="420"/>
      <c r="H576" s="421"/>
      <c r="I576" s="420"/>
      <c r="J576" s="420"/>
      <c r="K576" s="420"/>
      <c r="L576" s="420"/>
      <c r="M576" s="420"/>
      <c r="N576" s="420"/>
      <c r="O576" s="420"/>
      <c r="P576" s="420"/>
      <c r="Q576" s="420"/>
      <c r="R576" s="420"/>
      <c r="S576" s="420"/>
      <c r="T576" s="420"/>
      <c r="U576" s="420"/>
      <c r="V576" s="420"/>
      <c r="W576" s="420"/>
      <c r="X576" s="420"/>
      <c r="Y576" s="420"/>
      <c r="Z576" s="420"/>
      <c r="AA576" s="420"/>
    </row>
    <row r="577">
      <c r="A577" s="420"/>
      <c r="B577" s="420"/>
      <c r="C577" s="420"/>
      <c r="D577" s="420"/>
      <c r="E577" s="420"/>
      <c r="F577" s="420"/>
      <c r="G577" s="420"/>
      <c r="H577" s="421"/>
      <c r="I577" s="420"/>
      <c r="J577" s="420"/>
      <c r="K577" s="420"/>
      <c r="L577" s="420"/>
      <c r="M577" s="420"/>
      <c r="N577" s="420"/>
      <c r="O577" s="420"/>
      <c r="P577" s="420"/>
      <c r="Q577" s="420"/>
      <c r="R577" s="420"/>
      <c r="S577" s="420"/>
      <c r="T577" s="420"/>
      <c r="U577" s="420"/>
      <c r="V577" s="420"/>
      <c r="W577" s="420"/>
      <c r="X577" s="420"/>
      <c r="Y577" s="420"/>
      <c r="Z577" s="420"/>
      <c r="AA577" s="420"/>
    </row>
    <row r="578">
      <c r="A578" s="420"/>
      <c r="B578" s="420"/>
      <c r="C578" s="420"/>
      <c r="D578" s="420"/>
      <c r="E578" s="420"/>
      <c r="F578" s="420"/>
      <c r="G578" s="420"/>
      <c r="H578" s="421"/>
      <c r="I578" s="420"/>
      <c r="J578" s="420"/>
      <c r="K578" s="420"/>
      <c r="L578" s="420"/>
      <c r="M578" s="420"/>
      <c r="N578" s="420"/>
      <c r="O578" s="420"/>
      <c r="P578" s="420"/>
      <c r="Q578" s="420"/>
      <c r="R578" s="420"/>
      <c r="S578" s="420"/>
      <c r="T578" s="420"/>
      <c r="U578" s="420"/>
      <c r="V578" s="420"/>
      <c r="W578" s="420"/>
      <c r="X578" s="420"/>
      <c r="Y578" s="420"/>
      <c r="Z578" s="420"/>
      <c r="AA578" s="420"/>
    </row>
    <row r="579">
      <c r="A579" s="420"/>
      <c r="B579" s="420"/>
      <c r="C579" s="420"/>
      <c r="D579" s="420"/>
      <c r="E579" s="420"/>
      <c r="F579" s="420"/>
      <c r="G579" s="420"/>
      <c r="H579" s="421"/>
      <c r="I579" s="420"/>
      <c r="J579" s="420"/>
      <c r="K579" s="420"/>
      <c r="L579" s="420"/>
      <c r="M579" s="420"/>
      <c r="N579" s="420"/>
      <c r="O579" s="420"/>
      <c r="P579" s="420"/>
      <c r="Q579" s="420"/>
      <c r="R579" s="420"/>
      <c r="S579" s="420"/>
      <c r="T579" s="420"/>
      <c r="U579" s="420"/>
      <c r="V579" s="420"/>
      <c r="W579" s="420"/>
      <c r="X579" s="420"/>
      <c r="Y579" s="420"/>
      <c r="Z579" s="420"/>
      <c r="AA579" s="420"/>
    </row>
    <row r="580">
      <c r="A580" s="420"/>
      <c r="B580" s="420"/>
      <c r="C580" s="420"/>
      <c r="D580" s="420"/>
      <c r="E580" s="420"/>
      <c r="F580" s="420"/>
      <c r="G580" s="420"/>
      <c r="H580" s="421"/>
      <c r="I580" s="420"/>
      <c r="J580" s="420"/>
      <c r="K580" s="420"/>
      <c r="L580" s="420"/>
      <c r="M580" s="420"/>
      <c r="N580" s="420"/>
      <c r="O580" s="420"/>
      <c r="P580" s="420"/>
      <c r="Q580" s="420"/>
      <c r="R580" s="420"/>
      <c r="S580" s="420"/>
      <c r="T580" s="420"/>
      <c r="U580" s="420"/>
      <c r="V580" s="420"/>
      <c r="W580" s="420"/>
      <c r="X580" s="420"/>
      <c r="Y580" s="420"/>
      <c r="Z580" s="420"/>
      <c r="AA580" s="420"/>
    </row>
    <row r="581">
      <c r="A581" s="420"/>
      <c r="B581" s="420"/>
      <c r="C581" s="420"/>
      <c r="D581" s="420"/>
      <c r="E581" s="420"/>
      <c r="F581" s="420"/>
      <c r="G581" s="420"/>
      <c r="H581" s="421"/>
      <c r="I581" s="420"/>
      <c r="J581" s="420"/>
      <c r="K581" s="420"/>
      <c r="L581" s="420"/>
      <c r="M581" s="420"/>
      <c r="N581" s="420"/>
      <c r="O581" s="420"/>
      <c r="P581" s="420"/>
      <c r="Q581" s="420"/>
      <c r="R581" s="420"/>
      <c r="S581" s="420"/>
      <c r="T581" s="420"/>
      <c r="U581" s="420"/>
      <c r="V581" s="420"/>
      <c r="W581" s="420"/>
      <c r="X581" s="420"/>
      <c r="Y581" s="420"/>
      <c r="Z581" s="420"/>
      <c r="AA581" s="420"/>
    </row>
    <row r="582">
      <c r="A582" s="420"/>
      <c r="B582" s="420"/>
      <c r="C582" s="420"/>
      <c r="D582" s="420"/>
      <c r="E582" s="420"/>
      <c r="F582" s="420"/>
      <c r="G582" s="420"/>
      <c r="H582" s="421"/>
      <c r="I582" s="420"/>
      <c r="J582" s="420"/>
      <c r="K582" s="420"/>
      <c r="L582" s="420"/>
      <c r="M582" s="420"/>
      <c r="N582" s="420"/>
      <c r="O582" s="420"/>
      <c r="P582" s="420"/>
      <c r="Q582" s="420"/>
      <c r="R582" s="420"/>
      <c r="S582" s="420"/>
      <c r="T582" s="420"/>
      <c r="U582" s="420"/>
      <c r="V582" s="420"/>
      <c r="W582" s="420"/>
      <c r="X582" s="420"/>
      <c r="Y582" s="420"/>
      <c r="Z582" s="420"/>
      <c r="AA582" s="420"/>
    </row>
    <row r="583">
      <c r="A583" s="420"/>
      <c r="B583" s="420"/>
      <c r="C583" s="420"/>
      <c r="D583" s="420"/>
      <c r="E583" s="420"/>
      <c r="F583" s="420"/>
      <c r="G583" s="420"/>
      <c r="H583" s="421"/>
      <c r="I583" s="420"/>
      <c r="J583" s="420"/>
      <c r="K583" s="420"/>
      <c r="L583" s="420"/>
      <c r="M583" s="420"/>
      <c r="N583" s="420"/>
      <c r="O583" s="420"/>
      <c r="P583" s="420"/>
      <c r="Q583" s="420"/>
      <c r="R583" s="420"/>
      <c r="S583" s="420"/>
      <c r="T583" s="420"/>
      <c r="U583" s="420"/>
      <c r="V583" s="420"/>
      <c r="W583" s="420"/>
      <c r="X583" s="420"/>
      <c r="Y583" s="420"/>
      <c r="Z583" s="420"/>
      <c r="AA583" s="420"/>
    </row>
    <row r="584">
      <c r="A584" s="420"/>
      <c r="B584" s="420"/>
      <c r="C584" s="420"/>
      <c r="D584" s="420"/>
      <c r="E584" s="420"/>
      <c r="F584" s="420"/>
      <c r="G584" s="420"/>
      <c r="H584" s="421"/>
      <c r="I584" s="420"/>
      <c r="J584" s="420"/>
      <c r="K584" s="420"/>
      <c r="L584" s="420"/>
      <c r="M584" s="420"/>
      <c r="N584" s="420"/>
      <c r="O584" s="420"/>
      <c r="P584" s="420"/>
      <c r="Q584" s="420"/>
      <c r="R584" s="420"/>
      <c r="S584" s="420"/>
      <c r="T584" s="420"/>
      <c r="U584" s="420"/>
      <c r="V584" s="420"/>
      <c r="W584" s="420"/>
      <c r="X584" s="420"/>
      <c r="Y584" s="420"/>
      <c r="Z584" s="420"/>
      <c r="AA584" s="420"/>
    </row>
    <row r="585">
      <c r="A585" s="420"/>
      <c r="B585" s="420"/>
      <c r="C585" s="420"/>
      <c r="D585" s="420"/>
      <c r="E585" s="420"/>
      <c r="F585" s="420"/>
      <c r="G585" s="420"/>
      <c r="H585" s="421"/>
      <c r="I585" s="420"/>
      <c r="J585" s="420"/>
      <c r="K585" s="420"/>
      <c r="L585" s="420"/>
      <c r="M585" s="420"/>
      <c r="N585" s="420"/>
      <c r="O585" s="420"/>
      <c r="P585" s="420"/>
      <c r="Q585" s="420"/>
      <c r="R585" s="420"/>
      <c r="S585" s="420"/>
      <c r="T585" s="420"/>
      <c r="U585" s="420"/>
      <c r="V585" s="420"/>
      <c r="W585" s="420"/>
      <c r="X585" s="420"/>
      <c r="Y585" s="420"/>
      <c r="Z585" s="420"/>
      <c r="AA585" s="420"/>
    </row>
    <row r="586">
      <c r="A586" s="420"/>
      <c r="B586" s="420"/>
      <c r="C586" s="420"/>
      <c r="D586" s="420"/>
      <c r="E586" s="420"/>
      <c r="F586" s="420"/>
      <c r="G586" s="420"/>
      <c r="H586" s="421"/>
      <c r="I586" s="420"/>
      <c r="J586" s="420"/>
      <c r="K586" s="420"/>
      <c r="L586" s="420"/>
      <c r="M586" s="420"/>
      <c r="N586" s="420"/>
      <c r="O586" s="420"/>
      <c r="P586" s="420"/>
      <c r="Q586" s="420"/>
      <c r="R586" s="420"/>
      <c r="S586" s="420"/>
      <c r="T586" s="420"/>
      <c r="U586" s="420"/>
      <c r="V586" s="420"/>
      <c r="W586" s="420"/>
      <c r="X586" s="420"/>
      <c r="Y586" s="420"/>
      <c r="Z586" s="420"/>
      <c r="AA586" s="420"/>
    </row>
    <row r="587">
      <c r="A587" s="420"/>
      <c r="B587" s="420"/>
      <c r="C587" s="420"/>
      <c r="D587" s="420"/>
      <c r="E587" s="420"/>
      <c r="F587" s="420"/>
      <c r="G587" s="420"/>
      <c r="H587" s="421"/>
      <c r="I587" s="420"/>
      <c r="J587" s="420"/>
      <c r="K587" s="420"/>
      <c r="L587" s="420"/>
      <c r="M587" s="420"/>
      <c r="N587" s="420"/>
      <c r="O587" s="420"/>
      <c r="P587" s="420"/>
      <c r="Q587" s="420"/>
      <c r="R587" s="420"/>
      <c r="S587" s="420"/>
      <c r="T587" s="420"/>
      <c r="U587" s="420"/>
      <c r="V587" s="420"/>
      <c r="W587" s="420"/>
      <c r="X587" s="420"/>
      <c r="Y587" s="420"/>
      <c r="Z587" s="420"/>
      <c r="AA587" s="420"/>
    </row>
    <row r="588">
      <c r="A588" s="420"/>
      <c r="B588" s="420"/>
      <c r="C588" s="420"/>
      <c r="D588" s="420"/>
      <c r="E588" s="420"/>
      <c r="F588" s="420"/>
      <c r="G588" s="420"/>
      <c r="H588" s="421"/>
      <c r="I588" s="420"/>
      <c r="J588" s="420"/>
      <c r="K588" s="420"/>
      <c r="L588" s="420"/>
      <c r="M588" s="420"/>
      <c r="N588" s="420"/>
      <c r="O588" s="420"/>
      <c r="P588" s="420"/>
      <c r="Q588" s="420"/>
      <c r="R588" s="420"/>
      <c r="S588" s="420"/>
      <c r="T588" s="420"/>
      <c r="U588" s="420"/>
      <c r="V588" s="420"/>
      <c r="W588" s="420"/>
      <c r="X588" s="420"/>
      <c r="Y588" s="420"/>
      <c r="Z588" s="420"/>
      <c r="AA588" s="420"/>
    </row>
    <row r="589">
      <c r="A589" s="420"/>
      <c r="B589" s="420"/>
      <c r="C589" s="420"/>
      <c r="D589" s="420"/>
      <c r="E589" s="420"/>
      <c r="F589" s="420"/>
      <c r="G589" s="420"/>
      <c r="H589" s="421"/>
      <c r="I589" s="420"/>
      <c r="J589" s="420"/>
      <c r="K589" s="420"/>
      <c r="L589" s="420"/>
      <c r="M589" s="420"/>
      <c r="N589" s="420"/>
      <c r="O589" s="420"/>
      <c r="P589" s="420"/>
      <c r="Q589" s="420"/>
      <c r="R589" s="420"/>
      <c r="S589" s="420"/>
      <c r="T589" s="420"/>
      <c r="U589" s="420"/>
      <c r="V589" s="420"/>
      <c r="W589" s="420"/>
      <c r="X589" s="420"/>
      <c r="Y589" s="420"/>
      <c r="Z589" s="420"/>
      <c r="AA589" s="420"/>
    </row>
    <row r="590">
      <c r="A590" s="420"/>
      <c r="B590" s="420"/>
      <c r="C590" s="420"/>
      <c r="D590" s="420"/>
      <c r="E590" s="420"/>
      <c r="F590" s="420"/>
      <c r="G590" s="420"/>
      <c r="H590" s="421"/>
      <c r="I590" s="420"/>
      <c r="J590" s="420"/>
      <c r="K590" s="420"/>
      <c r="L590" s="420"/>
      <c r="M590" s="420"/>
      <c r="N590" s="420"/>
      <c r="O590" s="420"/>
      <c r="P590" s="420"/>
      <c r="Q590" s="420"/>
      <c r="R590" s="420"/>
      <c r="S590" s="420"/>
      <c r="T590" s="420"/>
      <c r="U590" s="420"/>
      <c r="V590" s="420"/>
      <c r="W590" s="420"/>
      <c r="X590" s="420"/>
      <c r="Y590" s="420"/>
      <c r="Z590" s="420"/>
      <c r="AA590" s="420"/>
    </row>
    <row r="591">
      <c r="A591" s="420"/>
      <c r="B591" s="420"/>
      <c r="C591" s="420"/>
      <c r="D591" s="420"/>
      <c r="E591" s="420"/>
      <c r="F591" s="420"/>
      <c r="G591" s="420"/>
      <c r="H591" s="421"/>
      <c r="I591" s="420"/>
      <c r="J591" s="420"/>
      <c r="K591" s="420"/>
      <c r="L591" s="420"/>
      <c r="M591" s="420"/>
      <c r="N591" s="420"/>
      <c r="O591" s="420"/>
      <c r="P591" s="420"/>
      <c r="Q591" s="420"/>
      <c r="R591" s="420"/>
      <c r="S591" s="420"/>
      <c r="T591" s="420"/>
      <c r="U591" s="420"/>
      <c r="V591" s="420"/>
      <c r="W591" s="420"/>
      <c r="X591" s="420"/>
      <c r="Y591" s="420"/>
      <c r="Z591" s="420"/>
      <c r="AA591" s="420"/>
    </row>
    <row r="592">
      <c r="A592" s="420"/>
      <c r="B592" s="420"/>
      <c r="C592" s="420"/>
      <c r="D592" s="420"/>
      <c r="E592" s="420"/>
      <c r="F592" s="420"/>
      <c r="G592" s="420"/>
      <c r="H592" s="421"/>
      <c r="I592" s="420"/>
      <c r="J592" s="420"/>
      <c r="K592" s="420"/>
      <c r="L592" s="420"/>
      <c r="M592" s="420"/>
      <c r="N592" s="420"/>
      <c r="O592" s="420"/>
      <c r="P592" s="420"/>
      <c r="Q592" s="420"/>
      <c r="R592" s="420"/>
      <c r="S592" s="420"/>
      <c r="T592" s="420"/>
      <c r="U592" s="420"/>
      <c r="V592" s="420"/>
      <c r="W592" s="420"/>
      <c r="X592" s="420"/>
      <c r="Y592" s="420"/>
      <c r="Z592" s="420"/>
      <c r="AA592" s="420"/>
    </row>
    <row r="593">
      <c r="A593" s="420"/>
      <c r="B593" s="420"/>
      <c r="C593" s="420"/>
      <c r="D593" s="420"/>
      <c r="E593" s="420"/>
      <c r="F593" s="420"/>
      <c r="G593" s="420"/>
      <c r="H593" s="421"/>
      <c r="I593" s="420"/>
      <c r="J593" s="420"/>
      <c r="K593" s="420"/>
      <c r="L593" s="420"/>
      <c r="M593" s="420"/>
      <c r="N593" s="420"/>
      <c r="O593" s="420"/>
      <c r="P593" s="420"/>
      <c r="Q593" s="420"/>
      <c r="R593" s="420"/>
      <c r="S593" s="420"/>
      <c r="T593" s="420"/>
      <c r="U593" s="420"/>
      <c r="V593" s="420"/>
      <c r="W593" s="420"/>
      <c r="X593" s="420"/>
      <c r="Y593" s="420"/>
      <c r="Z593" s="420"/>
      <c r="AA593" s="420"/>
    </row>
    <row r="594">
      <c r="A594" s="420"/>
      <c r="B594" s="420"/>
      <c r="C594" s="420"/>
      <c r="D594" s="420"/>
      <c r="E594" s="420"/>
      <c r="F594" s="420"/>
      <c r="G594" s="420"/>
      <c r="H594" s="421"/>
      <c r="I594" s="420"/>
      <c r="J594" s="420"/>
      <c r="K594" s="420"/>
      <c r="L594" s="420"/>
      <c r="M594" s="420"/>
      <c r="N594" s="420"/>
      <c r="O594" s="420"/>
      <c r="P594" s="420"/>
      <c r="Q594" s="420"/>
      <c r="R594" s="420"/>
      <c r="S594" s="420"/>
      <c r="T594" s="420"/>
      <c r="U594" s="420"/>
      <c r="V594" s="420"/>
      <c r="W594" s="420"/>
      <c r="X594" s="420"/>
      <c r="Y594" s="420"/>
      <c r="Z594" s="420"/>
      <c r="AA594" s="420"/>
    </row>
    <row r="595">
      <c r="A595" s="420"/>
      <c r="B595" s="420"/>
      <c r="C595" s="420"/>
      <c r="D595" s="420"/>
      <c r="E595" s="420"/>
      <c r="F595" s="420"/>
      <c r="G595" s="420"/>
      <c r="H595" s="421"/>
      <c r="I595" s="420"/>
      <c r="J595" s="420"/>
      <c r="K595" s="420"/>
      <c r="L595" s="420"/>
      <c r="M595" s="420"/>
      <c r="N595" s="420"/>
      <c r="O595" s="420"/>
      <c r="P595" s="420"/>
      <c r="Q595" s="420"/>
      <c r="R595" s="420"/>
      <c r="S595" s="420"/>
      <c r="T595" s="420"/>
      <c r="U595" s="420"/>
      <c r="V595" s="420"/>
      <c r="W595" s="420"/>
      <c r="X595" s="420"/>
      <c r="Y595" s="420"/>
      <c r="Z595" s="420"/>
      <c r="AA595" s="420"/>
    </row>
    <row r="596">
      <c r="A596" s="420"/>
      <c r="B596" s="420"/>
      <c r="C596" s="420"/>
      <c r="D596" s="420"/>
      <c r="E596" s="420"/>
      <c r="F596" s="420"/>
      <c r="G596" s="420"/>
      <c r="H596" s="421"/>
      <c r="I596" s="420"/>
      <c r="J596" s="420"/>
      <c r="K596" s="420"/>
      <c r="L596" s="420"/>
      <c r="M596" s="420"/>
      <c r="N596" s="420"/>
      <c r="O596" s="420"/>
      <c r="P596" s="420"/>
      <c r="Q596" s="420"/>
      <c r="R596" s="420"/>
      <c r="S596" s="420"/>
      <c r="T596" s="420"/>
      <c r="U596" s="420"/>
      <c r="V596" s="420"/>
      <c r="W596" s="420"/>
      <c r="X596" s="420"/>
      <c r="Y596" s="420"/>
      <c r="Z596" s="420"/>
      <c r="AA596" s="420"/>
    </row>
    <row r="597">
      <c r="A597" s="420"/>
      <c r="B597" s="420"/>
      <c r="C597" s="420"/>
      <c r="D597" s="420"/>
      <c r="E597" s="420"/>
      <c r="F597" s="420"/>
      <c r="G597" s="420"/>
      <c r="H597" s="421"/>
      <c r="I597" s="420"/>
      <c r="J597" s="420"/>
      <c r="K597" s="420"/>
      <c r="L597" s="420"/>
      <c r="M597" s="420"/>
      <c r="N597" s="420"/>
      <c r="O597" s="420"/>
      <c r="P597" s="420"/>
      <c r="Q597" s="420"/>
      <c r="R597" s="420"/>
      <c r="S597" s="420"/>
      <c r="T597" s="420"/>
      <c r="U597" s="420"/>
      <c r="V597" s="420"/>
      <c r="W597" s="420"/>
      <c r="X597" s="420"/>
      <c r="Y597" s="420"/>
      <c r="Z597" s="420"/>
      <c r="AA597" s="420"/>
    </row>
    <row r="598">
      <c r="A598" s="420"/>
      <c r="B598" s="420"/>
      <c r="C598" s="420"/>
      <c r="D598" s="420"/>
      <c r="E598" s="420"/>
      <c r="F598" s="420"/>
      <c r="G598" s="420"/>
      <c r="H598" s="421"/>
      <c r="I598" s="420"/>
      <c r="J598" s="420"/>
      <c r="K598" s="420"/>
      <c r="L598" s="420"/>
      <c r="M598" s="420"/>
      <c r="N598" s="420"/>
      <c r="O598" s="420"/>
      <c r="P598" s="420"/>
      <c r="Q598" s="420"/>
      <c r="R598" s="420"/>
      <c r="S598" s="420"/>
      <c r="T598" s="420"/>
      <c r="U598" s="420"/>
      <c r="V598" s="420"/>
      <c r="W598" s="420"/>
      <c r="X598" s="420"/>
      <c r="Y598" s="420"/>
      <c r="Z598" s="420"/>
      <c r="AA598" s="420"/>
    </row>
    <row r="599">
      <c r="A599" s="420"/>
      <c r="B599" s="420"/>
      <c r="C599" s="420"/>
      <c r="D599" s="420"/>
      <c r="E599" s="420"/>
      <c r="F599" s="420"/>
      <c r="G599" s="420"/>
      <c r="H599" s="421"/>
      <c r="I599" s="420"/>
      <c r="J599" s="420"/>
      <c r="K599" s="420"/>
      <c r="L599" s="420"/>
      <c r="M599" s="420"/>
      <c r="N599" s="420"/>
      <c r="O599" s="420"/>
      <c r="P599" s="420"/>
      <c r="Q599" s="420"/>
      <c r="R599" s="420"/>
      <c r="S599" s="420"/>
      <c r="T599" s="420"/>
      <c r="U599" s="420"/>
      <c r="V599" s="420"/>
      <c r="W599" s="420"/>
      <c r="X599" s="420"/>
      <c r="Y599" s="420"/>
      <c r="Z599" s="420"/>
      <c r="AA599" s="420"/>
    </row>
    <row r="600">
      <c r="A600" s="420"/>
      <c r="B600" s="420"/>
      <c r="C600" s="420"/>
      <c r="D600" s="420"/>
      <c r="E600" s="420"/>
      <c r="F600" s="420"/>
      <c r="G600" s="420"/>
      <c r="H600" s="421"/>
      <c r="I600" s="420"/>
      <c r="J600" s="420"/>
      <c r="K600" s="420"/>
      <c r="L600" s="420"/>
      <c r="M600" s="420"/>
      <c r="N600" s="420"/>
      <c r="O600" s="420"/>
      <c r="P600" s="420"/>
      <c r="Q600" s="420"/>
      <c r="R600" s="420"/>
      <c r="S600" s="420"/>
      <c r="T600" s="420"/>
      <c r="U600" s="420"/>
      <c r="V600" s="420"/>
      <c r="W600" s="420"/>
      <c r="X600" s="420"/>
      <c r="Y600" s="420"/>
      <c r="Z600" s="420"/>
      <c r="AA600" s="420"/>
    </row>
    <row r="601">
      <c r="A601" s="420"/>
      <c r="B601" s="420"/>
      <c r="C601" s="420"/>
      <c r="D601" s="420"/>
      <c r="E601" s="420"/>
      <c r="F601" s="420"/>
      <c r="G601" s="420"/>
      <c r="H601" s="421"/>
      <c r="I601" s="420"/>
      <c r="J601" s="420"/>
      <c r="K601" s="420"/>
      <c r="L601" s="420"/>
      <c r="M601" s="420"/>
      <c r="N601" s="420"/>
      <c r="O601" s="420"/>
      <c r="P601" s="420"/>
      <c r="Q601" s="420"/>
      <c r="R601" s="420"/>
      <c r="S601" s="420"/>
      <c r="T601" s="420"/>
      <c r="U601" s="420"/>
      <c r="V601" s="420"/>
      <c r="W601" s="420"/>
      <c r="X601" s="420"/>
      <c r="Y601" s="420"/>
      <c r="Z601" s="420"/>
      <c r="AA601" s="420"/>
    </row>
    <row r="602">
      <c r="A602" s="420"/>
      <c r="B602" s="420"/>
      <c r="C602" s="420"/>
      <c r="D602" s="420"/>
      <c r="E602" s="420"/>
      <c r="F602" s="420"/>
      <c r="G602" s="420"/>
      <c r="H602" s="421"/>
      <c r="I602" s="420"/>
      <c r="J602" s="420"/>
      <c r="K602" s="420"/>
      <c r="L602" s="420"/>
      <c r="M602" s="420"/>
      <c r="N602" s="420"/>
      <c r="O602" s="420"/>
      <c r="P602" s="420"/>
      <c r="Q602" s="420"/>
      <c r="R602" s="420"/>
      <c r="S602" s="420"/>
      <c r="T602" s="420"/>
      <c r="U602" s="420"/>
      <c r="V602" s="420"/>
      <c r="W602" s="420"/>
      <c r="X602" s="420"/>
      <c r="Y602" s="420"/>
      <c r="Z602" s="420"/>
      <c r="AA602" s="420"/>
    </row>
    <row r="603">
      <c r="A603" s="420"/>
      <c r="B603" s="420"/>
      <c r="C603" s="420"/>
      <c r="D603" s="420"/>
      <c r="E603" s="420"/>
      <c r="F603" s="420"/>
      <c r="G603" s="420"/>
      <c r="H603" s="421"/>
      <c r="I603" s="420"/>
      <c r="J603" s="420"/>
      <c r="K603" s="420"/>
      <c r="L603" s="420"/>
      <c r="M603" s="420"/>
      <c r="N603" s="420"/>
      <c r="O603" s="420"/>
      <c r="P603" s="420"/>
      <c r="Q603" s="420"/>
      <c r="R603" s="420"/>
      <c r="S603" s="420"/>
      <c r="T603" s="420"/>
      <c r="U603" s="420"/>
      <c r="V603" s="420"/>
      <c r="W603" s="420"/>
      <c r="X603" s="420"/>
      <c r="Y603" s="420"/>
      <c r="Z603" s="420"/>
      <c r="AA603" s="420"/>
    </row>
    <row r="604">
      <c r="A604" s="420"/>
      <c r="B604" s="420"/>
      <c r="C604" s="420"/>
      <c r="D604" s="420"/>
      <c r="E604" s="420"/>
      <c r="F604" s="420"/>
      <c r="G604" s="420"/>
      <c r="H604" s="421"/>
      <c r="I604" s="420"/>
      <c r="J604" s="420"/>
      <c r="K604" s="420"/>
      <c r="L604" s="420"/>
      <c r="M604" s="420"/>
      <c r="N604" s="420"/>
      <c r="O604" s="420"/>
      <c r="P604" s="420"/>
      <c r="Q604" s="420"/>
      <c r="R604" s="420"/>
      <c r="S604" s="420"/>
      <c r="T604" s="420"/>
      <c r="U604" s="420"/>
      <c r="V604" s="420"/>
      <c r="W604" s="420"/>
      <c r="X604" s="420"/>
      <c r="Y604" s="420"/>
      <c r="Z604" s="420"/>
      <c r="AA604" s="420"/>
    </row>
    <row r="605">
      <c r="A605" s="420"/>
      <c r="B605" s="420"/>
      <c r="C605" s="420"/>
      <c r="D605" s="420"/>
      <c r="E605" s="420"/>
      <c r="F605" s="420"/>
      <c r="G605" s="420"/>
      <c r="H605" s="421"/>
      <c r="I605" s="420"/>
      <c r="J605" s="420"/>
      <c r="K605" s="420"/>
      <c r="L605" s="420"/>
      <c r="M605" s="420"/>
      <c r="N605" s="420"/>
      <c r="O605" s="420"/>
      <c r="P605" s="420"/>
      <c r="Q605" s="420"/>
      <c r="R605" s="420"/>
      <c r="S605" s="420"/>
      <c r="T605" s="420"/>
      <c r="U605" s="420"/>
      <c r="V605" s="420"/>
      <c r="W605" s="420"/>
      <c r="X605" s="420"/>
      <c r="Y605" s="420"/>
      <c r="Z605" s="420"/>
      <c r="AA605" s="420"/>
    </row>
    <row r="606">
      <c r="A606" s="420"/>
      <c r="B606" s="420"/>
      <c r="C606" s="420"/>
      <c r="D606" s="420"/>
      <c r="E606" s="420"/>
      <c r="F606" s="420"/>
      <c r="G606" s="420"/>
      <c r="H606" s="421"/>
      <c r="I606" s="420"/>
      <c r="J606" s="420"/>
      <c r="K606" s="420"/>
      <c r="L606" s="420"/>
      <c r="M606" s="420"/>
      <c r="N606" s="420"/>
      <c r="O606" s="420"/>
      <c r="P606" s="420"/>
      <c r="Q606" s="420"/>
      <c r="R606" s="420"/>
      <c r="S606" s="420"/>
      <c r="T606" s="420"/>
      <c r="U606" s="420"/>
      <c r="V606" s="420"/>
      <c r="W606" s="420"/>
      <c r="X606" s="420"/>
      <c r="Y606" s="420"/>
      <c r="Z606" s="420"/>
      <c r="AA606" s="420"/>
    </row>
    <row r="607">
      <c r="A607" s="420"/>
      <c r="B607" s="420"/>
      <c r="C607" s="420"/>
      <c r="D607" s="420"/>
      <c r="E607" s="420"/>
      <c r="F607" s="420"/>
      <c r="G607" s="420"/>
      <c r="H607" s="421"/>
      <c r="I607" s="420"/>
      <c r="J607" s="420"/>
      <c r="K607" s="420"/>
      <c r="L607" s="420"/>
      <c r="M607" s="420"/>
      <c r="N607" s="420"/>
      <c r="O607" s="420"/>
      <c r="P607" s="420"/>
      <c r="Q607" s="420"/>
      <c r="R607" s="420"/>
      <c r="S607" s="420"/>
      <c r="T607" s="420"/>
      <c r="U607" s="420"/>
      <c r="V607" s="420"/>
      <c r="W607" s="420"/>
      <c r="X607" s="420"/>
      <c r="Y607" s="420"/>
      <c r="Z607" s="420"/>
      <c r="AA607" s="420"/>
    </row>
    <row r="608">
      <c r="A608" s="420"/>
      <c r="B608" s="420"/>
      <c r="C608" s="420"/>
      <c r="D608" s="420"/>
      <c r="E608" s="420"/>
      <c r="F608" s="420"/>
      <c r="G608" s="420"/>
      <c r="H608" s="421"/>
      <c r="I608" s="420"/>
      <c r="J608" s="420"/>
      <c r="K608" s="420"/>
      <c r="L608" s="420"/>
      <c r="M608" s="420"/>
      <c r="N608" s="420"/>
      <c r="O608" s="420"/>
      <c r="P608" s="420"/>
      <c r="Q608" s="420"/>
      <c r="R608" s="420"/>
      <c r="S608" s="420"/>
      <c r="T608" s="420"/>
      <c r="U608" s="420"/>
      <c r="V608" s="420"/>
      <c r="W608" s="420"/>
      <c r="X608" s="420"/>
      <c r="Y608" s="420"/>
      <c r="Z608" s="420"/>
      <c r="AA608" s="420"/>
    </row>
    <row r="609">
      <c r="A609" s="420"/>
      <c r="B609" s="420"/>
      <c r="C609" s="420"/>
      <c r="D609" s="420"/>
      <c r="E609" s="420"/>
      <c r="F609" s="420"/>
      <c r="G609" s="420"/>
      <c r="H609" s="421"/>
      <c r="I609" s="420"/>
      <c r="J609" s="420"/>
      <c r="K609" s="420"/>
      <c r="L609" s="420"/>
      <c r="M609" s="420"/>
      <c r="N609" s="420"/>
      <c r="O609" s="420"/>
      <c r="P609" s="420"/>
      <c r="Q609" s="420"/>
      <c r="R609" s="420"/>
      <c r="S609" s="420"/>
      <c r="T609" s="420"/>
      <c r="U609" s="420"/>
      <c r="V609" s="420"/>
      <c r="W609" s="420"/>
      <c r="X609" s="420"/>
      <c r="Y609" s="420"/>
      <c r="Z609" s="420"/>
      <c r="AA609" s="420"/>
    </row>
    <row r="610">
      <c r="A610" s="420"/>
      <c r="B610" s="420"/>
      <c r="C610" s="420"/>
      <c r="D610" s="420"/>
      <c r="E610" s="420"/>
      <c r="F610" s="420"/>
      <c r="G610" s="420"/>
      <c r="H610" s="421"/>
      <c r="I610" s="420"/>
      <c r="J610" s="420"/>
      <c r="K610" s="420"/>
      <c r="L610" s="420"/>
      <c r="M610" s="420"/>
      <c r="N610" s="420"/>
      <c r="O610" s="420"/>
      <c r="P610" s="420"/>
      <c r="Q610" s="420"/>
      <c r="R610" s="420"/>
      <c r="S610" s="420"/>
      <c r="T610" s="420"/>
      <c r="U610" s="420"/>
      <c r="V610" s="420"/>
      <c r="W610" s="420"/>
      <c r="X610" s="420"/>
      <c r="Y610" s="420"/>
      <c r="Z610" s="420"/>
      <c r="AA610" s="420"/>
    </row>
    <row r="611">
      <c r="A611" s="420"/>
      <c r="B611" s="420"/>
      <c r="C611" s="420"/>
      <c r="D611" s="420"/>
      <c r="E611" s="420"/>
      <c r="F611" s="420"/>
      <c r="G611" s="420"/>
      <c r="H611" s="421"/>
      <c r="I611" s="420"/>
      <c r="J611" s="420"/>
      <c r="K611" s="420"/>
      <c r="L611" s="420"/>
      <c r="M611" s="420"/>
      <c r="N611" s="420"/>
      <c r="O611" s="420"/>
      <c r="P611" s="420"/>
      <c r="Q611" s="420"/>
      <c r="R611" s="420"/>
      <c r="S611" s="420"/>
      <c r="T611" s="420"/>
      <c r="U611" s="420"/>
      <c r="V611" s="420"/>
      <c r="W611" s="420"/>
      <c r="X611" s="420"/>
      <c r="Y611" s="420"/>
      <c r="Z611" s="420"/>
      <c r="AA611" s="420"/>
    </row>
    <row r="612">
      <c r="A612" s="420"/>
      <c r="B612" s="420"/>
      <c r="C612" s="420"/>
      <c r="D612" s="420"/>
      <c r="E612" s="420"/>
      <c r="F612" s="420"/>
      <c r="G612" s="420"/>
      <c r="H612" s="421"/>
      <c r="I612" s="420"/>
      <c r="J612" s="420"/>
      <c r="K612" s="420"/>
      <c r="L612" s="420"/>
      <c r="M612" s="420"/>
      <c r="N612" s="420"/>
      <c r="O612" s="420"/>
      <c r="P612" s="420"/>
      <c r="Q612" s="420"/>
      <c r="R612" s="420"/>
      <c r="S612" s="420"/>
      <c r="T612" s="420"/>
      <c r="U612" s="420"/>
      <c r="V612" s="420"/>
      <c r="W612" s="420"/>
      <c r="X612" s="420"/>
      <c r="Y612" s="420"/>
      <c r="Z612" s="420"/>
      <c r="AA612" s="420"/>
    </row>
    <row r="613">
      <c r="A613" s="420"/>
      <c r="B613" s="420"/>
      <c r="C613" s="420"/>
      <c r="D613" s="420"/>
      <c r="E613" s="420"/>
      <c r="F613" s="420"/>
      <c r="G613" s="420"/>
      <c r="H613" s="421"/>
      <c r="I613" s="420"/>
      <c r="J613" s="420"/>
      <c r="K613" s="420"/>
      <c r="L613" s="420"/>
      <c r="M613" s="420"/>
      <c r="N613" s="420"/>
      <c r="O613" s="420"/>
      <c r="P613" s="420"/>
      <c r="Q613" s="420"/>
      <c r="R613" s="420"/>
      <c r="S613" s="420"/>
      <c r="T613" s="420"/>
      <c r="U613" s="420"/>
      <c r="V613" s="420"/>
      <c r="W613" s="420"/>
      <c r="X613" s="420"/>
      <c r="Y613" s="420"/>
      <c r="Z613" s="420"/>
      <c r="AA613" s="420"/>
    </row>
    <row r="614">
      <c r="A614" s="420"/>
      <c r="B614" s="420"/>
      <c r="C614" s="420"/>
      <c r="D614" s="420"/>
      <c r="E614" s="420"/>
      <c r="F614" s="420"/>
      <c r="G614" s="420"/>
      <c r="H614" s="421"/>
      <c r="I614" s="420"/>
      <c r="J614" s="420"/>
      <c r="K614" s="420"/>
      <c r="L614" s="420"/>
      <c r="M614" s="420"/>
      <c r="N614" s="420"/>
      <c r="O614" s="420"/>
      <c r="P614" s="420"/>
      <c r="Q614" s="420"/>
      <c r="R614" s="420"/>
      <c r="S614" s="420"/>
      <c r="T614" s="420"/>
      <c r="U614" s="420"/>
      <c r="V614" s="420"/>
      <c r="W614" s="420"/>
      <c r="X614" s="420"/>
      <c r="Y614" s="420"/>
      <c r="Z614" s="420"/>
      <c r="AA614" s="420"/>
    </row>
    <row r="615">
      <c r="A615" s="420"/>
      <c r="B615" s="420"/>
      <c r="C615" s="420"/>
      <c r="D615" s="420"/>
      <c r="E615" s="420"/>
      <c r="F615" s="420"/>
      <c r="G615" s="420"/>
      <c r="H615" s="421"/>
      <c r="I615" s="420"/>
      <c r="J615" s="420"/>
      <c r="K615" s="420"/>
      <c r="L615" s="420"/>
      <c r="M615" s="420"/>
      <c r="N615" s="420"/>
      <c r="O615" s="420"/>
      <c r="P615" s="420"/>
      <c r="Q615" s="420"/>
      <c r="R615" s="420"/>
      <c r="S615" s="420"/>
      <c r="T615" s="420"/>
      <c r="U615" s="420"/>
      <c r="V615" s="420"/>
      <c r="W615" s="420"/>
      <c r="X615" s="420"/>
      <c r="Y615" s="420"/>
      <c r="Z615" s="420"/>
      <c r="AA615" s="420"/>
    </row>
    <row r="616">
      <c r="A616" s="420"/>
      <c r="B616" s="420"/>
      <c r="C616" s="420"/>
      <c r="D616" s="420"/>
      <c r="E616" s="420"/>
      <c r="F616" s="420"/>
      <c r="G616" s="420"/>
      <c r="H616" s="421"/>
      <c r="I616" s="420"/>
      <c r="J616" s="420"/>
      <c r="K616" s="420"/>
      <c r="L616" s="420"/>
      <c r="M616" s="420"/>
      <c r="N616" s="420"/>
      <c r="O616" s="420"/>
      <c r="P616" s="420"/>
      <c r="Q616" s="420"/>
      <c r="R616" s="420"/>
      <c r="S616" s="420"/>
      <c r="T616" s="420"/>
      <c r="U616" s="420"/>
      <c r="V616" s="420"/>
      <c r="W616" s="420"/>
      <c r="X616" s="420"/>
      <c r="Y616" s="420"/>
      <c r="Z616" s="420"/>
      <c r="AA616" s="420"/>
    </row>
    <row r="617">
      <c r="A617" s="420"/>
      <c r="B617" s="420"/>
      <c r="C617" s="420"/>
      <c r="D617" s="420"/>
      <c r="E617" s="420"/>
      <c r="F617" s="420"/>
      <c r="G617" s="420"/>
      <c r="H617" s="421"/>
      <c r="I617" s="420"/>
      <c r="J617" s="420"/>
      <c r="K617" s="420"/>
      <c r="L617" s="420"/>
      <c r="M617" s="420"/>
      <c r="N617" s="420"/>
      <c r="O617" s="420"/>
      <c r="P617" s="420"/>
      <c r="Q617" s="420"/>
      <c r="R617" s="420"/>
      <c r="S617" s="420"/>
      <c r="T617" s="420"/>
      <c r="U617" s="420"/>
      <c r="V617" s="420"/>
      <c r="W617" s="420"/>
      <c r="X617" s="420"/>
      <c r="Y617" s="420"/>
      <c r="Z617" s="420"/>
      <c r="AA617" s="420"/>
    </row>
    <row r="618">
      <c r="A618" s="420"/>
      <c r="B618" s="420"/>
      <c r="C618" s="420"/>
      <c r="D618" s="420"/>
      <c r="E618" s="420"/>
      <c r="F618" s="420"/>
      <c r="G618" s="420"/>
      <c r="H618" s="421"/>
      <c r="I618" s="420"/>
      <c r="J618" s="420"/>
      <c r="K618" s="420"/>
      <c r="L618" s="420"/>
      <c r="M618" s="420"/>
      <c r="N618" s="420"/>
      <c r="O618" s="420"/>
      <c r="P618" s="420"/>
      <c r="Q618" s="420"/>
      <c r="R618" s="420"/>
      <c r="S618" s="420"/>
      <c r="T618" s="420"/>
      <c r="U618" s="420"/>
      <c r="V618" s="420"/>
      <c r="W618" s="420"/>
      <c r="X618" s="420"/>
      <c r="Y618" s="420"/>
      <c r="Z618" s="420"/>
      <c r="AA618" s="420"/>
    </row>
    <row r="619">
      <c r="A619" s="420"/>
      <c r="B619" s="420"/>
      <c r="C619" s="420"/>
      <c r="D619" s="420"/>
      <c r="E619" s="420"/>
      <c r="F619" s="420"/>
      <c r="G619" s="420"/>
      <c r="H619" s="421"/>
      <c r="I619" s="420"/>
      <c r="J619" s="420"/>
      <c r="K619" s="420"/>
      <c r="L619" s="420"/>
      <c r="M619" s="420"/>
      <c r="N619" s="420"/>
      <c r="O619" s="420"/>
      <c r="P619" s="420"/>
      <c r="Q619" s="420"/>
      <c r="R619" s="420"/>
      <c r="S619" s="420"/>
      <c r="T619" s="420"/>
      <c r="U619" s="420"/>
      <c r="V619" s="420"/>
      <c r="W619" s="420"/>
      <c r="X619" s="420"/>
      <c r="Y619" s="420"/>
      <c r="Z619" s="420"/>
      <c r="AA619" s="420"/>
    </row>
    <row r="620">
      <c r="A620" s="420"/>
      <c r="B620" s="420"/>
      <c r="C620" s="420"/>
      <c r="D620" s="420"/>
      <c r="E620" s="420"/>
      <c r="F620" s="420"/>
      <c r="G620" s="420"/>
      <c r="H620" s="421"/>
      <c r="I620" s="420"/>
      <c r="J620" s="420"/>
      <c r="K620" s="420"/>
      <c r="L620" s="420"/>
      <c r="M620" s="420"/>
      <c r="N620" s="420"/>
      <c r="O620" s="420"/>
      <c r="P620" s="420"/>
      <c r="Q620" s="420"/>
      <c r="R620" s="420"/>
      <c r="S620" s="420"/>
      <c r="T620" s="420"/>
      <c r="U620" s="420"/>
      <c r="V620" s="420"/>
      <c r="W620" s="420"/>
      <c r="X620" s="420"/>
      <c r="Y620" s="420"/>
      <c r="Z620" s="420"/>
      <c r="AA620" s="420"/>
    </row>
    <row r="621">
      <c r="A621" s="420"/>
      <c r="B621" s="420"/>
      <c r="C621" s="420"/>
      <c r="D621" s="420"/>
      <c r="E621" s="420"/>
      <c r="F621" s="420"/>
      <c r="G621" s="420"/>
      <c r="H621" s="421"/>
      <c r="I621" s="420"/>
      <c r="J621" s="420"/>
      <c r="K621" s="420"/>
      <c r="L621" s="420"/>
      <c r="M621" s="420"/>
      <c r="N621" s="420"/>
      <c r="O621" s="420"/>
      <c r="P621" s="420"/>
      <c r="Q621" s="420"/>
      <c r="R621" s="420"/>
      <c r="S621" s="420"/>
      <c r="T621" s="420"/>
      <c r="U621" s="420"/>
      <c r="V621" s="420"/>
      <c r="W621" s="420"/>
      <c r="X621" s="420"/>
      <c r="Y621" s="420"/>
      <c r="Z621" s="420"/>
      <c r="AA621" s="420"/>
    </row>
    <row r="622">
      <c r="A622" s="420"/>
      <c r="B622" s="420"/>
      <c r="C622" s="420"/>
      <c r="D622" s="420"/>
      <c r="E622" s="420"/>
      <c r="F622" s="420"/>
      <c r="G622" s="420"/>
      <c r="H622" s="421"/>
      <c r="I622" s="420"/>
      <c r="J622" s="420"/>
      <c r="K622" s="420"/>
      <c r="L622" s="420"/>
      <c r="M622" s="420"/>
      <c r="N622" s="420"/>
      <c r="O622" s="420"/>
      <c r="P622" s="420"/>
      <c r="Q622" s="420"/>
      <c r="R622" s="420"/>
      <c r="S622" s="420"/>
      <c r="T622" s="420"/>
      <c r="U622" s="420"/>
      <c r="V622" s="420"/>
      <c r="W622" s="420"/>
      <c r="X622" s="420"/>
      <c r="Y622" s="420"/>
      <c r="Z622" s="420"/>
      <c r="AA622" s="420"/>
    </row>
    <row r="623">
      <c r="A623" s="420"/>
      <c r="B623" s="420"/>
      <c r="C623" s="420"/>
      <c r="D623" s="420"/>
      <c r="E623" s="420"/>
      <c r="F623" s="420"/>
      <c r="G623" s="420"/>
      <c r="H623" s="421"/>
      <c r="I623" s="420"/>
      <c r="J623" s="420"/>
      <c r="K623" s="420"/>
      <c r="L623" s="420"/>
      <c r="M623" s="420"/>
      <c r="N623" s="420"/>
      <c r="O623" s="420"/>
      <c r="P623" s="420"/>
      <c r="Q623" s="420"/>
      <c r="R623" s="420"/>
      <c r="S623" s="420"/>
      <c r="T623" s="420"/>
      <c r="U623" s="420"/>
      <c r="V623" s="420"/>
      <c r="W623" s="420"/>
      <c r="X623" s="420"/>
      <c r="Y623" s="420"/>
      <c r="Z623" s="420"/>
      <c r="AA623" s="420"/>
    </row>
    <row r="624">
      <c r="A624" s="420"/>
      <c r="B624" s="420"/>
      <c r="C624" s="420"/>
      <c r="D624" s="420"/>
      <c r="E624" s="420"/>
      <c r="F624" s="420"/>
      <c r="G624" s="420"/>
      <c r="H624" s="421"/>
      <c r="I624" s="420"/>
      <c r="J624" s="420"/>
      <c r="K624" s="420"/>
      <c r="L624" s="420"/>
      <c r="M624" s="420"/>
      <c r="N624" s="420"/>
      <c r="O624" s="420"/>
      <c r="P624" s="420"/>
      <c r="Q624" s="420"/>
      <c r="R624" s="420"/>
      <c r="S624" s="420"/>
      <c r="T624" s="420"/>
      <c r="U624" s="420"/>
      <c r="V624" s="420"/>
      <c r="W624" s="420"/>
      <c r="X624" s="420"/>
      <c r="Y624" s="420"/>
      <c r="Z624" s="420"/>
      <c r="AA624" s="420"/>
    </row>
    <row r="625">
      <c r="A625" s="420"/>
      <c r="B625" s="420"/>
      <c r="C625" s="420"/>
      <c r="D625" s="420"/>
      <c r="E625" s="420"/>
      <c r="F625" s="420"/>
      <c r="G625" s="420"/>
      <c r="H625" s="421"/>
      <c r="I625" s="420"/>
      <c r="J625" s="420"/>
      <c r="K625" s="420"/>
      <c r="L625" s="420"/>
      <c r="M625" s="420"/>
      <c r="N625" s="420"/>
      <c r="O625" s="420"/>
      <c r="P625" s="420"/>
      <c r="Q625" s="420"/>
      <c r="R625" s="420"/>
      <c r="S625" s="420"/>
      <c r="T625" s="420"/>
      <c r="U625" s="420"/>
      <c r="V625" s="420"/>
      <c r="W625" s="420"/>
      <c r="X625" s="420"/>
      <c r="Y625" s="420"/>
      <c r="Z625" s="420"/>
      <c r="AA625" s="420"/>
    </row>
    <row r="626">
      <c r="A626" s="420"/>
      <c r="B626" s="420"/>
      <c r="C626" s="420"/>
      <c r="D626" s="420"/>
      <c r="E626" s="420"/>
      <c r="F626" s="420"/>
      <c r="G626" s="420"/>
      <c r="H626" s="421"/>
      <c r="I626" s="420"/>
      <c r="J626" s="420"/>
      <c r="K626" s="420"/>
      <c r="L626" s="420"/>
      <c r="M626" s="420"/>
      <c r="N626" s="420"/>
      <c r="O626" s="420"/>
      <c r="P626" s="420"/>
      <c r="Q626" s="420"/>
      <c r="R626" s="420"/>
      <c r="S626" s="420"/>
      <c r="T626" s="420"/>
      <c r="U626" s="420"/>
      <c r="V626" s="420"/>
      <c r="W626" s="420"/>
      <c r="X626" s="420"/>
      <c r="Y626" s="420"/>
      <c r="Z626" s="420"/>
      <c r="AA626" s="420"/>
    </row>
    <row r="627">
      <c r="A627" s="420"/>
      <c r="B627" s="420"/>
      <c r="C627" s="420"/>
      <c r="D627" s="420"/>
      <c r="E627" s="420"/>
      <c r="F627" s="420"/>
      <c r="G627" s="420"/>
      <c r="H627" s="421"/>
      <c r="I627" s="420"/>
      <c r="J627" s="420"/>
      <c r="K627" s="420"/>
      <c r="L627" s="420"/>
      <c r="M627" s="420"/>
      <c r="N627" s="420"/>
      <c r="O627" s="420"/>
      <c r="P627" s="420"/>
      <c r="Q627" s="420"/>
      <c r="R627" s="420"/>
      <c r="S627" s="420"/>
      <c r="T627" s="420"/>
      <c r="U627" s="420"/>
      <c r="V627" s="420"/>
      <c r="W627" s="420"/>
      <c r="X627" s="420"/>
      <c r="Y627" s="420"/>
      <c r="Z627" s="420"/>
      <c r="AA627" s="420"/>
    </row>
    <row r="628">
      <c r="A628" s="420"/>
      <c r="B628" s="420"/>
      <c r="C628" s="420"/>
      <c r="D628" s="420"/>
      <c r="E628" s="420"/>
      <c r="F628" s="420"/>
      <c r="G628" s="420"/>
      <c r="H628" s="421"/>
      <c r="I628" s="420"/>
      <c r="J628" s="420"/>
      <c r="K628" s="420"/>
      <c r="L628" s="420"/>
      <c r="M628" s="420"/>
      <c r="N628" s="420"/>
      <c r="O628" s="420"/>
      <c r="P628" s="420"/>
      <c r="Q628" s="420"/>
      <c r="R628" s="420"/>
      <c r="S628" s="420"/>
      <c r="T628" s="420"/>
      <c r="U628" s="420"/>
      <c r="V628" s="420"/>
      <c r="W628" s="420"/>
      <c r="X628" s="420"/>
      <c r="Y628" s="420"/>
      <c r="Z628" s="420"/>
      <c r="AA628" s="420"/>
    </row>
    <row r="629">
      <c r="A629" s="420"/>
      <c r="B629" s="420"/>
      <c r="C629" s="420"/>
      <c r="D629" s="420"/>
      <c r="E629" s="420"/>
      <c r="F629" s="420"/>
      <c r="G629" s="420"/>
      <c r="H629" s="421"/>
      <c r="I629" s="420"/>
      <c r="J629" s="420"/>
      <c r="K629" s="420"/>
      <c r="L629" s="420"/>
      <c r="M629" s="420"/>
      <c r="N629" s="420"/>
      <c r="O629" s="420"/>
      <c r="P629" s="420"/>
      <c r="Q629" s="420"/>
      <c r="R629" s="420"/>
      <c r="S629" s="420"/>
      <c r="T629" s="420"/>
      <c r="U629" s="420"/>
      <c r="V629" s="420"/>
      <c r="W629" s="420"/>
      <c r="X629" s="420"/>
      <c r="Y629" s="420"/>
      <c r="Z629" s="420"/>
      <c r="AA629" s="420"/>
    </row>
    <row r="630">
      <c r="A630" s="420"/>
      <c r="B630" s="420"/>
      <c r="C630" s="420"/>
      <c r="D630" s="420"/>
      <c r="E630" s="420"/>
      <c r="F630" s="420"/>
      <c r="G630" s="420"/>
      <c r="H630" s="421"/>
      <c r="I630" s="420"/>
      <c r="J630" s="420"/>
      <c r="K630" s="420"/>
      <c r="L630" s="420"/>
      <c r="M630" s="420"/>
      <c r="N630" s="420"/>
      <c r="O630" s="420"/>
      <c r="P630" s="420"/>
      <c r="Q630" s="420"/>
      <c r="R630" s="420"/>
      <c r="S630" s="420"/>
      <c r="T630" s="420"/>
      <c r="U630" s="420"/>
      <c r="V630" s="420"/>
      <c r="W630" s="420"/>
      <c r="X630" s="420"/>
      <c r="Y630" s="420"/>
      <c r="Z630" s="420"/>
      <c r="AA630" s="420"/>
    </row>
    <row r="631">
      <c r="A631" s="420"/>
      <c r="B631" s="420"/>
      <c r="C631" s="420"/>
      <c r="D631" s="420"/>
      <c r="E631" s="420"/>
      <c r="F631" s="420"/>
      <c r="G631" s="420"/>
      <c r="H631" s="421"/>
      <c r="I631" s="420"/>
      <c r="J631" s="420"/>
      <c r="K631" s="420"/>
      <c r="L631" s="420"/>
      <c r="M631" s="420"/>
      <c r="N631" s="420"/>
      <c r="O631" s="420"/>
      <c r="P631" s="420"/>
      <c r="Q631" s="420"/>
      <c r="R631" s="420"/>
      <c r="S631" s="420"/>
      <c r="T631" s="420"/>
      <c r="U631" s="420"/>
      <c r="V631" s="420"/>
      <c r="W631" s="420"/>
      <c r="X631" s="420"/>
      <c r="Y631" s="420"/>
      <c r="Z631" s="420"/>
      <c r="AA631" s="420"/>
    </row>
    <row r="632">
      <c r="A632" s="420"/>
      <c r="B632" s="420"/>
      <c r="C632" s="420"/>
      <c r="D632" s="420"/>
      <c r="E632" s="420"/>
      <c r="F632" s="420"/>
      <c r="G632" s="420"/>
      <c r="H632" s="421"/>
      <c r="I632" s="420"/>
      <c r="J632" s="420"/>
      <c r="K632" s="420"/>
      <c r="L632" s="420"/>
      <c r="M632" s="420"/>
      <c r="N632" s="420"/>
      <c r="O632" s="420"/>
      <c r="P632" s="420"/>
      <c r="Q632" s="420"/>
      <c r="R632" s="420"/>
      <c r="S632" s="420"/>
      <c r="T632" s="420"/>
      <c r="U632" s="420"/>
      <c r="V632" s="420"/>
      <c r="W632" s="420"/>
      <c r="X632" s="420"/>
      <c r="Y632" s="420"/>
      <c r="Z632" s="420"/>
      <c r="AA632" s="420"/>
    </row>
    <row r="633">
      <c r="A633" s="420"/>
      <c r="B633" s="420"/>
      <c r="C633" s="420"/>
      <c r="D633" s="420"/>
      <c r="E633" s="420"/>
      <c r="F633" s="420"/>
      <c r="G633" s="420"/>
      <c r="H633" s="421"/>
      <c r="I633" s="420"/>
      <c r="J633" s="420"/>
      <c r="K633" s="420"/>
      <c r="L633" s="420"/>
      <c r="M633" s="420"/>
      <c r="N633" s="420"/>
      <c r="O633" s="420"/>
      <c r="P633" s="420"/>
      <c r="Q633" s="420"/>
      <c r="R633" s="420"/>
      <c r="S633" s="420"/>
      <c r="T633" s="420"/>
      <c r="U633" s="420"/>
      <c r="V633" s="420"/>
      <c r="W633" s="420"/>
      <c r="X633" s="420"/>
      <c r="Y633" s="420"/>
      <c r="Z633" s="420"/>
      <c r="AA633" s="420"/>
    </row>
    <row r="634">
      <c r="A634" s="420"/>
      <c r="B634" s="420"/>
      <c r="C634" s="420"/>
      <c r="D634" s="420"/>
      <c r="E634" s="420"/>
      <c r="F634" s="420"/>
      <c r="G634" s="420"/>
      <c r="H634" s="421"/>
      <c r="I634" s="420"/>
      <c r="J634" s="420"/>
      <c r="K634" s="420"/>
      <c r="L634" s="420"/>
      <c r="M634" s="420"/>
      <c r="N634" s="420"/>
      <c r="O634" s="420"/>
      <c r="P634" s="420"/>
      <c r="Q634" s="420"/>
      <c r="R634" s="420"/>
      <c r="S634" s="420"/>
      <c r="T634" s="420"/>
      <c r="U634" s="420"/>
      <c r="V634" s="420"/>
      <c r="W634" s="420"/>
      <c r="X634" s="420"/>
      <c r="Y634" s="420"/>
      <c r="Z634" s="420"/>
      <c r="AA634" s="420"/>
    </row>
    <row r="635">
      <c r="A635" s="420"/>
      <c r="B635" s="420"/>
      <c r="C635" s="420"/>
      <c r="D635" s="420"/>
      <c r="E635" s="420"/>
      <c r="F635" s="420"/>
      <c r="G635" s="420"/>
      <c r="H635" s="421"/>
      <c r="I635" s="420"/>
      <c r="J635" s="420"/>
      <c r="K635" s="420"/>
      <c r="L635" s="420"/>
      <c r="M635" s="420"/>
      <c r="N635" s="420"/>
      <c r="O635" s="420"/>
      <c r="P635" s="420"/>
      <c r="Q635" s="420"/>
      <c r="R635" s="420"/>
      <c r="S635" s="420"/>
      <c r="T635" s="420"/>
      <c r="U635" s="420"/>
      <c r="V635" s="420"/>
      <c r="W635" s="420"/>
      <c r="X635" s="420"/>
      <c r="Y635" s="420"/>
      <c r="Z635" s="420"/>
      <c r="AA635" s="420"/>
    </row>
    <row r="636">
      <c r="A636" s="420"/>
      <c r="B636" s="420"/>
      <c r="C636" s="420"/>
      <c r="D636" s="420"/>
      <c r="E636" s="420"/>
      <c r="F636" s="420"/>
      <c r="G636" s="420"/>
      <c r="H636" s="421"/>
      <c r="I636" s="420"/>
      <c r="J636" s="420"/>
      <c r="K636" s="420"/>
      <c r="L636" s="420"/>
      <c r="M636" s="420"/>
      <c r="N636" s="420"/>
      <c r="O636" s="420"/>
      <c r="P636" s="420"/>
      <c r="Q636" s="420"/>
      <c r="R636" s="420"/>
      <c r="S636" s="420"/>
      <c r="T636" s="420"/>
      <c r="U636" s="420"/>
      <c r="V636" s="420"/>
      <c r="W636" s="420"/>
      <c r="X636" s="420"/>
      <c r="Y636" s="420"/>
      <c r="Z636" s="420"/>
      <c r="AA636" s="420"/>
    </row>
    <row r="637">
      <c r="A637" s="420"/>
      <c r="B637" s="420"/>
      <c r="C637" s="420"/>
      <c r="D637" s="420"/>
      <c r="E637" s="420"/>
      <c r="F637" s="420"/>
      <c r="G637" s="420"/>
      <c r="H637" s="421"/>
      <c r="I637" s="420"/>
      <c r="J637" s="420"/>
      <c r="K637" s="420"/>
      <c r="L637" s="420"/>
      <c r="M637" s="420"/>
      <c r="N637" s="420"/>
      <c r="O637" s="420"/>
      <c r="P637" s="420"/>
      <c r="Q637" s="420"/>
      <c r="R637" s="420"/>
      <c r="S637" s="420"/>
      <c r="T637" s="420"/>
      <c r="U637" s="420"/>
      <c r="V637" s="420"/>
      <c r="W637" s="420"/>
      <c r="X637" s="420"/>
      <c r="Y637" s="420"/>
      <c r="Z637" s="420"/>
      <c r="AA637" s="420"/>
    </row>
    <row r="638">
      <c r="A638" s="420"/>
      <c r="B638" s="420"/>
      <c r="C638" s="420"/>
      <c r="D638" s="420"/>
      <c r="E638" s="420"/>
      <c r="F638" s="420"/>
      <c r="G638" s="420"/>
      <c r="H638" s="421"/>
      <c r="I638" s="420"/>
      <c r="J638" s="420"/>
      <c r="K638" s="420"/>
      <c r="L638" s="420"/>
      <c r="M638" s="420"/>
      <c r="N638" s="420"/>
      <c r="O638" s="420"/>
      <c r="P638" s="420"/>
      <c r="Q638" s="420"/>
      <c r="R638" s="420"/>
      <c r="S638" s="420"/>
      <c r="T638" s="420"/>
      <c r="U638" s="420"/>
      <c r="V638" s="420"/>
      <c r="W638" s="420"/>
      <c r="X638" s="420"/>
      <c r="Y638" s="420"/>
      <c r="Z638" s="420"/>
      <c r="AA638" s="420"/>
    </row>
    <row r="639">
      <c r="A639" s="420"/>
      <c r="B639" s="420"/>
      <c r="C639" s="420"/>
      <c r="D639" s="420"/>
      <c r="E639" s="420"/>
      <c r="F639" s="420"/>
      <c r="G639" s="420"/>
      <c r="H639" s="421"/>
      <c r="I639" s="420"/>
      <c r="J639" s="420"/>
      <c r="K639" s="420"/>
      <c r="L639" s="420"/>
      <c r="M639" s="420"/>
      <c r="N639" s="420"/>
      <c r="O639" s="420"/>
      <c r="P639" s="420"/>
      <c r="Q639" s="420"/>
      <c r="R639" s="420"/>
      <c r="S639" s="420"/>
      <c r="T639" s="420"/>
      <c r="U639" s="420"/>
      <c r="V639" s="420"/>
      <c r="W639" s="420"/>
      <c r="X639" s="420"/>
      <c r="Y639" s="420"/>
      <c r="Z639" s="420"/>
      <c r="AA639" s="420"/>
    </row>
    <row r="640">
      <c r="A640" s="420"/>
      <c r="B640" s="420"/>
      <c r="C640" s="420"/>
      <c r="D640" s="420"/>
      <c r="E640" s="420"/>
      <c r="F640" s="420"/>
      <c r="G640" s="420"/>
      <c r="H640" s="421"/>
      <c r="I640" s="420"/>
      <c r="J640" s="420"/>
      <c r="K640" s="420"/>
      <c r="L640" s="420"/>
      <c r="M640" s="420"/>
      <c r="N640" s="420"/>
      <c r="O640" s="420"/>
      <c r="P640" s="420"/>
      <c r="Q640" s="420"/>
      <c r="R640" s="420"/>
      <c r="S640" s="420"/>
      <c r="T640" s="420"/>
      <c r="U640" s="420"/>
      <c r="V640" s="420"/>
      <c r="W640" s="420"/>
      <c r="X640" s="420"/>
      <c r="Y640" s="420"/>
      <c r="Z640" s="420"/>
      <c r="AA640" s="420"/>
    </row>
    <row r="641">
      <c r="A641" s="420"/>
      <c r="B641" s="420"/>
      <c r="C641" s="420"/>
      <c r="D641" s="420"/>
      <c r="E641" s="420"/>
      <c r="F641" s="420"/>
      <c r="G641" s="420"/>
      <c r="H641" s="421"/>
      <c r="I641" s="420"/>
      <c r="J641" s="420"/>
      <c r="K641" s="420"/>
      <c r="L641" s="420"/>
      <c r="M641" s="420"/>
      <c r="N641" s="420"/>
      <c r="O641" s="420"/>
      <c r="P641" s="420"/>
      <c r="Q641" s="420"/>
      <c r="R641" s="420"/>
      <c r="S641" s="420"/>
      <c r="T641" s="420"/>
      <c r="U641" s="420"/>
      <c r="V641" s="420"/>
      <c r="W641" s="420"/>
      <c r="X641" s="420"/>
      <c r="Y641" s="420"/>
      <c r="Z641" s="420"/>
      <c r="AA641" s="420"/>
    </row>
    <row r="642">
      <c r="A642" s="420"/>
      <c r="B642" s="420"/>
      <c r="C642" s="420"/>
      <c r="D642" s="420"/>
      <c r="E642" s="420"/>
      <c r="F642" s="420"/>
      <c r="G642" s="420"/>
      <c r="H642" s="421"/>
      <c r="I642" s="420"/>
      <c r="J642" s="420"/>
      <c r="K642" s="420"/>
      <c r="L642" s="420"/>
      <c r="M642" s="420"/>
      <c r="N642" s="420"/>
      <c r="O642" s="420"/>
      <c r="P642" s="420"/>
      <c r="Q642" s="420"/>
      <c r="R642" s="420"/>
      <c r="S642" s="420"/>
      <c r="T642" s="420"/>
      <c r="U642" s="420"/>
      <c r="V642" s="420"/>
      <c r="W642" s="420"/>
      <c r="X642" s="420"/>
      <c r="Y642" s="420"/>
      <c r="Z642" s="420"/>
      <c r="AA642" s="420"/>
    </row>
    <row r="643">
      <c r="A643" s="420"/>
      <c r="B643" s="420"/>
      <c r="C643" s="420"/>
      <c r="D643" s="420"/>
      <c r="E643" s="420"/>
      <c r="F643" s="420"/>
      <c r="G643" s="420"/>
      <c r="H643" s="421"/>
      <c r="I643" s="420"/>
      <c r="J643" s="420"/>
      <c r="K643" s="420"/>
      <c r="L643" s="420"/>
      <c r="M643" s="420"/>
      <c r="N643" s="420"/>
      <c r="O643" s="420"/>
      <c r="P643" s="420"/>
      <c r="Q643" s="420"/>
      <c r="R643" s="420"/>
      <c r="S643" s="420"/>
      <c r="T643" s="420"/>
      <c r="U643" s="420"/>
      <c r="V643" s="420"/>
      <c r="W643" s="420"/>
      <c r="X643" s="420"/>
      <c r="Y643" s="420"/>
      <c r="Z643" s="420"/>
      <c r="AA643" s="420"/>
    </row>
    <row r="644">
      <c r="A644" s="420"/>
      <c r="B644" s="420"/>
      <c r="C644" s="420"/>
      <c r="D644" s="420"/>
      <c r="E644" s="420"/>
      <c r="F644" s="420"/>
      <c r="G644" s="420"/>
      <c r="H644" s="421"/>
      <c r="I644" s="420"/>
      <c r="J644" s="420"/>
      <c r="K644" s="420"/>
      <c r="L644" s="420"/>
      <c r="M644" s="420"/>
      <c r="N644" s="420"/>
      <c r="O644" s="420"/>
      <c r="P644" s="420"/>
      <c r="Q644" s="420"/>
      <c r="R644" s="420"/>
      <c r="S644" s="420"/>
      <c r="T644" s="420"/>
      <c r="U644" s="420"/>
      <c r="V644" s="420"/>
      <c r="W644" s="420"/>
      <c r="X644" s="420"/>
      <c r="Y644" s="420"/>
      <c r="Z644" s="420"/>
      <c r="AA644" s="420"/>
    </row>
    <row r="645">
      <c r="A645" s="420"/>
      <c r="B645" s="420"/>
      <c r="C645" s="420"/>
      <c r="D645" s="420"/>
      <c r="E645" s="420"/>
      <c r="F645" s="420"/>
      <c r="G645" s="420"/>
      <c r="H645" s="421"/>
      <c r="I645" s="420"/>
      <c r="J645" s="420"/>
      <c r="K645" s="420"/>
      <c r="L645" s="420"/>
      <c r="M645" s="420"/>
      <c r="N645" s="420"/>
      <c r="O645" s="420"/>
      <c r="P645" s="420"/>
      <c r="Q645" s="420"/>
      <c r="R645" s="420"/>
      <c r="S645" s="420"/>
      <c r="T645" s="420"/>
      <c r="U645" s="420"/>
      <c r="V645" s="420"/>
      <c r="W645" s="420"/>
      <c r="X645" s="420"/>
      <c r="Y645" s="420"/>
      <c r="Z645" s="420"/>
      <c r="AA645" s="420"/>
    </row>
    <row r="646">
      <c r="A646" s="420"/>
      <c r="B646" s="420"/>
      <c r="C646" s="420"/>
      <c r="D646" s="420"/>
      <c r="E646" s="420"/>
      <c r="F646" s="420"/>
      <c r="G646" s="420"/>
      <c r="H646" s="421"/>
      <c r="I646" s="420"/>
      <c r="J646" s="420"/>
      <c r="K646" s="420"/>
      <c r="L646" s="420"/>
      <c r="M646" s="420"/>
      <c r="N646" s="420"/>
      <c r="O646" s="420"/>
      <c r="P646" s="420"/>
      <c r="Q646" s="420"/>
      <c r="R646" s="420"/>
      <c r="S646" s="420"/>
      <c r="T646" s="420"/>
      <c r="U646" s="420"/>
      <c r="V646" s="420"/>
      <c r="W646" s="420"/>
      <c r="X646" s="420"/>
      <c r="Y646" s="420"/>
      <c r="Z646" s="420"/>
      <c r="AA646" s="420"/>
    </row>
    <row r="647">
      <c r="A647" s="420"/>
      <c r="B647" s="420"/>
      <c r="C647" s="420"/>
      <c r="D647" s="420"/>
      <c r="E647" s="420"/>
      <c r="F647" s="420"/>
      <c r="G647" s="420"/>
      <c r="H647" s="421"/>
      <c r="I647" s="420"/>
      <c r="J647" s="420"/>
      <c r="K647" s="420"/>
      <c r="L647" s="420"/>
      <c r="M647" s="420"/>
      <c r="N647" s="420"/>
      <c r="O647" s="420"/>
      <c r="P647" s="420"/>
      <c r="Q647" s="420"/>
      <c r="R647" s="420"/>
      <c r="S647" s="420"/>
      <c r="T647" s="420"/>
      <c r="U647" s="420"/>
      <c r="V647" s="420"/>
      <c r="W647" s="420"/>
      <c r="X647" s="420"/>
      <c r="Y647" s="420"/>
      <c r="Z647" s="420"/>
      <c r="AA647" s="420"/>
    </row>
    <row r="648">
      <c r="A648" s="420"/>
      <c r="B648" s="420"/>
      <c r="C648" s="420"/>
      <c r="D648" s="420"/>
      <c r="E648" s="420"/>
      <c r="F648" s="420"/>
      <c r="G648" s="420"/>
      <c r="H648" s="421"/>
      <c r="I648" s="420"/>
      <c r="J648" s="420"/>
      <c r="K648" s="420"/>
      <c r="L648" s="420"/>
      <c r="M648" s="420"/>
      <c r="N648" s="420"/>
      <c r="O648" s="420"/>
      <c r="P648" s="420"/>
      <c r="Q648" s="420"/>
      <c r="R648" s="420"/>
      <c r="S648" s="420"/>
      <c r="T648" s="420"/>
      <c r="U648" s="420"/>
      <c r="V648" s="420"/>
      <c r="W648" s="420"/>
      <c r="X648" s="420"/>
      <c r="Y648" s="420"/>
      <c r="Z648" s="420"/>
      <c r="AA648" s="420"/>
    </row>
    <row r="649">
      <c r="A649" s="420"/>
      <c r="B649" s="420"/>
      <c r="C649" s="420"/>
      <c r="D649" s="420"/>
      <c r="E649" s="420"/>
      <c r="F649" s="420"/>
      <c r="G649" s="420"/>
      <c r="H649" s="421"/>
      <c r="I649" s="420"/>
      <c r="J649" s="420"/>
      <c r="K649" s="420"/>
      <c r="L649" s="420"/>
      <c r="M649" s="420"/>
      <c r="N649" s="420"/>
      <c r="O649" s="420"/>
      <c r="P649" s="420"/>
      <c r="Q649" s="420"/>
      <c r="R649" s="420"/>
      <c r="S649" s="420"/>
      <c r="T649" s="420"/>
      <c r="U649" s="420"/>
      <c r="V649" s="420"/>
      <c r="W649" s="420"/>
      <c r="X649" s="420"/>
      <c r="Y649" s="420"/>
      <c r="Z649" s="420"/>
      <c r="AA649" s="420"/>
    </row>
    <row r="650">
      <c r="A650" s="420"/>
      <c r="B650" s="420"/>
      <c r="C650" s="420"/>
      <c r="D650" s="420"/>
      <c r="E650" s="420"/>
      <c r="F650" s="420"/>
      <c r="G650" s="420"/>
      <c r="H650" s="421"/>
      <c r="I650" s="420"/>
      <c r="J650" s="420"/>
      <c r="K650" s="420"/>
      <c r="L650" s="420"/>
      <c r="M650" s="420"/>
      <c r="N650" s="420"/>
      <c r="O650" s="420"/>
      <c r="P650" s="420"/>
      <c r="Q650" s="420"/>
      <c r="R650" s="420"/>
      <c r="S650" s="420"/>
      <c r="T650" s="420"/>
      <c r="U650" s="420"/>
      <c r="V650" s="420"/>
      <c r="W650" s="420"/>
      <c r="X650" s="420"/>
      <c r="Y650" s="420"/>
      <c r="Z650" s="420"/>
      <c r="AA650" s="420"/>
    </row>
    <row r="651">
      <c r="A651" s="420"/>
      <c r="B651" s="420"/>
      <c r="C651" s="420"/>
      <c r="D651" s="420"/>
      <c r="E651" s="420"/>
      <c r="F651" s="420"/>
      <c r="G651" s="420"/>
      <c r="H651" s="421"/>
      <c r="I651" s="420"/>
      <c r="J651" s="420"/>
      <c r="K651" s="420"/>
      <c r="L651" s="420"/>
      <c r="M651" s="420"/>
      <c r="N651" s="420"/>
      <c r="O651" s="420"/>
      <c r="P651" s="420"/>
      <c r="Q651" s="420"/>
      <c r="R651" s="420"/>
      <c r="S651" s="420"/>
      <c r="T651" s="420"/>
      <c r="U651" s="420"/>
      <c r="V651" s="420"/>
      <c r="W651" s="420"/>
      <c r="X651" s="420"/>
      <c r="Y651" s="420"/>
      <c r="Z651" s="420"/>
      <c r="AA651" s="420"/>
    </row>
    <row r="652">
      <c r="A652" s="420"/>
      <c r="B652" s="420"/>
      <c r="C652" s="420"/>
      <c r="D652" s="420"/>
      <c r="E652" s="420"/>
      <c r="F652" s="420"/>
      <c r="G652" s="420"/>
      <c r="H652" s="421"/>
      <c r="I652" s="420"/>
      <c r="J652" s="420"/>
      <c r="K652" s="420"/>
      <c r="L652" s="420"/>
      <c r="M652" s="420"/>
      <c r="N652" s="420"/>
      <c r="O652" s="420"/>
      <c r="P652" s="420"/>
      <c r="Q652" s="420"/>
      <c r="R652" s="420"/>
      <c r="S652" s="420"/>
      <c r="T652" s="420"/>
      <c r="U652" s="420"/>
      <c r="V652" s="420"/>
      <c r="W652" s="420"/>
      <c r="X652" s="420"/>
      <c r="Y652" s="420"/>
      <c r="Z652" s="420"/>
      <c r="AA652" s="420"/>
    </row>
    <row r="653">
      <c r="A653" s="420"/>
      <c r="B653" s="420"/>
      <c r="C653" s="420"/>
      <c r="D653" s="420"/>
      <c r="E653" s="420"/>
      <c r="F653" s="420"/>
      <c r="G653" s="420"/>
      <c r="H653" s="421"/>
      <c r="I653" s="420"/>
      <c r="J653" s="420"/>
      <c r="K653" s="420"/>
      <c r="L653" s="420"/>
      <c r="M653" s="420"/>
      <c r="N653" s="420"/>
      <c r="O653" s="420"/>
      <c r="P653" s="420"/>
      <c r="Q653" s="420"/>
      <c r="R653" s="420"/>
      <c r="S653" s="420"/>
      <c r="T653" s="420"/>
      <c r="U653" s="420"/>
      <c r="V653" s="420"/>
      <c r="W653" s="420"/>
      <c r="X653" s="420"/>
      <c r="Y653" s="420"/>
      <c r="Z653" s="420"/>
      <c r="AA653" s="420"/>
    </row>
    <row r="654">
      <c r="A654" s="420"/>
      <c r="B654" s="420"/>
      <c r="C654" s="420"/>
      <c r="D654" s="420"/>
      <c r="E654" s="420"/>
      <c r="F654" s="420"/>
      <c r="G654" s="420"/>
      <c r="H654" s="421"/>
      <c r="I654" s="420"/>
      <c r="J654" s="420"/>
      <c r="K654" s="420"/>
      <c r="L654" s="420"/>
      <c r="M654" s="420"/>
      <c r="N654" s="420"/>
      <c r="O654" s="420"/>
      <c r="P654" s="420"/>
      <c r="Q654" s="420"/>
      <c r="R654" s="420"/>
      <c r="S654" s="420"/>
      <c r="T654" s="420"/>
      <c r="U654" s="420"/>
      <c r="V654" s="420"/>
      <c r="W654" s="420"/>
      <c r="X654" s="420"/>
      <c r="Y654" s="420"/>
      <c r="Z654" s="420"/>
      <c r="AA654" s="420"/>
    </row>
    <row r="655">
      <c r="A655" s="420"/>
      <c r="B655" s="420"/>
      <c r="C655" s="420"/>
      <c r="D655" s="420"/>
      <c r="E655" s="420"/>
      <c r="F655" s="420"/>
      <c r="G655" s="420"/>
      <c r="H655" s="421"/>
      <c r="I655" s="420"/>
      <c r="J655" s="420"/>
      <c r="K655" s="420"/>
      <c r="L655" s="420"/>
      <c r="M655" s="420"/>
      <c r="N655" s="420"/>
      <c r="O655" s="420"/>
      <c r="P655" s="420"/>
      <c r="Q655" s="420"/>
      <c r="R655" s="420"/>
      <c r="S655" s="420"/>
      <c r="T655" s="420"/>
      <c r="U655" s="420"/>
      <c r="V655" s="420"/>
      <c r="W655" s="420"/>
      <c r="X655" s="420"/>
      <c r="Y655" s="420"/>
      <c r="Z655" s="420"/>
      <c r="AA655" s="420"/>
    </row>
    <row r="656">
      <c r="A656" s="420"/>
      <c r="B656" s="420"/>
      <c r="C656" s="420"/>
      <c r="D656" s="420"/>
      <c r="E656" s="420"/>
      <c r="F656" s="420"/>
      <c r="G656" s="420"/>
      <c r="H656" s="421"/>
      <c r="I656" s="420"/>
      <c r="J656" s="420"/>
      <c r="K656" s="420"/>
      <c r="L656" s="420"/>
      <c r="M656" s="420"/>
      <c r="N656" s="420"/>
      <c r="O656" s="420"/>
      <c r="P656" s="420"/>
      <c r="Q656" s="420"/>
      <c r="R656" s="420"/>
      <c r="S656" s="420"/>
      <c r="T656" s="420"/>
      <c r="U656" s="420"/>
      <c r="V656" s="420"/>
      <c r="W656" s="420"/>
      <c r="X656" s="420"/>
      <c r="Y656" s="420"/>
      <c r="Z656" s="420"/>
      <c r="AA656" s="420"/>
    </row>
    <row r="657">
      <c r="A657" s="420"/>
      <c r="B657" s="420"/>
      <c r="C657" s="420"/>
      <c r="D657" s="420"/>
      <c r="E657" s="420"/>
      <c r="F657" s="420"/>
      <c r="G657" s="420"/>
      <c r="H657" s="421"/>
      <c r="I657" s="420"/>
      <c r="J657" s="420"/>
      <c r="K657" s="420"/>
      <c r="L657" s="420"/>
      <c r="M657" s="420"/>
      <c r="N657" s="420"/>
      <c r="O657" s="420"/>
      <c r="P657" s="420"/>
      <c r="Q657" s="420"/>
      <c r="R657" s="420"/>
      <c r="S657" s="420"/>
      <c r="T657" s="420"/>
      <c r="U657" s="420"/>
      <c r="V657" s="420"/>
      <c r="W657" s="420"/>
      <c r="X657" s="420"/>
      <c r="Y657" s="420"/>
      <c r="Z657" s="420"/>
      <c r="AA657" s="420"/>
    </row>
    <row r="658">
      <c r="A658" s="420"/>
      <c r="B658" s="420"/>
      <c r="C658" s="420"/>
      <c r="D658" s="420"/>
      <c r="E658" s="420"/>
      <c r="F658" s="420"/>
      <c r="G658" s="420"/>
      <c r="H658" s="421"/>
      <c r="I658" s="420"/>
      <c r="J658" s="420"/>
      <c r="K658" s="420"/>
      <c r="L658" s="420"/>
      <c r="M658" s="420"/>
      <c r="N658" s="420"/>
      <c r="O658" s="420"/>
      <c r="P658" s="420"/>
      <c r="Q658" s="420"/>
      <c r="R658" s="420"/>
      <c r="S658" s="420"/>
      <c r="T658" s="420"/>
      <c r="U658" s="420"/>
      <c r="V658" s="420"/>
      <c r="W658" s="420"/>
      <c r="X658" s="420"/>
      <c r="Y658" s="420"/>
      <c r="Z658" s="420"/>
      <c r="AA658" s="420"/>
    </row>
    <row r="659">
      <c r="A659" s="420"/>
      <c r="B659" s="420"/>
      <c r="C659" s="420"/>
      <c r="D659" s="420"/>
      <c r="E659" s="420"/>
      <c r="F659" s="420"/>
      <c r="G659" s="420"/>
      <c r="H659" s="421"/>
      <c r="I659" s="420"/>
      <c r="J659" s="420"/>
      <c r="K659" s="420"/>
      <c r="L659" s="420"/>
      <c r="M659" s="420"/>
      <c r="N659" s="420"/>
      <c r="O659" s="420"/>
      <c r="P659" s="420"/>
      <c r="Q659" s="420"/>
      <c r="R659" s="420"/>
      <c r="S659" s="420"/>
      <c r="T659" s="420"/>
      <c r="U659" s="420"/>
      <c r="V659" s="420"/>
      <c r="W659" s="420"/>
      <c r="X659" s="420"/>
      <c r="Y659" s="420"/>
      <c r="Z659" s="420"/>
      <c r="AA659" s="420"/>
    </row>
    <row r="660">
      <c r="A660" s="420"/>
      <c r="B660" s="420"/>
      <c r="C660" s="420"/>
      <c r="D660" s="420"/>
      <c r="E660" s="420"/>
      <c r="F660" s="420"/>
      <c r="G660" s="420"/>
      <c r="H660" s="421"/>
      <c r="I660" s="420"/>
      <c r="J660" s="420"/>
      <c r="K660" s="420"/>
      <c r="L660" s="420"/>
      <c r="M660" s="420"/>
      <c r="N660" s="420"/>
      <c r="O660" s="420"/>
      <c r="P660" s="420"/>
      <c r="Q660" s="420"/>
      <c r="R660" s="420"/>
      <c r="S660" s="420"/>
      <c r="T660" s="420"/>
      <c r="U660" s="420"/>
      <c r="V660" s="420"/>
      <c r="W660" s="420"/>
      <c r="X660" s="420"/>
      <c r="Y660" s="420"/>
      <c r="Z660" s="420"/>
      <c r="AA660" s="420"/>
    </row>
    <row r="661">
      <c r="A661" s="420"/>
      <c r="B661" s="420"/>
      <c r="C661" s="420"/>
      <c r="D661" s="420"/>
      <c r="E661" s="420"/>
      <c r="F661" s="420"/>
      <c r="G661" s="420"/>
      <c r="H661" s="421"/>
      <c r="I661" s="420"/>
      <c r="J661" s="420"/>
      <c r="K661" s="420"/>
      <c r="L661" s="420"/>
      <c r="M661" s="420"/>
      <c r="N661" s="420"/>
      <c r="O661" s="420"/>
      <c r="P661" s="420"/>
      <c r="Q661" s="420"/>
      <c r="R661" s="420"/>
      <c r="S661" s="420"/>
      <c r="T661" s="420"/>
      <c r="U661" s="420"/>
      <c r="V661" s="420"/>
      <c r="W661" s="420"/>
      <c r="X661" s="420"/>
      <c r="Y661" s="420"/>
      <c r="Z661" s="420"/>
      <c r="AA661" s="420"/>
    </row>
    <row r="662">
      <c r="A662" s="420"/>
      <c r="B662" s="420"/>
      <c r="C662" s="420"/>
      <c r="D662" s="420"/>
      <c r="E662" s="420"/>
      <c r="F662" s="420"/>
      <c r="G662" s="420"/>
      <c r="H662" s="421"/>
      <c r="I662" s="420"/>
      <c r="J662" s="420"/>
      <c r="K662" s="420"/>
      <c r="L662" s="420"/>
      <c r="M662" s="420"/>
      <c r="N662" s="420"/>
      <c r="O662" s="420"/>
      <c r="P662" s="420"/>
      <c r="Q662" s="420"/>
      <c r="R662" s="420"/>
      <c r="S662" s="420"/>
      <c r="T662" s="420"/>
      <c r="U662" s="420"/>
      <c r="V662" s="420"/>
      <c r="W662" s="420"/>
      <c r="X662" s="420"/>
      <c r="Y662" s="420"/>
      <c r="Z662" s="420"/>
      <c r="AA662" s="420"/>
    </row>
    <row r="663">
      <c r="A663" s="420"/>
      <c r="B663" s="420"/>
      <c r="C663" s="420"/>
      <c r="D663" s="420"/>
      <c r="E663" s="420"/>
      <c r="F663" s="420"/>
      <c r="G663" s="420"/>
      <c r="H663" s="421"/>
      <c r="I663" s="420"/>
      <c r="J663" s="420"/>
      <c r="K663" s="420"/>
      <c r="L663" s="420"/>
      <c r="M663" s="420"/>
      <c r="N663" s="420"/>
      <c r="O663" s="420"/>
      <c r="P663" s="420"/>
      <c r="Q663" s="420"/>
      <c r="R663" s="420"/>
      <c r="S663" s="420"/>
      <c r="T663" s="420"/>
      <c r="U663" s="420"/>
      <c r="V663" s="420"/>
      <c r="W663" s="420"/>
      <c r="X663" s="420"/>
      <c r="Y663" s="420"/>
      <c r="Z663" s="420"/>
      <c r="AA663" s="420"/>
    </row>
    <row r="664">
      <c r="A664" s="420"/>
      <c r="B664" s="420"/>
      <c r="C664" s="420"/>
      <c r="D664" s="420"/>
      <c r="E664" s="420"/>
      <c r="F664" s="420"/>
      <c r="G664" s="420"/>
      <c r="H664" s="421"/>
      <c r="I664" s="420"/>
      <c r="J664" s="420"/>
      <c r="K664" s="420"/>
      <c r="L664" s="420"/>
      <c r="M664" s="420"/>
      <c r="N664" s="420"/>
      <c r="O664" s="420"/>
      <c r="P664" s="420"/>
      <c r="Q664" s="420"/>
      <c r="R664" s="420"/>
      <c r="S664" s="420"/>
      <c r="T664" s="420"/>
      <c r="U664" s="420"/>
      <c r="V664" s="420"/>
      <c r="W664" s="420"/>
      <c r="X664" s="420"/>
      <c r="Y664" s="420"/>
      <c r="Z664" s="420"/>
      <c r="AA664" s="420"/>
    </row>
    <row r="665">
      <c r="A665" s="420"/>
      <c r="B665" s="420"/>
      <c r="C665" s="420"/>
      <c r="D665" s="420"/>
      <c r="E665" s="420"/>
      <c r="F665" s="420"/>
      <c r="G665" s="420"/>
      <c r="H665" s="421"/>
      <c r="I665" s="420"/>
      <c r="J665" s="420"/>
      <c r="K665" s="420"/>
      <c r="L665" s="420"/>
      <c r="M665" s="420"/>
      <c r="N665" s="420"/>
      <c r="O665" s="420"/>
      <c r="P665" s="420"/>
      <c r="Q665" s="420"/>
      <c r="R665" s="420"/>
      <c r="S665" s="420"/>
      <c r="T665" s="420"/>
      <c r="U665" s="420"/>
      <c r="V665" s="420"/>
      <c r="W665" s="420"/>
      <c r="X665" s="420"/>
      <c r="Y665" s="420"/>
      <c r="Z665" s="420"/>
      <c r="AA665" s="420"/>
    </row>
    <row r="666">
      <c r="A666" s="420"/>
      <c r="B666" s="420"/>
      <c r="C666" s="420"/>
      <c r="D666" s="420"/>
      <c r="E666" s="420"/>
      <c r="F666" s="420"/>
      <c r="G666" s="420"/>
      <c r="H666" s="421"/>
      <c r="I666" s="420"/>
      <c r="J666" s="420"/>
      <c r="K666" s="420"/>
      <c r="L666" s="420"/>
      <c r="M666" s="420"/>
      <c r="N666" s="420"/>
      <c r="O666" s="420"/>
      <c r="P666" s="420"/>
      <c r="Q666" s="420"/>
      <c r="R666" s="420"/>
      <c r="S666" s="420"/>
      <c r="T666" s="420"/>
      <c r="U666" s="420"/>
      <c r="V666" s="420"/>
      <c r="W666" s="420"/>
      <c r="X666" s="420"/>
      <c r="Y666" s="420"/>
      <c r="Z666" s="420"/>
      <c r="AA666" s="420"/>
    </row>
    <row r="667">
      <c r="A667" s="420"/>
      <c r="B667" s="420"/>
      <c r="C667" s="420"/>
      <c r="D667" s="420"/>
      <c r="E667" s="420"/>
      <c r="F667" s="420"/>
      <c r="G667" s="420"/>
      <c r="H667" s="421"/>
      <c r="I667" s="420"/>
      <c r="J667" s="420"/>
      <c r="K667" s="420"/>
      <c r="L667" s="420"/>
      <c r="M667" s="420"/>
      <c r="N667" s="420"/>
      <c r="O667" s="420"/>
      <c r="P667" s="420"/>
      <c r="Q667" s="420"/>
      <c r="R667" s="420"/>
      <c r="S667" s="420"/>
      <c r="T667" s="420"/>
      <c r="U667" s="420"/>
      <c r="V667" s="420"/>
      <c r="W667" s="420"/>
      <c r="X667" s="420"/>
      <c r="Y667" s="420"/>
      <c r="Z667" s="420"/>
      <c r="AA667" s="420"/>
    </row>
    <row r="668">
      <c r="A668" s="420"/>
      <c r="B668" s="420"/>
      <c r="C668" s="420"/>
      <c r="D668" s="420"/>
      <c r="E668" s="420"/>
      <c r="F668" s="420"/>
      <c r="G668" s="420"/>
      <c r="H668" s="421"/>
      <c r="I668" s="420"/>
      <c r="J668" s="420"/>
      <c r="K668" s="420"/>
      <c r="L668" s="420"/>
      <c r="M668" s="420"/>
      <c r="N668" s="420"/>
      <c r="O668" s="420"/>
      <c r="P668" s="420"/>
      <c r="Q668" s="420"/>
      <c r="R668" s="420"/>
      <c r="S668" s="420"/>
      <c r="T668" s="420"/>
      <c r="U668" s="420"/>
      <c r="V668" s="420"/>
      <c r="W668" s="420"/>
      <c r="X668" s="420"/>
      <c r="Y668" s="420"/>
      <c r="Z668" s="420"/>
      <c r="AA668" s="420"/>
    </row>
    <row r="669">
      <c r="A669" s="420"/>
      <c r="B669" s="420"/>
      <c r="C669" s="420"/>
      <c r="D669" s="420"/>
      <c r="E669" s="420"/>
      <c r="F669" s="420"/>
      <c r="G669" s="420"/>
      <c r="H669" s="421"/>
      <c r="I669" s="420"/>
      <c r="J669" s="420"/>
      <c r="K669" s="420"/>
      <c r="L669" s="420"/>
      <c r="M669" s="420"/>
      <c r="N669" s="420"/>
      <c r="O669" s="420"/>
      <c r="P669" s="420"/>
      <c r="Q669" s="420"/>
      <c r="R669" s="420"/>
      <c r="S669" s="420"/>
      <c r="T669" s="420"/>
      <c r="U669" s="420"/>
      <c r="V669" s="420"/>
      <c r="W669" s="420"/>
      <c r="X669" s="420"/>
      <c r="Y669" s="420"/>
      <c r="Z669" s="420"/>
      <c r="AA669" s="420"/>
    </row>
    <row r="670">
      <c r="A670" s="420"/>
      <c r="B670" s="420"/>
      <c r="C670" s="420"/>
      <c r="D670" s="420"/>
      <c r="E670" s="420"/>
      <c r="F670" s="420"/>
      <c r="G670" s="420"/>
      <c r="H670" s="421"/>
      <c r="I670" s="420"/>
      <c r="J670" s="420"/>
      <c r="K670" s="420"/>
      <c r="L670" s="420"/>
      <c r="M670" s="420"/>
      <c r="N670" s="420"/>
      <c r="O670" s="420"/>
      <c r="P670" s="420"/>
      <c r="Q670" s="420"/>
      <c r="R670" s="420"/>
      <c r="S670" s="420"/>
      <c r="T670" s="420"/>
      <c r="U670" s="420"/>
      <c r="V670" s="420"/>
      <c r="W670" s="420"/>
      <c r="X670" s="420"/>
      <c r="Y670" s="420"/>
      <c r="Z670" s="420"/>
      <c r="AA670" s="420"/>
    </row>
    <row r="671">
      <c r="A671" s="420"/>
      <c r="B671" s="420"/>
      <c r="C671" s="420"/>
      <c r="D671" s="420"/>
      <c r="E671" s="420"/>
      <c r="F671" s="420"/>
      <c r="G671" s="420"/>
      <c r="H671" s="421"/>
      <c r="I671" s="420"/>
      <c r="J671" s="420"/>
      <c r="K671" s="420"/>
      <c r="L671" s="420"/>
      <c r="M671" s="420"/>
      <c r="N671" s="420"/>
      <c r="O671" s="420"/>
      <c r="P671" s="420"/>
      <c r="Q671" s="420"/>
      <c r="R671" s="420"/>
      <c r="S671" s="420"/>
      <c r="T671" s="420"/>
      <c r="U671" s="420"/>
      <c r="V671" s="420"/>
      <c r="W671" s="420"/>
      <c r="X671" s="420"/>
      <c r="Y671" s="420"/>
      <c r="Z671" s="420"/>
      <c r="AA671" s="420"/>
    </row>
    <row r="672">
      <c r="A672" s="420"/>
      <c r="B672" s="420"/>
      <c r="C672" s="420"/>
      <c r="D672" s="420"/>
      <c r="E672" s="420"/>
      <c r="F672" s="420"/>
      <c r="G672" s="420"/>
      <c r="H672" s="421"/>
      <c r="I672" s="420"/>
      <c r="J672" s="420"/>
      <c r="K672" s="420"/>
      <c r="L672" s="420"/>
      <c r="M672" s="420"/>
      <c r="N672" s="420"/>
      <c r="O672" s="420"/>
      <c r="P672" s="420"/>
      <c r="Q672" s="420"/>
      <c r="R672" s="420"/>
      <c r="S672" s="420"/>
      <c r="T672" s="420"/>
      <c r="U672" s="420"/>
      <c r="V672" s="420"/>
      <c r="W672" s="420"/>
      <c r="X672" s="420"/>
      <c r="Y672" s="420"/>
      <c r="Z672" s="420"/>
      <c r="AA672" s="420"/>
    </row>
    <row r="673">
      <c r="A673" s="420"/>
      <c r="B673" s="420"/>
      <c r="C673" s="420"/>
      <c r="D673" s="420"/>
      <c r="E673" s="420"/>
      <c r="F673" s="420"/>
      <c r="G673" s="420"/>
      <c r="H673" s="421"/>
      <c r="I673" s="420"/>
      <c r="J673" s="420"/>
      <c r="K673" s="420"/>
      <c r="L673" s="420"/>
      <c r="M673" s="420"/>
      <c r="N673" s="420"/>
      <c r="O673" s="420"/>
      <c r="P673" s="420"/>
      <c r="Q673" s="420"/>
      <c r="R673" s="420"/>
      <c r="S673" s="420"/>
      <c r="T673" s="420"/>
      <c r="U673" s="420"/>
      <c r="V673" s="420"/>
      <c r="W673" s="420"/>
      <c r="X673" s="420"/>
      <c r="Y673" s="420"/>
      <c r="Z673" s="420"/>
      <c r="AA673" s="420"/>
    </row>
    <row r="674">
      <c r="A674" s="420"/>
      <c r="B674" s="420"/>
      <c r="C674" s="420"/>
      <c r="D674" s="420"/>
      <c r="E674" s="420"/>
      <c r="F674" s="420"/>
      <c r="G674" s="420"/>
      <c r="H674" s="421"/>
      <c r="I674" s="420"/>
      <c r="J674" s="420"/>
      <c r="K674" s="420"/>
      <c r="L674" s="420"/>
      <c r="M674" s="420"/>
      <c r="N674" s="420"/>
      <c r="O674" s="420"/>
      <c r="P674" s="420"/>
      <c r="Q674" s="420"/>
      <c r="R674" s="420"/>
      <c r="S674" s="420"/>
      <c r="T674" s="420"/>
      <c r="U674" s="420"/>
      <c r="V674" s="420"/>
      <c r="W674" s="420"/>
      <c r="X674" s="420"/>
      <c r="Y674" s="420"/>
      <c r="Z674" s="420"/>
      <c r="AA674" s="420"/>
    </row>
    <row r="675">
      <c r="A675" s="420"/>
      <c r="B675" s="420"/>
      <c r="C675" s="420"/>
      <c r="D675" s="420"/>
      <c r="E675" s="420"/>
      <c r="F675" s="420"/>
      <c r="G675" s="420"/>
      <c r="H675" s="421"/>
      <c r="I675" s="420"/>
      <c r="J675" s="420"/>
      <c r="K675" s="420"/>
      <c r="L675" s="420"/>
      <c r="M675" s="420"/>
      <c r="N675" s="420"/>
      <c r="O675" s="420"/>
      <c r="P675" s="420"/>
      <c r="Q675" s="420"/>
      <c r="R675" s="420"/>
      <c r="S675" s="420"/>
      <c r="T675" s="420"/>
      <c r="U675" s="420"/>
      <c r="V675" s="420"/>
      <c r="W675" s="420"/>
      <c r="X675" s="420"/>
      <c r="Y675" s="420"/>
      <c r="Z675" s="420"/>
      <c r="AA675" s="420"/>
    </row>
    <row r="676">
      <c r="A676" s="420"/>
      <c r="B676" s="420"/>
      <c r="C676" s="420"/>
      <c r="D676" s="420"/>
      <c r="E676" s="420"/>
      <c r="F676" s="420"/>
      <c r="G676" s="420"/>
      <c r="H676" s="421"/>
      <c r="I676" s="420"/>
      <c r="J676" s="420"/>
      <c r="K676" s="420"/>
      <c r="L676" s="420"/>
      <c r="M676" s="420"/>
      <c r="N676" s="420"/>
      <c r="O676" s="420"/>
      <c r="P676" s="420"/>
      <c r="Q676" s="420"/>
      <c r="R676" s="420"/>
      <c r="S676" s="420"/>
      <c r="T676" s="420"/>
      <c r="U676" s="420"/>
      <c r="V676" s="420"/>
      <c r="W676" s="420"/>
      <c r="X676" s="420"/>
      <c r="Y676" s="420"/>
      <c r="Z676" s="420"/>
      <c r="AA676" s="420"/>
    </row>
    <row r="677">
      <c r="A677" s="420"/>
      <c r="B677" s="420"/>
      <c r="C677" s="420"/>
      <c r="D677" s="420"/>
      <c r="E677" s="420"/>
      <c r="F677" s="420"/>
      <c r="G677" s="420"/>
      <c r="H677" s="421"/>
      <c r="I677" s="420"/>
      <c r="J677" s="420"/>
      <c r="K677" s="420"/>
      <c r="L677" s="420"/>
      <c r="M677" s="420"/>
      <c r="N677" s="420"/>
      <c r="O677" s="420"/>
      <c r="P677" s="420"/>
      <c r="Q677" s="420"/>
      <c r="R677" s="420"/>
      <c r="S677" s="420"/>
      <c r="T677" s="420"/>
      <c r="U677" s="420"/>
      <c r="V677" s="420"/>
      <c r="W677" s="420"/>
      <c r="X677" s="420"/>
      <c r="Y677" s="420"/>
      <c r="Z677" s="420"/>
      <c r="AA677" s="420"/>
    </row>
    <row r="678">
      <c r="A678" s="420"/>
      <c r="B678" s="420"/>
      <c r="C678" s="420"/>
      <c r="D678" s="420"/>
      <c r="E678" s="420"/>
      <c r="F678" s="420"/>
      <c r="G678" s="420"/>
      <c r="H678" s="421"/>
      <c r="I678" s="420"/>
      <c r="J678" s="420"/>
      <c r="K678" s="420"/>
      <c r="L678" s="420"/>
      <c r="M678" s="420"/>
      <c r="N678" s="420"/>
      <c r="O678" s="420"/>
      <c r="P678" s="420"/>
      <c r="Q678" s="420"/>
      <c r="R678" s="420"/>
      <c r="S678" s="420"/>
      <c r="T678" s="420"/>
      <c r="U678" s="420"/>
      <c r="V678" s="420"/>
      <c r="W678" s="420"/>
      <c r="X678" s="420"/>
      <c r="Y678" s="420"/>
      <c r="Z678" s="420"/>
      <c r="AA678" s="420"/>
    </row>
    <row r="679">
      <c r="A679" s="420"/>
      <c r="B679" s="420"/>
      <c r="C679" s="420"/>
      <c r="D679" s="420"/>
      <c r="E679" s="420"/>
      <c r="F679" s="420"/>
      <c r="G679" s="420"/>
      <c r="H679" s="421"/>
      <c r="I679" s="420"/>
      <c r="J679" s="420"/>
      <c r="K679" s="420"/>
      <c r="L679" s="420"/>
      <c r="M679" s="420"/>
      <c r="N679" s="420"/>
      <c r="O679" s="420"/>
      <c r="P679" s="420"/>
      <c r="Q679" s="420"/>
      <c r="R679" s="420"/>
      <c r="S679" s="420"/>
      <c r="T679" s="420"/>
      <c r="U679" s="420"/>
      <c r="V679" s="420"/>
      <c r="W679" s="420"/>
      <c r="X679" s="420"/>
      <c r="Y679" s="420"/>
      <c r="Z679" s="420"/>
      <c r="AA679" s="420"/>
    </row>
    <row r="680">
      <c r="A680" s="420"/>
      <c r="B680" s="420"/>
      <c r="C680" s="420"/>
      <c r="D680" s="420"/>
      <c r="E680" s="420"/>
      <c r="F680" s="420"/>
      <c r="G680" s="420"/>
      <c r="H680" s="421"/>
      <c r="I680" s="420"/>
      <c r="J680" s="420"/>
      <c r="K680" s="420"/>
      <c r="L680" s="420"/>
      <c r="M680" s="420"/>
      <c r="N680" s="420"/>
      <c r="O680" s="420"/>
      <c r="P680" s="420"/>
      <c r="Q680" s="420"/>
      <c r="R680" s="420"/>
      <c r="S680" s="420"/>
      <c r="T680" s="420"/>
      <c r="U680" s="420"/>
      <c r="V680" s="420"/>
      <c r="W680" s="420"/>
      <c r="X680" s="420"/>
      <c r="Y680" s="420"/>
      <c r="Z680" s="420"/>
      <c r="AA680" s="420"/>
    </row>
    <row r="681">
      <c r="A681" s="420"/>
      <c r="B681" s="420"/>
      <c r="C681" s="420"/>
      <c r="D681" s="420"/>
      <c r="E681" s="420"/>
      <c r="F681" s="420"/>
      <c r="G681" s="420"/>
      <c r="H681" s="421"/>
      <c r="I681" s="420"/>
      <c r="J681" s="420"/>
      <c r="K681" s="420"/>
      <c r="L681" s="420"/>
      <c r="M681" s="420"/>
      <c r="N681" s="420"/>
      <c r="O681" s="420"/>
      <c r="P681" s="420"/>
      <c r="Q681" s="420"/>
      <c r="R681" s="420"/>
      <c r="S681" s="420"/>
      <c r="T681" s="420"/>
      <c r="U681" s="420"/>
      <c r="V681" s="420"/>
      <c r="W681" s="420"/>
      <c r="X681" s="420"/>
      <c r="Y681" s="420"/>
      <c r="Z681" s="420"/>
      <c r="AA681" s="420"/>
    </row>
    <row r="682">
      <c r="A682" s="420"/>
      <c r="B682" s="420"/>
      <c r="C682" s="420"/>
      <c r="D682" s="420"/>
      <c r="E682" s="420"/>
      <c r="F682" s="420"/>
      <c r="G682" s="420"/>
      <c r="H682" s="421"/>
      <c r="I682" s="420"/>
      <c r="J682" s="420"/>
      <c r="K682" s="420"/>
      <c r="L682" s="420"/>
      <c r="M682" s="420"/>
      <c r="N682" s="420"/>
      <c r="O682" s="420"/>
      <c r="P682" s="420"/>
      <c r="Q682" s="420"/>
      <c r="R682" s="420"/>
      <c r="S682" s="420"/>
      <c r="T682" s="420"/>
      <c r="U682" s="420"/>
      <c r="V682" s="420"/>
      <c r="W682" s="420"/>
      <c r="X682" s="420"/>
      <c r="Y682" s="420"/>
      <c r="Z682" s="420"/>
      <c r="AA682" s="420"/>
    </row>
    <row r="683">
      <c r="A683" s="420"/>
      <c r="B683" s="420"/>
      <c r="C683" s="420"/>
      <c r="D683" s="420"/>
      <c r="E683" s="420"/>
      <c r="F683" s="420"/>
      <c r="G683" s="420"/>
      <c r="H683" s="421"/>
      <c r="I683" s="420"/>
      <c r="J683" s="420"/>
      <c r="K683" s="420"/>
      <c r="L683" s="420"/>
      <c r="M683" s="420"/>
      <c r="N683" s="420"/>
      <c r="O683" s="420"/>
      <c r="P683" s="420"/>
      <c r="Q683" s="420"/>
      <c r="R683" s="420"/>
      <c r="S683" s="420"/>
      <c r="T683" s="420"/>
      <c r="U683" s="420"/>
      <c r="V683" s="420"/>
      <c r="W683" s="420"/>
      <c r="X683" s="420"/>
      <c r="Y683" s="420"/>
      <c r="Z683" s="420"/>
      <c r="AA683" s="420"/>
    </row>
    <row r="684">
      <c r="A684" s="420"/>
      <c r="B684" s="420"/>
      <c r="C684" s="420"/>
      <c r="D684" s="420"/>
      <c r="E684" s="420"/>
      <c r="F684" s="420"/>
      <c r="G684" s="420"/>
      <c r="H684" s="421"/>
      <c r="I684" s="420"/>
      <c r="J684" s="420"/>
      <c r="K684" s="420"/>
      <c r="L684" s="420"/>
      <c r="M684" s="420"/>
      <c r="N684" s="420"/>
      <c r="O684" s="420"/>
      <c r="P684" s="420"/>
      <c r="Q684" s="420"/>
      <c r="R684" s="420"/>
      <c r="S684" s="420"/>
      <c r="T684" s="420"/>
      <c r="U684" s="420"/>
      <c r="V684" s="420"/>
      <c r="W684" s="420"/>
      <c r="X684" s="420"/>
      <c r="Y684" s="420"/>
      <c r="Z684" s="420"/>
      <c r="AA684" s="420"/>
    </row>
    <row r="685">
      <c r="A685" s="420"/>
      <c r="B685" s="420"/>
      <c r="C685" s="420"/>
      <c r="D685" s="420"/>
      <c r="E685" s="420"/>
      <c r="F685" s="420"/>
      <c r="G685" s="420"/>
      <c r="H685" s="421"/>
      <c r="I685" s="420"/>
      <c r="J685" s="420"/>
      <c r="K685" s="420"/>
      <c r="L685" s="420"/>
      <c r="M685" s="420"/>
      <c r="N685" s="420"/>
      <c r="O685" s="420"/>
      <c r="P685" s="420"/>
      <c r="Q685" s="420"/>
      <c r="R685" s="420"/>
      <c r="S685" s="420"/>
      <c r="T685" s="420"/>
      <c r="U685" s="420"/>
      <c r="V685" s="420"/>
      <c r="W685" s="420"/>
      <c r="X685" s="420"/>
      <c r="Y685" s="420"/>
      <c r="Z685" s="420"/>
      <c r="AA685" s="420"/>
    </row>
    <row r="686">
      <c r="A686" s="420"/>
      <c r="B686" s="420"/>
      <c r="C686" s="420"/>
      <c r="D686" s="420"/>
      <c r="E686" s="420"/>
      <c r="F686" s="420"/>
      <c r="G686" s="420"/>
      <c r="H686" s="421"/>
      <c r="I686" s="420"/>
      <c r="J686" s="420"/>
      <c r="K686" s="420"/>
      <c r="L686" s="420"/>
      <c r="M686" s="420"/>
      <c r="N686" s="420"/>
      <c r="O686" s="420"/>
      <c r="P686" s="420"/>
      <c r="Q686" s="420"/>
      <c r="R686" s="420"/>
      <c r="S686" s="420"/>
      <c r="T686" s="420"/>
      <c r="U686" s="420"/>
      <c r="V686" s="420"/>
      <c r="W686" s="420"/>
      <c r="X686" s="420"/>
      <c r="Y686" s="420"/>
      <c r="Z686" s="420"/>
      <c r="AA686" s="420"/>
    </row>
    <row r="687">
      <c r="A687" s="420"/>
      <c r="B687" s="420"/>
      <c r="C687" s="420"/>
      <c r="D687" s="420"/>
      <c r="E687" s="420"/>
      <c r="F687" s="420"/>
      <c r="G687" s="420"/>
      <c r="H687" s="421"/>
      <c r="I687" s="420"/>
      <c r="J687" s="420"/>
      <c r="K687" s="420"/>
      <c r="L687" s="420"/>
      <c r="M687" s="420"/>
      <c r="N687" s="420"/>
      <c r="O687" s="420"/>
      <c r="P687" s="420"/>
      <c r="Q687" s="420"/>
      <c r="R687" s="420"/>
      <c r="S687" s="420"/>
      <c r="T687" s="420"/>
      <c r="U687" s="420"/>
      <c r="V687" s="420"/>
      <c r="W687" s="420"/>
      <c r="X687" s="420"/>
      <c r="Y687" s="420"/>
      <c r="Z687" s="420"/>
      <c r="AA687" s="420"/>
    </row>
    <row r="688">
      <c r="A688" s="420"/>
      <c r="B688" s="420"/>
      <c r="C688" s="420"/>
      <c r="D688" s="420"/>
      <c r="E688" s="420"/>
      <c r="F688" s="420"/>
      <c r="G688" s="420"/>
      <c r="H688" s="421"/>
      <c r="I688" s="420"/>
      <c r="J688" s="420"/>
      <c r="K688" s="420"/>
      <c r="L688" s="420"/>
      <c r="M688" s="420"/>
      <c r="N688" s="420"/>
      <c r="O688" s="420"/>
      <c r="P688" s="420"/>
      <c r="Q688" s="420"/>
      <c r="R688" s="420"/>
      <c r="S688" s="420"/>
      <c r="T688" s="420"/>
      <c r="U688" s="420"/>
      <c r="V688" s="420"/>
      <c r="W688" s="420"/>
      <c r="X688" s="420"/>
      <c r="Y688" s="420"/>
      <c r="Z688" s="420"/>
      <c r="AA688" s="420"/>
    </row>
    <row r="689">
      <c r="A689" s="420"/>
      <c r="B689" s="420"/>
      <c r="C689" s="420"/>
      <c r="D689" s="420"/>
      <c r="E689" s="420"/>
      <c r="F689" s="420"/>
      <c r="G689" s="420"/>
      <c r="H689" s="421"/>
      <c r="I689" s="420"/>
      <c r="J689" s="420"/>
      <c r="K689" s="420"/>
      <c r="L689" s="420"/>
      <c r="M689" s="420"/>
      <c r="N689" s="420"/>
      <c r="O689" s="420"/>
      <c r="P689" s="420"/>
      <c r="Q689" s="420"/>
      <c r="R689" s="420"/>
      <c r="S689" s="420"/>
      <c r="T689" s="420"/>
      <c r="U689" s="420"/>
      <c r="V689" s="420"/>
      <c r="W689" s="420"/>
      <c r="X689" s="420"/>
      <c r="Y689" s="420"/>
      <c r="Z689" s="420"/>
      <c r="AA689" s="420"/>
    </row>
    <row r="690">
      <c r="A690" s="420"/>
      <c r="B690" s="420"/>
      <c r="C690" s="420"/>
      <c r="D690" s="420"/>
      <c r="E690" s="420"/>
      <c r="F690" s="420"/>
      <c r="G690" s="420"/>
      <c r="H690" s="421"/>
      <c r="I690" s="420"/>
      <c r="J690" s="420"/>
      <c r="K690" s="420"/>
      <c r="L690" s="420"/>
      <c r="M690" s="420"/>
      <c r="N690" s="420"/>
      <c r="O690" s="420"/>
      <c r="P690" s="420"/>
      <c r="Q690" s="420"/>
      <c r="R690" s="420"/>
      <c r="S690" s="420"/>
      <c r="T690" s="420"/>
      <c r="U690" s="420"/>
      <c r="V690" s="420"/>
      <c r="W690" s="420"/>
      <c r="X690" s="420"/>
      <c r="Y690" s="420"/>
      <c r="Z690" s="420"/>
      <c r="AA690" s="420"/>
    </row>
    <row r="691">
      <c r="A691" s="420"/>
      <c r="B691" s="420"/>
      <c r="C691" s="420"/>
      <c r="D691" s="420"/>
      <c r="E691" s="420"/>
      <c r="F691" s="420"/>
      <c r="G691" s="420"/>
      <c r="H691" s="421"/>
      <c r="I691" s="420"/>
      <c r="J691" s="420"/>
      <c r="K691" s="420"/>
      <c r="L691" s="420"/>
      <c r="M691" s="420"/>
      <c r="N691" s="420"/>
      <c r="O691" s="420"/>
      <c r="P691" s="420"/>
      <c r="Q691" s="420"/>
      <c r="R691" s="420"/>
      <c r="S691" s="420"/>
      <c r="T691" s="420"/>
      <c r="U691" s="420"/>
      <c r="V691" s="420"/>
      <c r="W691" s="420"/>
      <c r="X691" s="420"/>
      <c r="Y691" s="420"/>
      <c r="Z691" s="420"/>
      <c r="AA691" s="420"/>
    </row>
    <row r="692">
      <c r="A692" s="420"/>
      <c r="B692" s="420"/>
      <c r="C692" s="420"/>
      <c r="D692" s="420"/>
      <c r="E692" s="420"/>
      <c r="F692" s="420"/>
      <c r="G692" s="420"/>
      <c r="H692" s="421"/>
      <c r="I692" s="420"/>
      <c r="J692" s="420"/>
      <c r="K692" s="420"/>
      <c r="L692" s="420"/>
      <c r="M692" s="420"/>
      <c r="N692" s="420"/>
      <c r="O692" s="420"/>
      <c r="P692" s="420"/>
      <c r="Q692" s="420"/>
      <c r="R692" s="420"/>
      <c r="S692" s="420"/>
      <c r="T692" s="420"/>
      <c r="U692" s="420"/>
      <c r="V692" s="420"/>
      <c r="W692" s="420"/>
      <c r="X692" s="420"/>
      <c r="Y692" s="420"/>
      <c r="Z692" s="420"/>
      <c r="AA692" s="420"/>
    </row>
    <row r="693">
      <c r="A693" s="420"/>
      <c r="B693" s="420"/>
      <c r="C693" s="420"/>
      <c r="D693" s="420"/>
      <c r="E693" s="420"/>
      <c r="F693" s="420"/>
      <c r="G693" s="420"/>
      <c r="H693" s="421"/>
      <c r="I693" s="420"/>
      <c r="J693" s="420"/>
      <c r="K693" s="420"/>
      <c r="L693" s="420"/>
      <c r="M693" s="420"/>
      <c r="N693" s="420"/>
      <c r="O693" s="420"/>
      <c r="P693" s="420"/>
      <c r="Q693" s="420"/>
      <c r="R693" s="420"/>
      <c r="S693" s="420"/>
      <c r="T693" s="420"/>
      <c r="U693" s="420"/>
      <c r="V693" s="420"/>
      <c r="W693" s="420"/>
      <c r="X693" s="420"/>
      <c r="Y693" s="420"/>
      <c r="Z693" s="420"/>
      <c r="AA693" s="420"/>
    </row>
    <row r="694">
      <c r="A694" s="420"/>
      <c r="B694" s="420"/>
      <c r="C694" s="420"/>
      <c r="D694" s="420"/>
      <c r="E694" s="420"/>
      <c r="F694" s="420"/>
      <c r="G694" s="420"/>
      <c r="H694" s="421"/>
      <c r="I694" s="420"/>
      <c r="J694" s="420"/>
      <c r="K694" s="420"/>
      <c r="L694" s="420"/>
      <c r="M694" s="420"/>
      <c r="N694" s="420"/>
      <c r="O694" s="420"/>
      <c r="P694" s="420"/>
      <c r="Q694" s="420"/>
      <c r="R694" s="420"/>
      <c r="S694" s="420"/>
      <c r="T694" s="420"/>
      <c r="U694" s="420"/>
      <c r="V694" s="420"/>
      <c r="W694" s="420"/>
      <c r="X694" s="420"/>
      <c r="Y694" s="420"/>
      <c r="Z694" s="420"/>
      <c r="AA694" s="420"/>
    </row>
    <row r="695">
      <c r="A695" s="420"/>
      <c r="B695" s="420"/>
      <c r="C695" s="420"/>
      <c r="D695" s="420"/>
      <c r="E695" s="420"/>
      <c r="F695" s="420"/>
      <c r="G695" s="420"/>
      <c r="H695" s="421"/>
      <c r="I695" s="420"/>
      <c r="J695" s="420"/>
      <c r="K695" s="420"/>
      <c r="L695" s="420"/>
      <c r="M695" s="420"/>
      <c r="N695" s="420"/>
      <c r="O695" s="420"/>
      <c r="P695" s="420"/>
      <c r="Q695" s="420"/>
      <c r="R695" s="420"/>
      <c r="S695" s="420"/>
      <c r="T695" s="420"/>
      <c r="U695" s="420"/>
      <c r="V695" s="420"/>
      <c r="W695" s="420"/>
      <c r="X695" s="420"/>
      <c r="Y695" s="420"/>
      <c r="Z695" s="420"/>
      <c r="AA695" s="420"/>
    </row>
    <row r="696">
      <c r="A696" s="420"/>
      <c r="B696" s="420"/>
      <c r="C696" s="420"/>
      <c r="D696" s="420"/>
      <c r="E696" s="420"/>
      <c r="F696" s="420"/>
      <c r="G696" s="420"/>
      <c r="H696" s="421"/>
      <c r="I696" s="420"/>
      <c r="J696" s="420"/>
      <c r="K696" s="420"/>
      <c r="L696" s="420"/>
      <c r="M696" s="420"/>
      <c r="N696" s="420"/>
      <c r="O696" s="420"/>
      <c r="P696" s="420"/>
      <c r="Q696" s="420"/>
      <c r="R696" s="420"/>
      <c r="S696" s="420"/>
      <c r="T696" s="420"/>
      <c r="U696" s="420"/>
      <c r="V696" s="420"/>
      <c r="W696" s="420"/>
      <c r="X696" s="420"/>
      <c r="Y696" s="420"/>
      <c r="Z696" s="420"/>
      <c r="AA696" s="420"/>
    </row>
    <row r="697">
      <c r="A697" s="420"/>
      <c r="B697" s="420"/>
      <c r="C697" s="420"/>
      <c r="D697" s="420"/>
      <c r="E697" s="420"/>
      <c r="F697" s="420"/>
      <c r="G697" s="420"/>
      <c r="H697" s="421"/>
      <c r="I697" s="420"/>
      <c r="J697" s="420"/>
      <c r="K697" s="420"/>
      <c r="L697" s="420"/>
      <c r="M697" s="420"/>
      <c r="N697" s="420"/>
      <c r="O697" s="420"/>
      <c r="P697" s="420"/>
      <c r="Q697" s="420"/>
      <c r="R697" s="420"/>
      <c r="S697" s="420"/>
      <c r="T697" s="420"/>
      <c r="U697" s="420"/>
      <c r="V697" s="420"/>
      <c r="W697" s="420"/>
      <c r="X697" s="420"/>
      <c r="Y697" s="420"/>
      <c r="Z697" s="420"/>
      <c r="AA697" s="420"/>
    </row>
    <row r="698">
      <c r="A698" s="420"/>
      <c r="B698" s="420"/>
      <c r="C698" s="420"/>
      <c r="D698" s="420"/>
      <c r="E698" s="420"/>
      <c r="F698" s="420"/>
      <c r="G698" s="420"/>
      <c r="H698" s="421"/>
      <c r="I698" s="420"/>
      <c r="J698" s="420"/>
      <c r="K698" s="420"/>
      <c r="L698" s="420"/>
      <c r="M698" s="420"/>
      <c r="N698" s="420"/>
      <c r="O698" s="420"/>
      <c r="P698" s="420"/>
      <c r="Q698" s="420"/>
      <c r="R698" s="420"/>
      <c r="S698" s="420"/>
      <c r="T698" s="420"/>
      <c r="U698" s="420"/>
      <c r="V698" s="420"/>
      <c r="W698" s="420"/>
      <c r="X698" s="420"/>
      <c r="Y698" s="420"/>
      <c r="Z698" s="420"/>
      <c r="AA698" s="420"/>
    </row>
    <row r="699">
      <c r="A699" s="420"/>
      <c r="B699" s="420"/>
      <c r="C699" s="420"/>
      <c r="D699" s="420"/>
      <c r="E699" s="420"/>
      <c r="F699" s="420"/>
      <c r="G699" s="420"/>
      <c r="H699" s="421"/>
      <c r="I699" s="420"/>
      <c r="J699" s="420"/>
      <c r="K699" s="420"/>
      <c r="L699" s="420"/>
      <c r="M699" s="420"/>
      <c r="N699" s="420"/>
      <c r="O699" s="420"/>
      <c r="P699" s="420"/>
      <c r="Q699" s="420"/>
      <c r="R699" s="420"/>
      <c r="S699" s="420"/>
      <c r="T699" s="420"/>
      <c r="U699" s="420"/>
      <c r="V699" s="420"/>
      <c r="W699" s="420"/>
      <c r="X699" s="420"/>
      <c r="Y699" s="420"/>
      <c r="Z699" s="420"/>
      <c r="AA699" s="420"/>
    </row>
    <row r="700">
      <c r="A700" s="420"/>
      <c r="B700" s="420"/>
      <c r="C700" s="420"/>
      <c r="D700" s="420"/>
      <c r="E700" s="420"/>
      <c r="F700" s="420"/>
      <c r="G700" s="420"/>
      <c r="H700" s="421"/>
      <c r="I700" s="420"/>
      <c r="J700" s="420"/>
      <c r="K700" s="420"/>
      <c r="L700" s="420"/>
      <c r="M700" s="420"/>
      <c r="N700" s="420"/>
      <c r="O700" s="420"/>
      <c r="P700" s="420"/>
      <c r="Q700" s="420"/>
      <c r="R700" s="420"/>
      <c r="S700" s="420"/>
      <c r="T700" s="420"/>
      <c r="U700" s="420"/>
      <c r="V700" s="420"/>
      <c r="W700" s="420"/>
      <c r="X700" s="420"/>
      <c r="Y700" s="420"/>
      <c r="Z700" s="420"/>
      <c r="AA700" s="420"/>
    </row>
    <row r="701">
      <c r="A701" s="420"/>
      <c r="B701" s="420"/>
      <c r="C701" s="420"/>
      <c r="D701" s="420"/>
      <c r="E701" s="420"/>
      <c r="F701" s="420"/>
      <c r="G701" s="420"/>
      <c r="H701" s="421"/>
      <c r="I701" s="420"/>
      <c r="J701" s="420"/>
      <c r="K701" s="420"/>
      <c r="L701" s="420"/>
      <c r="M701" s="420"/>
      <c r="N701" s="420"/>
      <c r="O701" s="420"/>
      <c r="P701" s="420"/>
      <c r="Q701" s="420"/>
      <c r="R701" s="420"/>
      <c r="S701" s="420"/>
      <c r="T701" s="420"/>
      <c r="U701" s="420"/>
      <c r="V701" s="420"/>
      <c r="W701" s="420"/>
      <c r="X701" s="420"/>
      <c r="Y701" s="420"/>
      <c r="Z701" s="420"/>
      <c r="AA701" s="420"/>
    </row>
    <row r="702">
      <c r="A702" s="420"/>
      <c r="B702" s="420"/>
      <c r="C702" s="420"/>
      <c r="D702" s="420"/>
      <c r="E702" s="420"/>
      <c r="F702" s="420"/>
      <c r="G702" s="420"/>
      <c r="H702" s="421"/>
      <c r="I702" s="420"/>
      <c r="J702" s="420"/>
      <c r="K702" s="420"/>
      <c r="L702" s="420"/>
      <c r="M702" s="420"/>
      <c r="N702" s="420"/>
      <c r="O702" s="420"/>
      <c r="P702" s="420"/>
      <c r="Q702" s="420"/>
      <c r="R702" s="420"/>
      <c r="S702" s="420"/>
      <c r="T702" s="420"/>
      <c r="U702" s="420"/>
      <c r="V702" s="420"/>
      <c r="W702" s="420"/>
      <c r="X702" s="420"/>
      <c r="Y702" s="420"/>
      <c r="Z702" s="420"/>
      <c r="AA702" s="420"/>
    </row>
    <row r="703">
      <c r="A703" s="420"/>
      <c r="B703" s="420"/>
      <c r="C703" s="420"/>
      <c r="D703" s="420"/>
      <c r="E703" s="420"/>
      <c r="F703" s="420"/>
      <c r="G703" s="420"/>
      <c r="H703" s="421"/>
      <c r="I703" s="420"/>
      <c r="J703" s="420"/>
      <c r="K703" s="420"/>
      <c r="L703" s="420"/>
      <c r="M703" s="420"/>
      <c r="N703" s="420"/>
      <c r="O703" s="420"/>
      <c r="P703" s="420"/>
      <c r="Q703" s="420"/>
      <c r="R703" s="420"/>
      <c r="S703" s="420"/>
      <c r="T703" s="420"/>
      <c r="U703" s="420"/>
      <c r="V703" s="420"/>
      <c r="W703" s="420"/>
      <c r="X703" s="420"/>
      <c r="Y703" s="420"/>
      <c r="Z703" s="420"/>
      <c r="AA703" s="420"/>
    </row>
    <row r="704">
      <c r="A704" s="420"/>
      <c r="B704" s="420"/>
      <c r="C704" s="420"/>
      <c r="D704" s="420"/>
      <c r="E704" s="420"/>
      <c r="F704" s="420"/>
      <c r="G704" s="420"/>
      <c r="H704" s="421"/>
      <c r="I704" s="420"/>
      <c r="J704" s="420"/>
      <c r="K704" s="420"/>
      <c r="L704" s="420"/>
      <c r="M704" s="420"/>
      <c r="N704" s="420"/>
      <c r="O704" s="420"/>
      <c r="P704" s="420"/>
      <c r="Q704" s="420"/>
      <c r="R704" s="420"/>
      <c r="S704" s="420"/>
      <c r="T704" s="420"/>
      <c r="U704" s="420"/>
      <c r="V704" s="420"/>
      <c r="W704" s="420"/>
      <c r="X704" s="420"/>
      <c r="Y704" s="420"/>
      <c r="Z704" s="420"/>
      <c r="AA704" s="420"/>
    </row>
    <row r="705">
      <c r="A705" s="420"/>
      <c r="B705" s="420"/>
      <c r="C705" s="420"/>
      <c r="D705" s="420"/>
      <c r="E705" s="420"/>
      <c r="F705" s="420"/>
      <c r="G705" s="420"/>
      <c r="H705" s="421"/>
      <c r="I705" s="420"/>
      <c r="J705" s="420"/>
      <c r="K705" s="420"/>
      <c r="L705" s="420"/>
      <c r="M705" s="420"/>
      <c r="N705" s="420"/>
      <c r="O705" s="420"/>
      <c r="P705" s="420"/>
      <c r="Q705" s="420"/>
      <c r="R705" s="420"/>
      <c r="S705" s="420"/>
      <c r="T705" s="420"/>
      <c r="U705" s="420"/>
      <c r="V705" s="420"/>
      <c r="W705" s="420"/>
      <c r="X705" s="420"/>
      <c r="Y705" s="420"/>
      <c r="Z705" s="420"/>
      <c r="AA705" s="420"/>
    </row>
    <row r="706">
      <c r="A706" s="420"/>
      <c r="B706" s="420"/>
      <c r="C706" s="420"/>
      <c r="D706" s="420"/>
      <c r="E706" s="420"/>
      <c r="F706" s="420"/>
      <c r="G706" s="420"/>
      <c r="H706" s="421"/>
      <c r="I706" s="420"/>
      <c r="J706" s="420"/>
      <c r="K706" s="420"/>
      <c r="L706" s="420"/>
      <c r="M706" s="420"/>
      <c r="N706" s="420"/>
      <c r="O706" s="420"/>
      <c r="P706" s="420"/>
      <c r="Q706" s="420"/>
      <c r="R706" s="420"/>
      <c r="S706" s="420"/>
      <c r="T706" s="420"/>
      <c r="U706" s="420"/>
      <c r="V706" s="420"/>
      <c r="W706" s="420"/>
      <c r="X706" s="420"/>
      <c r="Y706" s="420"/>
      <c r="Z706" s="420"/>
      <c r="AA706" s="420"/>
    </row>
    <row r="707">
      <c r="A707" s="420"/>
      <c r="B707" s="420"/>
      <c r="C707" s="420"/>
      <c r="D707" s="420"/>
      <c r="E707" s="420"/>
      <c r="F707" s="420"/>
      <c r="G707" s="420"/>
      <c r="H707" s="421"/>
      <c r="I707" s="420"/>
      <c r="J707" s="420"/>
      <c r="K707" s="420"/>
      <c r="L707" s="420"/>
      <c r="M707" s="420"/>
      <c r="N707" s="420"/>
      <c r="O707" s="420"/>
      <c r="P707" s="420"/>
      <c r="Q707" s="420"/>
      <c r="R707" s="420"/>
      <c r="S707" s="420"/>
      <c r="T707" s="420"/>
      <c r="U707" s="420"/>
      <c r="V707" s="420"/>
      <c r="W707" s="420"/>
      <c r="X707" s="420"/>
      <c r="Y707" s="420"/>
      <c r="Z707" s="420"/>
      <c r="AA707" s="420"/>
    </row>
    <row r="708">
      <c r="A708" s="420"/>
      <c r="B708" s="420"/>
      <c r="C708" s="420"/>
      <c r="D708" s="420"/>
      <c r="E708" s="420"/>
      <c r="F708" s="420"/>
      <c r="G708" s="420"/>
      <c r="H708" s="421"/>
      <c r="I708" s="420"/>
      <c r="J708" s="420"/>
      <c r="K708" s="420"/>
      <c r="L708" s="420"/>
      <c r="M708" s="420"/>
      <c r="N708" s="420"/>
      <c r="O708" s="420"/>
      <c r="P708" s="420"/>
      <c r="Q708" s="420"/>
      <c r="R708" s="420"/>
      <c r="S708" s="420"/>
      <c r="T708" s="420"/>
      <c r="U708" s="420"/>
      <c r="V708" s="420"/>
      <c r="W708" s="420"/>
      <c r="X708" s="420"/>
      <c r="Y708" s="420"/>
      <c r="Z708" s="420"/>
      <c r="AA708" s="420"/>
    </row>
    <row r="709">
      <c r="A709" s="420"/>
      <c r="B709" s="420"/>
      <c r="C709" s="420"/>
      <c r="D709" s="420"/>
      <c r="E709" s="420"/>
      <c r="F709" s="420"/>
      <c r="G709" s="420"/>
      <c r="H709" s="421"/>
      <c r="I709" s="420"/>
      <c r="J709" s="420"/>
      <c r="K709" s="420"/>
      <c r="L709" s="420"/>
      <c r="M709" s="420"/>
      <c r="N709" s="420"/>
      <c r="O709" s="420"/>
      <c r="P709" s="420"/>
      <c r="Q709" s="420"/>
      <c r="R709" s="420"/>
      <c r="S709" s="420"/>
      <c r="T709" s="420"/>
      <c r="U709" s="420"/>
      <c r="V709" s="420"/>
      <c r="W709" s="420"/>
      <c r="X709" s="420"/>
      <c r="Y709" s="420"/>
      <c r="Z709" s="420"/>
      <c r="AA709" s="420"/>
    </row>
    <row r="710">
      <c r="A710" s="420"/>
      <c r="B710" s="420"/>
      <c r="C710" s="420"/>
      <c r="D710" s="420"/>
      <c r="E710" s="420"/>
      <c r="F710" s="420"/>
      <c r="G710" s="420"/>
      <c r="H710" s="421"/>
      <c r="I710" s="420"/>
      <c r="J710" s="420"/>
      <c r="K710" s="420"/>
      <c r="L710" s="420"/>
      <c r="M710" s="420"/>
      <c r="N710" s="420"/>
      <c r="O710" s="420"/>
      <c r="P710" s="420"/>
      <c r="Q710" s="420"/>
      <c r="R710" s="420"/>
      <c r="S710" s="420"/>
      <c r="T710" s="420"/>
      <c r="U710" s="420"/>
      <c r="V710" s="420"/>
      <c r="W710" s="420"/>
      <c r="X710" s="420"/>
      <c r="Y710" s="420"/>
      <c r="Z710" s="420"/>
      <c r="AA710" s="420"/>
    </row>
    <row r="711">
      <c r="A711" s="420"/>
      <c r="B711" s="420"/>
      <c r="C711" s="420"/>
      <c r="D711" s="420"/>
      <c r="E711" s="420"/>
      <c r="F711" s="420"/>
      <c r="G711" s="420"/>
      <c r="H711" s="421"/>
      <c r="I711" s="420"/>
      <c r="J711" s="420"/>
      <c r="K711" s="420"/>
      <c r="L711" s="420"/>
      <c r="M711" s="420"/>
      <c r="N711" s="420"/>
      <c r="O711" s="420"/>
      <c r="P711" s="420"/>
      <c r="Q711" s="420"/>
      <c r="R711" s="420"/>
      <c r="S711" s="420"/>
      <c r="T711" s="420"/>
      <c r="U711" s="420"/>
      <c r="V711" s="420"/>
      <c r="W711" s="420"/>
      <c r="X711" s="420"/>
      <c r="Y711" s="420"/>
      <c r="Z711" s="420"/>
      <c r="AA711" s="420"/>
    </row>
    <row r="712">
      <c r="A712" s="420"/>
      <c r="B712" s="420"/>
      <c r="C712" s="420"/>
      <c r="D712" s="420"/>
      <c r="E712" s="420"/>
      <c r="F712" s="420"/>
      <c r="G712" s="420"/>
      <c r="H712" s="421"/>
      <c r="I712" s="420"/>
      <c r="J712" s="420"/>
      <c r="K712" s="420"/>
      <c r="L712" s="420"/>
      <c r="M712" s="420"/>
      <c r="N712" s="420"/>
      <c r="O712" s="420"/>
      <c r="P712" s="420"/>
      <c r="Q712" s="420"/>
      <c r="R712" s="420"/>
      <c r="S712" s="420"/>
      <c r="T712" s="420"/>
      <c r="U712" s="420"/>
      <c r="V712" s="420"/>
      <c r="W712" s="420"/>
      <c r="X712" s="420"/>
      <c r="Y712" s="420"/>
      <c r="Z712" s="420"/>
      <c r="AA712" s="420"/>
    </row>
    <row r="713">
      <c r="A713" s="420"/>
      <c r="B713" s="420"/>
      <c r="C713" s="420"/>
      <c r="D713" s="420"/>
      <c r="E713" s="420"/>
      <c r="F713" s="420"/>
      <c r="G713" s="420"/>
      <c r="H713" s="421"/>
      <c r="I713" s="420"/>
      <c r="J713" s="420"/>
      <c r="K713" s="420"/>
      <c r="L713" s="420"/>
      <c r="M713" s="420"/>
      <c r="N713" s="420"/>
      <c r="O713" s="420"/>
      <c r="P713" s="420"/>
      <c r="Q713" s="420"/>
      <c r="R713" s="420"/>
      <c r="S713" s="420"/>
      <c r="T713" s="420"/>
      <c r="U713" s="420"/>
      <c r="V713" s="420"/>
      <c r="W713" s="420"/>
      <c r="X713" s="420"/>
      <c r="Y713" s="420"/>
      <c r="Z713" s="420"/>
      <c r="AA713" s="420"/>
    </row>
    <row r="714">
      <c r="A714" s="420"/>
      <c r="B714" s="420"/>
      <c r="C714" s="420"/>
      <c r="D714" s="420"/>
      <c r="E714" s="420"/>
      <c r="F714" s="420"/>
      <c r="G714" s="420"/>
      <c r="H714" s="421"/>
      <c r="I714" s="420"/>
      <c r="J714" s="420"/>
      <c r="K714" s="420"/>
      <c r="L714" s="420"/>
      <c r="M714" s="420"/>
      <c r="N714" s="420"/>
      <c r="O714" s="420"/>
      <c r="P714" s="420"/>
      <c r="Q714" s="420"/>
      <c r="R714" s="420"/>
      <c r="S714" s="420"/>
      <c r="T714" s="420"/>
      <c r="U714" s="420"/>
      <c r="V714" s="420"/>
      <c r="W714" s="420"/>
      <c r="X714" s="420"/>
      <c r="Y714" s="420"/>
      <c r="Z714" s="420"/>
      <c r="AA714" s="420"/>
    </row>
    <row r="715">
      <c r="A715" s="420"/>
      <c r="B715" s="420"/>
      <c r="C715" s="420"/>
      <c r="D715" s="420"/>
      <c r="E715" s="420"/>
      <c r="F715" s="420"/>
      <c r="G715" s="420"/>
      <c r="H715" s="421"/>
      <c r="I715" s="420"/>
      <c r="J715" s="420"/>
      <c r="K715" s="420"/>
      <c r="L715" s="420"/>
      <c r="M715" s="420"/>
      <c r="N715" s="420"/>
      <c r="O715" s="420"/>
      <c r="P715" s="420"/>
      <c r="Q715" s="420"/>
      <c r="R715" s="420"/>
      <c r="S715" s="420"/>
      <c r="T715" s="420"/>
      <c r="U715" s="420"/>
      <c r="V715" s="420"/>
      <c r="W715" s="420"/>
      <c r="X715" s="420"/>
      <c r="Y715" s="420"/>
      <c r="Z715" s="420"/>
      <c r="AA715" s="420"/>
    </row>
    <row r="716">
      <c r="A716" s="420"/>
      <c r="B716" s="420"/>
      <c r="C716" s="420"/>
      <c r="D716" s="420"/>
      <c r="E716" s="420"/>
      <c r="F716" s="420"/>
      <c r="G716" s="420"/>
      <c r="H716" s="421"/>
      <c r="I716" s="420"/>
      <c r="J716" s="420"/>
      <c r="K716" s="420"/>
      <c r="L716" s="420"/>
      <c r="M716" s="420"/>
      <c r="N716" s="420"/>
      <c r="O716" s="420"/>
      <c r="P716" s="420"/>
      <c r="Q716" s="420"/>
      <c r="R716" s="420"/>
      <c r="S716" s="420"/>
      <c r="T716" s="420"/>
      <c r="U716" s="420"/>
      <c r="V716" s="420"/>
      <c r="W716" s="420"/>
      <c r="X716" s="420"/>
      <c r="Y716" s="420"/>
      <c r="Z716" s="420"/>
      <c r="AA716" s="420"/>
    </row>
    <row r="717">
      <c r="A717" s="420"/>
      <c r="B717" s="420"/>
      <c r="C717" s="420"/>
      <c r="D717" s="420"/>
      <c r="E717" s="420"/>
      <c r="F717" s="420"/>
      <c r="G717" s="420"/>
      <c r="H717" s="421"/>
      <c r="I717" s="420"/>
      <c r="J717" s="420"/>
      <c r="K717" s="420"/>
      <c r="L717" s="420"/>
      <c r="M717" s="420"/>
      <c r="N717" s="420"/>
      <c r="O717" s="420"/>
      <c r="P717" s="420"/>
      <c r="Q717" s="420"/>
      <c r="R717" s="420"/>
      <c r="S717" s="420"/>
      <c r="T717" s="420"/>
      <c r="U717" s="420"/>
      <c r="V717" s="420"/>
      <c r="W717" s="420"/>
      <c r="X717" s="420"/>
      <c r="Y717" s="420"/>
      <c r="Z717" s="420"/>
      <c r="AA717" s="420"/>
    </row>
    <row r="718">
      <c r="A718" s="420"/>
      <c r="B718" s="420"/>
      <c r="C718" s="420"/>
      <c r="D718" s="420"/>
      <c r="E718" s="420"/>
      <c r="F718" s="420"/>
      <c r="G718" s="420"/>
      <c r="H718" s="421"/>
      <c r="I718" s="420"/>
      <c r="J718" s="420"/>
      <c r="K718" s="420"/>
      <c r="L718" s="420"/>
      <c r="M718" s="420"/>
      <c r="N718" s="420"/>
      <c r="O718" s="420"/>
      <c r="P718" s="420"/>
      <c r="Q718" s="420"/>
      <c r="R718" s="420"/>
      <c r="S718" s="420"/>
      <c r="T718" s="420"/>
      <c r="U718" s="420"/>
      <c r="V718" s="420"/>
      <c r="W718" s="420"/>
      <c r="X718" s="420"/>
      <c r="Y718" s="420"/>
      <c r="Z718" s="420"/>
      <c r="AA718" s="420"/>
    </row>
    <row r="719">
      <c r="A719" s="420"/>
      <c r="B719" s="420"/>
      <c r="C719" s="420"/>
      <c r="D719" s="420"/>
      <c r="E719" s="420"/>
      <c r="F719" s="420"/>
      <c r="G719" s="420"/>
      <c r="H719" s="421"/>
      <c r="I719" s="420"/>
      <c r="J719" s="420"/>
      <c r="K719" s="420"/>
      <c r="L719" s="420"/>
      <c r="M719" s="420"/>
      <c r="N719" s="420"/>
      <c r="O719" s="420"/>
      <c r="P719" s="420"/>
      <c r="Q719" s="420"/>
      <c r="R719" s="420"/>
      <c r="S719" s="420"/>
      <c r="T719" s="420"/>
      <c r="U719" s="420"/>
      <c r="V719" s="420"/>
      <c r="W719" s="420"/>
      <c r="X719" s="420"/>
      <c r="Y719" s="420"/>
      <c r="Z719" s="420"/>
      <c r="AA719" s="420"/>
    </row>
    <row r="720">
      <c r="A720" s="420"/>
      <c r="B720" s="420"/>
      <c r="C720" s="420"/>
      <c r="D720" s="420"/>
      <c r="E720" s="420"/>
      <c r="F720" s="420"/>
      <c r="G720" s="420"/>
      <c r="H720" s="421"/>
      <c r="I720" s="420"/>
      <c r="J720" s="420"/>
      <c r="K720" s="420"/>
      <c r="L720" s="420"/>
      <c r="M720" s="420"/>
      <c r="N720" s="420"/>
      <c r="O720" s="420"/>
      <c r="P720" s="420"/>
      <c r="Q720" s="420"/>
      <c r="R720" s="420"/>
      <c r="S720" s="420"/>
      <c r="T720" s="420"/>
      <c r="U720" s="420"/>
      <c r="V720" s="420"/>
      <c r="W720" s="420"/>
      <c r="X720" s="420"/>
      <c r="Y720" s="420"/>
      <c r="Z720" s="420"/>
      <c r="AA720" s="420"/>
    </row>
    <row r="721">
      <c r="A721" s="420"/>
      <c r="B721" s="420"/>
      <c r="C721" s="420"/>
      <c r="D721" s="420"/>
      <c r="E721" s="420"/>
      <c r="F721" s="420"/>
      <c r="G721" s="420"/>
      <c r="H721" s="421"/>
      <c r="I721" s="420"/>
      <c r="J721" s="420"/>
      <c r="K721" s="420"/>
      <c r="L721" s="420"/>
      <c r="M721" s="420"/>
      <c r="N721" s="420"/>
      <c r="O721" s="420"/>
      <c r="P721" s="420"/>
      <c r="Q721" s="420"/>
      <c r="R721" s="420"/>
      <c r="S721" s="420"/>
      <c r="T721" s="420"/>
      <c r="U721" s="420"/>
      <c r="V721" s="420"/>
      <c r="W721" s="420"/>
      <c r="X721" s="420"/>
      <c r="Y721" s="420"/>
      <c r="Z721" s="420"/>
      <c r="AA721" s="420"/>
    </row>
    <row r="722">
      <c r="A722" s="420"/>
      <c r="B722" s="420"/>
      <c r="C722" s="420"/>
      <c r="D722" s="420"/>
      <c r="E722" s="420"/>
      <c r="F722" s="420"/>
      <c r="G722" s="420"/>
      <c r="H722" s="421"/>
      <c r="I722" s="420"/>
      <c r="J722" s="420"/>
      <c r="K722" s="420"/>
      <c r="L722" s="420"/>
      <c r="M722" s="420"/>
      <c r="N722" s="420"/>
      <c r="O722" s="420"/>
      <c r="P722" s="420"/>
      <c r="Q722" s="420"/>
      <c r="R722" s="420"/>
      <c r="S722" s="420"/>
      <c r="T722" s="420"/>
      <c r="U722" s="420"/>
      <c r="V722" s="420"/>
      <c r="W722" s="420"/>
      <c r="X722" s="420"/>
      <c r="Y722" s="420"/>
      <c r="Z722" s="420"/>
      <c r="AA722" s="420"/>
    </row>
    <row r="723">
      <c r="A723" s="420"/>
      <c r="B723" s="420"/>
      <c r="C723" s="420"/>
      <c r="D723" s="420"/>
      <c r="E723" s="420"/>
      <c r="F723" s="420"/>
      <c r="G723" s="420"/>
      <c r="H723" s="421"/>
      <c r="I723" s="420"/>
      <c r="J723" s="420"/>
      <c r="K723" s="420"/>
      <c r="L723" s="420"/>
      <c r="M723" s="420"/>
      <c r="N723" s="420"/>
      <c r="O723" s="420"/>
      <c r="P723" s="420"/>
      <c r="Q723" s="420"/>
      <c r="R723" s="420"/>
      <c r="S723" s="420"/>
      <c r="T723" s="420"/>
      <c r="U723" s="420"/>
      <c r="V723" s="420"/>
      <c r="W723" s="420"/>
      <c r="X723" s="420"/>
      <c r="Y723" s="420"/>
      <c r="Z723" s="420"/>
      <c r="AA723" s="420"/>
    </row>
    <row r="724">
      <c r="A724" s="420"/>
      <c r="B724" s="420"/>
      <c r="C724" s="420"/>
      <c r="D724" s="420"/>
      <c r="E724" s="420"/>
      <c r="F724" s="420"/>
      <c r="G724" s="420"/>
      <c r="H724" s="421"/>
      <c r="I724" s="420"/>
      <c r="J724" s="420"/>
      <c r="K724" s="420"/>
      <c r="L724" s="420"/>
      <c r="M724" s="420"/>
      <c r="N724" s="420"/>
      <c r="O724" s="420"/>
      <c r="P724" s="420"/>
      <c r="Q724" s="420"/>
      <c r="R724" s="420"/>
      <c r="S724" s="420"/>
      <c r="T724" s="420"/>
      <c r="U724" s="420"/>
      <c r="V724" s="420"/>
      <c r="W724" s="420"/>
      <c r="X724" s="420"/>
      <c r="Y724" s="420"/>
      <c r="Z724" s="420"/>
      <c r="AA724" s="420"/>
    </row>
    <row r="725">
      <c r="A725" s="420"/>
      <c r="B725" s="420"/>
      <c r="C725" s="420"/>
      <c r="D725" s="420"/>
      <c r="E725" s="420"/>
      <c r="F725" s="420"/>
      <c r="G725" s="420"/>
      <c r="H725" s="421"/>
      <c r="I725" s="420"/>
      <c r="J725" s="420"/>
      <c r="K725" s="420"/>
      <c r="L725" s="420"/>
      <c r="M725" s="420"/>
      <c r="N725" s="420"/>
      <c r="O725" s="420"/>
      <c r="P725" s="420"/>
      <c r="Q725" s="420"/>
      <c r="R725" s="420"/>
      <c r="S725" s="420"/>
      <c r="T725" s="420"/>
      <c r="U725" s="420"/>
      <c r="V725" s="420"/>
      <c r="W725" s="420"/>
      <c r="X725" s="420"/>
      <c r="Y725" s="420"/>
      <c r="Z725" s="420"/>
      <c r="AA725" s="420"/>
    </row>
    <row r="726">
      <c r="A726" s="420"/>
      <c r="B726" s="420"/>
      <c r="C726" s="420"/>
      <c r="D726" s="420"/>
      <c r="E726" s="420"/>
      <c r="F726" s="420"/>
      <c r="G726" s="420"/>
      <c r="H726" s="421"/>
      <c r="I726" s="420"/>
      <c r="J726" s="420"/>
      <c r="K726" s="420"/>
      <c r="L726" s="420"/>
      <c r="M726" s="420"/>
      <c r="N726" s="420"/>
      <c r="O726" s="420"/>
      <c r="P726" s="420"/>
      <c r="Q726" s="420"/>
      <c r="R726" s="420"/>
      <c r="S726" s="420"/>
      <c r="T726" s="420"/>
      <c r="U726" s="420"/>
      <c r="V726" s="420"/>
      <c r="W726" s="420"/>
      <c r="X726" s="420"/>
      <c r="Y726" s="420"/>
      <c r="Z726" s="420"/>
      <c r="AA726" s="420"/>
    </row>
    <row r="727">
      <c r="A727" s="420"/>
      <c r="B727" s="420"/>
      <c r="C727" s="420"/>
      <c r="D727" s="420"/>
      <c r="E727" s="420"/>
      <c r="F727" s="420"/>
      <c r="G727" s="420"/>
      <c r="H727" s="421"/>
      <c r="I727" s="420"/>
      <c r="J727" s="420"/>
      <c r="K727" s="420"/>
      <c r="L727" s="420"/>
      <c r="M727" s="420"/>
      <c r="N727" s="420"/>
      <c r="O727" s="420"/>
      <c r="P727" s="420"/>
      <c r="Q727" s="420"/>
      <c r="R727" s="420"/>
      <c r="S727" s="420"/>
      <c r="T727" s="420"/>
      <c r="U727" s="420"/>
      <c r="V727" s="420"/>
      <c r="W727" s="420"/>
      <c r="X727" s="420"/>
      <c r="Y727" s="420"/>
      <c r="Z727" s="420"/>
      <c r="AA727" s="420"/>
    </row>
    <row r="728">
      <c r="A728" s="420"/>
      <c r="B728" s="420"/>
      <c r="C728" s="420"/>
      <c r="D728" s="420"/>
      <c r="E728" s="420"/>
      <c r="F728" s="420"/>
      <c r="G728" s="420"/>
      <c r="H728" s="421"/>
      <c r="I728" s="420"/>
      <c r="J728" s="420"/>
      <c r="K728" s="420"/>
      <c r="L728" s="420"/>
      <c r="M728" s="420"/>
      <c r="N728" s="420"/>
      <c r="O728" s="420"/>
      <c r="P728" s="420"/>
      <c r="Q728" s="420"/>
      <c r="R728" s="420"/>
      <c r="S728" s="420"/>
      <c r="T728" s="420"/>
      <c r="U728" s="420"/>
      <c r="V728" s="420"/>
      <c r="W728" s="420"/>
      <c r="X728" s="420"/>
      <c r="Y728" s="420"/>
      <c r="Z728" s="420"/>
      <c r="AA728" s="420"/>
    </row>
    <row r="729">
      <c r="A729" s="420"/>
      <c r="B729" s="420"/>
      <c r="C729" s="420"/>
      <c r="D729" s="420"/>
      <c r="E729" s="420"/>
      <c r="F729" s="420"/>
      <c r="G729" s="420"/>
      <c r="H729" s="421"/>
      <c r="I729" s="420"/>
      <c r="J729" s="420"/>
      <c r="K729" s="420"/>
      <c r="L729" s="420"/>
      <c r="M729" s="420"/>
      <c r="N729" s="420"/>
      <c r="O729" s="420"/>
      <c r="P729" s="420"/>
      <c r="Q729" s="420"/>
      <c r="R729" s="420"/>
      <c r="S729" s="420"/>
      <c r="T729" s="420"/>
      <c r="U729" s="420"/>
      <c r="V729" s="420"/>
      <c r="W729" s="420"/>
      <c r="X729" s="420"/>
      <c r="Y729" s="420"/>
      <c r="Z729" s="420"/>
      <c r="AA729" s="420"/>
    </row>
    <row r="730">
      <c r="A730" s="420"/>
      <c r="B730" s="420"/>
      <c r="C730" s="420"/>
      <c r="D730" s="420"/>
      <c r="E730" s="420"/>
      <c r="F730" s="420"/>
      <c r="G730" s="420"/>
      <c r="H730" s="421"/>
      <c r="I730" s="420"/>
      <c r="J730" s="420"/>
      <c r="K730" s="420"/>
      <c r="L730" s="420"/>
      <c r="M730" s="420"/>
      <c r="N730" s="420"/>
      <c r="O730" s="420"/>
      <c r="P730" s="420"/>
      <c r="Q730" s="420"/>
      <c r="R730" s="420"/>
      <c r="S730" s="420"/>
      <c r="T730" s="420"/>
      <c r="U730" s="420"/>
      <c r="V730" s="420"/>
      <c r="W730" s="420"/>
      <c r="X730" s="420"/>
      <c r="Y730" s="420"/>
      <c r="Z730" s="420"/>
      <c r="AA730" s="420"/>
    </row>
    <row r="731">
      <c r="A731" s="420"/>
      <c r="B731" s="420"/>
      <c r="C731" s="420"/>
      <c r="D731" s="420"/>
      <c r="E731" s="420"/>
      <c r="F731" s="420"/>
      <c r="G731" s="420"/>
      <c r="H731" s="421"/>
      <c r="I731" s="420"/>
      <c r="J731" s="420"/>
      <c r="K731" s="420"/>
      <c r="L731" s="420"/>
      <c r="M731" s="420"/>
      <c r="N731" s="420"/>
      <c r="O731" s="420"/>
      <c r="P731" s="420"/>
      <c r="Q731" s="420"/>
      <c r="R731" s="420"/>
      <c r="S731" s="420"/>
      <c r="T731" s="420"/>
      <c r="U731" s="420"/>
      <c r="V731" s="420"/>
      <c r="W731" s="420"/>
      <c r="X731" s="420"/>
      <c r="Y731" s="420"/>
      <c r="Z731" s="420"/>
      <c r="AA731" s="420"/>
    </row>
    <row r="732">
      <c r="A732" s="420"/>
      <c r="B732" s="420"/>
      <c r="C732" s="420"/>
      <c r="D732" s="420"/>
      <c r="E732" s="420"/>
      <c r="F732" s="420"/>
      <c r="G732" s="420"/>
      <c r="H732" s="421"/>
      <c r="I732" s="420"/>
      <c r="J732" s="420"/>
      <c r="K732" s="420"/>
      <c r="L732" s="420"/>
      <c r="M732" s="420"/>
      <c r="N732" s="420"/>
      <c r="O732" s="420"/>
      <c r="P732" s="420"/>
      <c r="Q732" s="420"/>
      <c r="R732" s="420"/>
      <c r="S732" s="420"/>
      <c r="T732" s="420"/>
      <c r="U732" s="420"/>
      <c r="V732" s="420"/>
      <c r="W732" s="420"/>
      <c r="X732" s="420"/>
      <c r="Y732" s="420"/>
      <c r="Z732" s="420"/>
      <c r="AA732" s="420"/>
    </row>
    <row r="733">
      <c r="A733" s="420"/>
      <c r="B733" s="420"/>
      <c r="C733" s="420"/>
      <c r="D733" s="420"/>
      <c r="E733" s="420"/>
      <c r="F733" s="420"/>
      <c r="G733" s="420"/>
      <c r="H733" s="421"/>
      <c r="I733" s="420"/>
      <c r="J733" s="420"/>
      <c r="K733" s="420"/>
      <c r="L733" s="420"/>
      <c r="M733" s="420"/>
      <c r="N733" s="420"/>
      <c r="O733" s="420"/>
      <c r="P733" s="420"/>
      <c r="Q733" s="420"/>
      <c r="R733" s="420"/>
      <c r="S733" s="420"/>
      <c r="T733" s="420"/>
      <c r="U733" s="420"/>
      <c r="V733" s="420"/>
      <c r="W733" s="420"/>
      <c r="X733" s="420"/>
      <c r="Y733" s="420"/>
      <c r="Z733" s="420"/>
      <c r="AA733" s="420"/>
    </row>
    <row r="734">
      <c r="A734" s="420"/>
      <c r="B734" s="420"/>
      <c r="C734" s="420"/>
      <c r="D734" s="420"/>
      <c r="E734" s="420"/>
      <c r="F734" s="420"/>
      <c r="G734" s="420"/>
      <c r="H734" s="421"/>
      <c r="I734" s="420"/>
      <c r="J734" s="420"/>
      <c r="K734" s="420"/>
      <c r="L734" s="420"/>
      <c r="M734" s="420"/>
      <c r="N734" s="420"/>
      <c r="O734" s="420"/>
      <c r="P734" s="420"/>
      <c r="Q734" s="420"/>
      <c r="R734" s="420"/>
      <c r="S734" s="420"/>
      <c r="T734" s="420"/>
      <c r="U734" s="420"/>
      <c r="V734" s="420"/>
      <c r="W734" s="420"/>
      <c r="X734" s="420"/>
      <c r="Y734" s="420"/>
      <c r="Z734" s="420"/>
      <c r="AA734" s="420"/>
    </row>
    <row r="735">
      <c r="A735" s="420"/>
      <c r="B735" s="420"/>
      <c r="C735" s="420"/>
      <c r="D735" s="420"/>
      <c r="E735" s="420"/>
      <c r="F735" s="420"/>
      <c r="G735" s="420"/>
      <c r="H735" s="421"/>
      <c r="I735" s="420"/>
      <c r="J735" s="420"/>
      <c r="K735" s="420"/>
      <c r="L735" s="420"/>
      <c r="M735" s="420"/>
      <c r="N735" s="420"/>
      <c r="O735" s="420"/>
      <c r="P735" s="420"/>
      <c r="Q735" s="420"/>
      <c r="R735" s="420"/>
      <c r="S735" s="420"/>
      <c r="T735" s="420"/>
      <c r="U735" s="420"/>
      <c r="V735" s="420"/>
      <c r="W735" s="420"/>
      <c r="X735" s="420"/>
      <c r="Y735" s="420"/>
      <c r="Z735" s="420"/>
      <c r="AA735" s="420"/>
    </row>
    <row r="736">
      <c r="A736" s="420"/>
      <c r="B736" s="420"/>
      <c r="C736" s="420"/>
      <c r="D736" s="420"/>
      <c r="E736" s="420"/>
      <c r="F736" s="420"/>
      <c r="G736" s="420"/>
      <c r="H736" s="421"/>
      <c r="I736" s="420"/>
      <c r="J736" s="420"/>
      <c r="K736" s="420"/>
      <c r="L736" s="420"/>
      <c r="M736" s="420"/>
      <c r="N736" s="420"/>
      <c r="O736" s="420"/>
      <c r="P736" s="420"/>
      <c r="Q736" s="420"/>
      <c r="R736" s="420"/>
      <c r="S736" s="420"/>
      <c r="T736" s="420"/>
      <c r="U736" s="420"/>
      <c r="V736" s="420"/>
      <c r="W736" s="420"/>
      <c r="X736" s="420"/>
      <c r="Y736" s="420"/>
      <c r="Z736" s="420"/>
      <c r="AA736" s="420"/>
    </row>
    <row r="737">
      <c r="A737" s="420"/>
      <c r="B737" s="420"/>
      <c r="C737" s="420"/>
      <c r="D737" s="420"/>
      <c r="E737" s="420"/>
      <c r="F737" s="420"/>
      <c r="G737" s="420"/>
      <c r="H737" s="421"/>
      <c r="I737" s="420"/>
      <c r="J737" s="420"/>
      <c r="K737" s="420"/>
      <c r="L737" s="420"/>
      <c r="M737" s="420"/>
      <c r="N737" s="420"/>
      <c r="O737" s="420"/>
      <c r="P737" s="420"/>
      <c r="Q737" s="420"/>
      <c r="R737" s="420"/>
      <c r="S737" s="420"/>
      <c r="T737" s="420"/>
      <c r="U737" s="420"/>
      <c r="V737" s="420"/>
      <c r="W737" s="420"/>
      <c r="X737" s="420"/>
      <c r="Y737" s="420"/>
      <c r="Z737" s="420"/>
      <c r="AA737" s="420"/>
    </row>
    <row r="738">
      <c r="A738" s="420"/>
      <c r="B738" s="420"/>
      <c r="C738" s="420"/>
      <c r="D738" s="420"/>
      <c r="E738" s="420"/>
      <c r="F738" s="420"/>
      <c r="G738" s="420"/>
      <c r="H738" s="421"/>
      <c r="I738" s="420"/>
      <c r="J738" s="420"/>
      <c r="K738" s="420"/>
      <c r="L738" s="420"/>
      <c r="M738" s="420"/>
      <c r="N738" s="420"/>
      <c r="O738" s="420"/>
      <c r="P738" s="420"/>
      <c r="Q738" s="420"/>
      <c r="R738" s="420"/>
      <c r="S738" s="420"/>
      <c r="T738" s="420"/>
      <c r="U738" s="420"/>
      <c r="V738" s="420"/>
      <c r="W738" s="420"/>
      <c r="X738" s="420"/>
      <c r="Y738" s="420"/>
      <c r="Z738" s="420"/>
      <c r="AA738" s="420"/>
    </row>
    <row r="739">
      <c r="A739" s="420"/>
      <c r="B739" s="420"/>
      <c r="C739" s="420"/>
      <c r="D739" s="420"/>
      <c r="E739" s="420"/>
      <c r="F739" s="420"/>
      <c r="G739" s="420"/>
      <c r="H739" s="421"/>
      <c r="I739" s="420"/>
      <c r="J739" s="420"/>
      <c r="K739" s="420"/>
      <c r="L739" s="420"/>
      <c r="M739" s="420"/>
      <c r="N739" s="420"/>
      <c r="O739" s="420"/>
      <c r="P739" s="420"/>
      <c r="Q739" s="420"/>
      <c r="R739" s="420"/>
      <c r="S739" s="420"/>
      <c r="T739" s="420"/>
      <c r="U739" s="420"/>
      <c r="V739" s="420"/>
      <c r="W739" s="420"/>
      <c r="X739" s="420"/>
      <c r="Y739" s="420"/>
      <c r="Z739" s="420"/>
      <c r="AA739" s="420"/>
    </row>
    <row r="740">
      <c r="A740" s="420"/>
      <c r="B740" s="420"/>
      <c r="C740" s="420"/>
      <c r="D740" s="420"/>
      <c r="E740" s="420"/>
      <c r="F740" s="420"/>
      <c r="G740" s="420"/>
      <c r="H740" s="421"/>
      <c r="I740" s="420"/>
      <c r="J740" s="420"/>
      <c r="K740" s="420"/>
      <c r="L740" s="420"/>
      <c r="M740" s="420"/>
      <c r="N740" s="420"/>
      <c r="O740" s="420"/>
      <c r="P740" s="420"/>
      <c r="Q740" s="420"/>
      <c r="R740" s="420"/>
      <c r="S740" s="420"/>
      <c r="T740" s="420"/>
      <c r="U740" s="420"/>
      <c r="V740" s="420"/>
      <c r="W740" s="420"/>
      <c r="X740" s="420"/>
      <c r="Y740" s="420"/>
      <c r="Z740" s="420"/>
      <c r="AA740" s="420"/>
    </row>
    <row r="741">
      <c r="A741" s="420"/>
      <c r="B741" s="420"/>
      <c r="C741" s="420"/>
      <c r="D741" s="420"/>
      <c r="E741" s="420"/>
      <c r="F741" s="420"/>
      <c r="G741" s="420"/>
      <c r="H741" s="421"/>
      <c r="I741" s="420"/>
      <c r="J741" s="420"/>
      <c r="K741" s="420"/>
      <c r="L741" s="420"/>
      <c r="M741" s="420"/>
      <c r="N741" s="420"/>
      <c r="O741" s="420"/>
      <c r="P741" s="420"/>
      <c r="Q741" s="420"/>
      <c r="R741" s="420"/>
      <c r="S741" s="420"/>
      <c r="T741" s="420"/>
      <c r="U741" s="420"/>
      <c r="V741" s="420"/>
      <c r="W741" s="420"/>
      <c r="X741" s="420"/>
      <c r="Y741" s="420"/>
      <c r="Z741" s="420"/>
      <c r="AA741" s="420"/>
    </row>
    <row r="742">
      <c r="A742" s="420"/>
      <c r="B742" s="420"/>
      <c r="C742" s="420"/>
      <c r="D742" s="420"/>
      <c r="E742" s="420"/>
      <c r="F742" s="420"/>
      <c r="G742" s="420"/>
      <c r="H742" s="421"/>
      <c r="I742" s="420"/>
      <c r="J742" s="420"/>
      <c r="K742" s="420"/>
      <c r="L742" s="420"/>
      <c r="M742" s="420"/>
      <c r="N742" s="420"/>
      <c r="O742" s="420"/>
      <c r="P742" s="420"/>
      <c r="Q742" s="420"/>
      <c r="R742" s="420"/>
      <c r="S742" s="420"/>
      <c r="T742" s="420"/>
      <c r="U742" s="420"/>
      <c r="V742" s="420"/>
      <c r="W742" s="420"/>
      <c r="X742" s="420"/>
      <c r="Y742" s="420"/>
      <c r="Z742" s="420"/>
      <c r="AA742" s="420"/>
    </row>
    <row r="743">
      <c r="A743" s="420"/>
      <c r="B743" s="420"/>
      <c r="C743" s="420"/>
      <c r="D743" s="420"/>
      <c r="E743" s="420"/>
      <c r="F743" s="420"/>
      <c r="G743" s="420"/>
      <c r="H743" s="421"/>
      <c r="I743" s="420"/>
      <c r="J743" s="420"/>
      <c r="K743" s="420"/>
      <c r="L743" s="420"/>
      <c r="M743" s="420"/>
      <c r="N743" s="420"/>
      <c r="O743" s="420"/>
      <c r="P743" s="420"/>
      <c r="Q743" s="420"/>
      <c r="R743" s="420"/>
      <c r="S743" s="420"/>
      <c r="T743" s="420"/>
      <c r="U743" s="420"/>
      <c r="V743" s="420"/>
      <c r="W743" s="420"/>
      <c r="X743" s="420"/>
      <c r="Y743" s="420"/>
      <c r="Z743" s="420"/>
      <c r="AA743" s="420"/>
    </row>
    <row r="744">
      <c r="A744" s="420"/>
      <c r="B744" s="420"/>
      <c r="C744" s="420"/>
      <c r="D744" s="420"/>
      <c r="E744" s="420"/>
      <c r="F744" s="420"/>
      <c r="G744" s="420"/>
      <c r="H744" s="421"/>
      <c r="I744" s="420"/>
      <c r="J744" s="420"/>
      <c r="K744" s="420"/>
      <c r="L744" s="420"/>
      <c r="M744" s="420"/>
      <c r="N744" s="420"/>
      <c r="O744" s="420"/>
      <c r="P744" s="420"/>
      <c r="Q744" s="420"/>
      <c r="R744" s="420"/>
      <c r="S744" s="420"/>
      <c r="T744" s="420"/>
      <c r="U744" s="420"/>
      <c r="V744" s="420"/>
      <c r="W744" s="420"/>
      <c r="X744" s="420"/>
      <c r="Y744" s="420"/>
      <c r="Z744" s="420"/>
      <c r="AA744" s="420"/>
    </row>
    <row r="745">
      <c r="A745" s="420"/>
      <c r="B745" s="420"/>
      <c r="C745" s="420"/>
      <c r="D745" s="420"/>
      <c r="E745" s="420"/>
      <c r="F745" s="420"/>
      <c r="G745" s="420"/>
      <c r="H745" s="421"/>
      <c r="I745" s="420"/>
      <c r="J745" s="420"/>
      <c r="K745" s="420"/>
      <c r="L745" s="420"/>
      <c r="M745" s="420"/>
      <c r="N745" s="420"/>
      <c r="O745" s="420"/>
      <c r="P745" s="420"/>
      <c r="Q745" s="420"/>
      <c r="R745" s="420"/>
      <c r="S745" s="420"/>
      <c r="T745" s="420"/>
      <c r="U745" s="420"/>
      <c r="V745" s="420"/>
      <c r="W745" s="420"/>
      <c r="X745" s="420"/>
      <c r="Y745" s="420"/>
      <c r="Z745" s="420"/>
      <c r="AA745" s="420"/>
    </row>
    <row r="746">
      <c r="A746" s="420"/>
      <c r="B746" s="420"/>
      <c r="C746" s="420"/>
      <c r="D746" s="420"/>
      <c r="E746" s="420"/>
      <c r="F746" s="420"/>
      <c r="G746" s="420"/>
      <c r="H746" s="421"/>
      <c r="I746" s="420"/>
      <c r="J746" s="420"/>
      <c r="K746" s="420"/>
      <c r="L746" s="420"/>
      <c r="M746" s="420"/>
      <c r="N746" s="420"/>
      <c r="O746" s="420"/>
      <c r="P746" s="420"/>
      <c r="Q746" s="420"/>
      <c r="R746" s="420"/>
      <c r="S746" s="420"/>
      <c r="T746" s="420"/>
      <c r="U746" s="420"/>
      <c r="V746" s="420"/>
      <c r="W746" s="420"/>
      <c r="X746" s="420"/>
      <c r="Y746" s="420"/>
      <c r="Z746" s="420"/>
      <c r="AA746" s="420"/>
    </row>
    <row r="747">
      <c r="A747" s="420"/>
      <c r="B747" s="420"/>
      <c r="C747" s="420"/>
      <c r="D747" s="420"/>
      <c r="E747" s="420"/>
      <c r="F747" s="420"/>
      <c r="G747" s="420"/>
      <c r="H747" s="421"/>
      <c r="I747" s="420"/>
      <c r="J747" s="420"/>
      <c r="K747" s="420"/>
      <c r="L747" s="420"/>
      <c r="M747" s="420"/>
      <c r="N747" s="420"/>
      <c r="O747" s="420"/>
      <c r="P747" s="420"/>
      <c r="Q747" s="420"/>
      <c r="R747" s="420"/>
      <c r="S747" s="420"/>
      <c r="T747" s="420"/>
      <c r="U747" s="420"/>
      <c r="V747" s="420"/>
      <c r="W747" s="420"/>
      <c r="X747" s="420"/>
      <c r="Y747" s="420"/>
      <c r="Z747" s="420"/>
      <c r="AA747" s="420"/>
    </row>
    <row r="748">
      <c r="A748" s="420"/>
      <c r="B748" s="420"/>
      <c r="C748" s="420"/>
      <c r="D748" s="420"/>
      <c r="E748" s="420"/>
      <c r="F748" s="420"/>
      <c r="G748" s="420"/>
      <c r="H748" s="421"/>
      <c r="I748" s="420"/>
      <c r="J748" s="420"/>
      <c r="K748" s="420"/>
      <c r="L748" s="420"/>
      <c r="M748" s="420"/>
      <c r="N748" s="420"/>
      <c r="O748" s="420"/>
      <c r="P748" s="420"/>
      <c r="Q748" s="420"/>
      <c r="R748" s="420"/>
      <c r="S748" s="420"/>
      <c r="T748" s="420"/>
      <c r="U748" s="420"/>
      <c r="V748" s="420"/>
      <c r="W748" s="420"/>
      <c r="X748" s="420"/>
      <c r="Y748" s="420"/>
      <c r="Z748" s="420"/>
      <c r="AA748" s="420"/>
    </row>
    <row r="749">
      <c r="A749" s="420"/>
      <c r="B749" s="420"/>
      <c r="C749" s="420"/>
      <c r="D749" s="420"/>
      <c r="E749" s="420"/>
      <c r="F749" s="420"/>
      <c r="G749" s="420"/>
      <c r="H749" s="421"/>
      <c r="I749" s="420"/>
      <c r="J749" s="420"/>
      <c r="K749" s="420"/>
      <c r="L749" s="420"/>
      <c r="M749" s="420"/>
      <c r="N749" s="420"/>
      <c r="O749" s="420"/>
      <c r="P749" s="420"/>
      <c r="Q749" s="420"/>
      <c r="R749" s="420"/>
      <c r="S749" s="420"/>
      <c r="T749" s="420"/>
      <c r="U749" s="420"/>
      <c r="V749" s="420"/>
      <c r="W749" s="420"/>
      <c r="X749" s="420"/>
      <c r="Y749" s="420"/>
      <c r="Z749" s="420"/>
      <c r="AA749" s="420"/>
    </row>
    <row r="750">
      <c r="A750" s="420"/>
      <c r="B750" s="420"/>
      <c r="C750" s="420"/>
      <c r="D750" s="420"/>
      <c r="E750" s="420"/>
      <c r="F750" s="420"/>
      <c r="G750" s="420"/>
      <c r="H750" s="421"/>
      <c r="I750" s="420"/>
      <c r="J750" s="420"/>
      <c r="K750" s="420"/>
      <c r="L750" s="420"/>
      <c r="M750" s="420"/>
      <c r="N750" s="420"/>
      <c r="O750" s="420"/>
      <c r="P750" s="420"/>
      <c r="Q750" s="420"/>
      <c r="R750" s="420"/>
      <c r="S750" s="420"/>
      <c r="T750" s="420"/>
      <c r="U750" s="420"/>
      <c r="V750" s="420"/>
      <c r="W750" s="420"/>
      <c r="X750" s="420"/>
      <c r="Y750" s="420"/>
      <c r="Z750" s="420"/>
      <c r="AA750" s="420"/>
    </row>
    <row r="751">
      <c r="A751" s="420"/>
      <c r="B751" s="420"/>
      <c r="C751" s="420"/>
      <c r="D751" s="420"/>
      <c r="E751" s="420"/>
      <c r="F751" s="420"/>
      <c r="G751" s="420"/>
      <c r="H751" s="421"/>
      <c r="I751" s="420"/>
      <c r="J751" s="420"/>
      <c r="K751" s="420"/>
      <c r="L751" s="420"/>
      <c r="M751" s="420"/>
      <c r="N751" s="420"/>
      <c r="O751" s="420"/>
      <c r="P751" s="420"/>
      <c r="Q751" s="420"/>
      <c r="R751" s="420"/>
      <c r="S751" s="420"/>
      <c r="T751" s="420"/>
      <c r="U751" s="420"/>
      <c r="V751" s="420"/>
      <c r="W751" s="420"/>
      <c r="X751" s="420"/>
      <c r="Y751" s="420"/>
      <c r="Z751" s="420"/>
      <c r="AA751" s="420"/>
    </row>
    <row r="752">
      <c r="A752" s="420"/>
      <c r="B752" s="420"/>
      <c r="C752" s="420"/>
      <c r="D752" s="420"/>
      <c r="E752" s="420"/>
      <c r="F752" s="420"/>
      <c r="G752" s="420"/>
      <c r="H752" s="421"/>
      <c r="I752" s="420"/>
      <c r="J752" s="420"/>
      <c r="K752" s="420"/>
      <c r="L752" s="420"/>
      <c r="M752" s="420"/>
      <c r="N752" s="420"/>
      <c r="O752" s="420"/>
      <c r="P752" s="420"/>
      <c r="Q752" s="420"/>
      <c r="R752" s="420"/>
      <c r="S752" s="420"/>
      <c r="T752" s="420"/>
      <c r="U752" s="420"/>
      <c r="V752" s="420"/>
      <c r="W752" s="420"/>
      <c r="X752" s="420"/>
      <c r="Y752" s="420"/>
      <c r="Z752" s="420"/>
      <c r="AA752" s="420"/>
    </row>
    <row r="753">
      <c r="A753" s="420"/>
      <c r="B753" s="420"/>
      <c r="C753" s="420"/>
      <c r="D753" s="420"/>
      <c r="E753" s="420"/>
      <c r="F753" s="420"/>
      <c r="G753" s="420"/>
      <c r="H753" s="421"/>
      <c r="I753" s="420"/>
      <c r="J753" s="420"/>
      <c r="K753" s="420"/>
      <c r="L753" s="420"/>
      <c r="M753" s="420"/>
      <c r="N753" s="420"/>
      <c r="O753" s="420"/>
      <c r="P753" s="420"/>
      <c r="Q753" s="420"/>
      <c r="R753" s="420"/>
      <c r="S753" s="420"/>
      <c r="T753" s="420"/>
      <c r="U753" s="420"/>
      <c r="V753" s="420"/>
      <c r="W753" s="420"/>
      <c r="X753" s="420"/>
      <c r="Y753" s="420"/>
      <c r="Z753" s="420"/>
      <c r="AA753" s="420"/>
    </row>
    <row r="754">
      <c r="A754" s="420"/>
      <c r="B754" s="420"/>
      <c r="C754" s="420"/>
      <c r="D754" s="420"/>
      <c r="E754" s="420"/>
      <c r="F754" s="420"/>
      <c r="G754" s="420"/>
      <c r="H754" s="421"/>
      <c r="I754" s="420"/>
      <c r="J754" s="420"/>
      <c r="K754" s="420"/>
      <c r="L754" s="420"/>
      <c r="M754" s="420"/>
      <c r="N754" s="420"/>
      <c r="O754" s="420"/>
      <c r="P754" s="420"/>
      <c r="Q754" s="420"/>
      <c r="R754" s="420"/>
      <c r="S754" s="420"/>
      <c r="T754" s="420"/>
      <c r="U754" s="420"/>
      <c r="V754" s="420"/>
      <c r="W754" s="420"/>
      <c r="X754" s="420"/>
      <c r="Y754" s="420"/>
      <c r="Z754" s="420"/>
      <c r="AA754" s="420"/>
    </row>
    <row r="755">
      <c r="A755" s="420"/>
      <c r="B755" s="420"/>
      <c r="C755" s="420"/>
      <c r="D755" s="420"/>
      <c r="E755" s="420"/>
      <c r="F755" s="420"/>
      <c r="G755" s="420"/>
      <c r="H755" s="421"/>
      <c r="I755" s="420"/>
      <c r="J755" s="420"/>
      <c r="K755" s="420"/>
      <c r="L755" s="420"/>
      <c r="M755" s="420"/>
      <c r="N755" s="420"/>
      <c r="O755" s="420"/>
      <c r="P755" s="420"/>
      <c r="Q755" s="420"/>
      <c r="R755" s="420"/>
      <c r="S755" s="420"/>
      <c r="T755" s="420"/>
      <c r="U755" s="420"/>
      <c r="V755" s="420"/>
      <c r="W755" s="420"/>
      <c r="X755" s="420"/>
      <c r="Y755" s="420"/>
      <c r="Z755" s="420"/>
      <c r="AA755" s="420"/>
    </row>
    <row r="756">
      <c r="A756" s="420"/>
      <c r="B756" s="420"/>
      <c r="C756" s="420"/>
      <c r="D756" s="420"/>
      <c r="E756" s="420"/>
      <c r="F756" s="420"/>
      <c r="G756" s="420"/>
      <c r="H756" s="421"/>
      <c r="I756" s="420"/>
      <c r="J756" s="420"/>
      <c r="K756" s="420"/>
      <c r="L756" s="420"/>
      <c r="M756" s="420"/>
      <c r="N756" s="420"/>
      <c r="O756" s="420"/>
      <c r="P756" s="420"/>
      <c r="Q756" s="420"/>
      <c r="R756" s="420"/>
      <c r="S756" s="420"/>
      <c r="T756" s="420"/>
      <c r="U756" s="420"/>
      <c r="V756" s="420"/>
      <c r="W756" s="420"/>
      <c r="X756" s="420"/>
      <c r="Y756" s="420"/>
      <c r="Z756" s="420"/>
      <c r="AA756" s="420"/>
    </row>
    <row r="757">
      <c r="A757" s="420"/>
      <c r="B757" s="420"/>
      <c r="C757" s="420"/>
      <c r="D757" s="420"/>
      <c r="E757" s="420"/>
      <c r="F757" s="420"/>
      <c r="G757" s="420"/>
      <c r="H757" s="421"/>
      <c r="I757" s="420"/>
      <c r="J757" s="420"/>
      <c r="K757" s="420"/>
      <c r="L757" s="420"/>
      <c r="M757" s="420"/>
      <c r="N757" s="420"/>
      <c r="O757" s="420"/>
      <c r="P757" s="420"/>
      <c r="Q757" s="420"/>
      <c r="R757" s="420"/>
      <c r="S757" s="420"/>
      <c r="T757" s="420"/>
      <c r="U757" s="420"/>
      <c r="V757" s="420"/>
      <c r="W757" s="420"/>
      <c r="X757" s="420"/>
      <c r="Y757" s="420"/>
      <c r="Z757" s="420"/>
      <c r="AA757" s="420"/>
    </row>
    <row r="758">
      <c r="A758" s="420"/>
      <c r="B758" s="420"/>
      <c r="C758" s="420"/>
      <c r="D758" s="420"/>
      <c r="E758" s="420"/>
      <c r="F758" s="420"/>
      <c r="G758" s="420"/>
      <c r="H758" s="421"/>
      <c r="I758" s="420"/>
      <c r="J758" s="420"/>
      <c r="K758" s="420"/>
      <c r="L758" s="420"/>
      <c r="M758" s="420"/>
      <c r="N758" s="420"/>
      <c r="O758" s="420"/>
      <c r="P758" s="420"/>
      <c r="Q758" s="420"/>
      <c r="R758" s="420"/>
      <c r="S758" s="420"/>
      <c r="T758" s="420"/>
      <c r="U758" s="420"/>
      <c r="V758" s="420"/>
      <c r="W758" s="420"/>
      <c r="X758" s="420"/>
      <c r="Y758" s="420"/>
      <c r="Z758" s="420"/>
      <c r="AA758" s="420"/>
    </row>
    <row r="759">
      <c r="A759" s="420"/>
      <c r="B759" s="420"/>
      <c r="C759" s="420"/>
      <c r="D759" s="420"/>
      <c r="E759" s="420"/>
      <c r="F759" s="420"/>
      <c r="G759" s="420"/>
      <c r="H759" s="421"/>
      <c r="I759" s="420"/>
      <c r="J759" s="420"/>
      <c r="K759" s="420"/>
      <c r="L759" s="420"/>
      <c r="M759" s="420"/>
      <c r="N759" s="420"/>
      <c r="O759" s="420"/>
      <c r="P759" s="420"/>
      <c r="Q759" s="420"/>
      <c r="R759" s="420"/>
      <c r="S759" s="420"/>
      <c r="T759" s="420"/>
      <c r="U759" s="420"/>
      <c r="V759" s="420"/>
      <c r="W759" s="420"/>
      <c r="X759" s="420"/>
      <c r="Y759" s="420"/>
      <c r="Z759" s="420"/>
      <c r="AA759" s="420"/>
    </row>
    <row r="760">
      <c r="A760" s="420"/>
      <c r="B760" s="420"/>
      <c r="C760" s="420"/>
      <c r="D760" s="420"/>
      <c r="E760" s="420"/>
      <c r="F760" s="420"/>
      <c r="G760" s="420"/>
      <c r="H760" s="421"/>
      <c r="I760" s="420"/>
      <c r="J760" s="420"/>
      <c r="K760" s="420"/>
      <c r="L760" s="420"/>
      <c r="M760" s="420"/>
      <c r="N760" s="420"/>
      <c r="O760" s="420"/>
      <c r="P760" s="420"/>
      <c r="Q760" s="420"/>
      <c r="R760" s="420"/>
      <c r="S760" s="420"/>
      <c r="T760" s="420"/>
      <c r="U760" s="420"/>
      <c r="V760" s="420"/>
      <c r="W760" s="420"/>
      <c r="X760" s="420"/>
      <c r="Y760" s="420"/>
      <c r="Z760" s="420"/>
      <c r="AA760" s="420"/>
    </row>
    <row r="761">
      <c r="A761" s="420"/>
      <c r="B761" s="420"/>
      <c r="C761" s="420"/>
      <c r="D761" s="420"/>
      <c r="E761" s="420"/>
      <c r="F761" s="420"/>
      <c r="G761" s="420"/>
      <c r="H761" s="421"/>
      <c r="I761" s="420"/>
      <c r="J761" s="420"/>
      <c r="K761" s="420"/>
      <c r="L761" s="420"/>
      <c r="M761" s="420"/>
      <c r="N761" s="420"/>
      <c r="O761" s="420"/>
      <c r="P761" s="420"/>
      <c r="Q761" s="420"/>
      <c r="R761" s="420"/>
      <c r="S761" s="420"/>
      <c r="T761" s="420"/>
      <c r="U761" s="420"/>
      <c r="V761" s="420"/>
      <c r="W761" s="420"/>
      <c r="X761" s="420"/>
      <c r="Y761" s="420"/>
      <c r="Z761" s="420"/>
      <c r="AA761" s="420"/>
    </row>
    <row r="762">
      <c r="A762" s="420"/>
      <c r="B762" s="420"/>
      <c r="C762" s="420"/>
      <c r="D762" s="420"/>
      <c r="E762" s="420"/>
      <c r="F762" s="420"/>
      <c r="G762" s="420"/>
      <c r="H762" s="421"/>
      <c r="I762" s="420"/>
      <c r="J762" s="420"/>
      <c r="K762" s="420"/>
      <c r="L762" s="420"/>
      <c r="M762" s="420"/>
      <c r="N762" s="420"/>
      <c r="O762" s="420"/>
      <c r="P762" s="420"/>
      <c r="Q762" s="420"/>
      <c r="R762" s="420"/>
      <c r="S762" s="420"/>
      <c r="T762" s="420"/>
      <c r="U762" s="420"/>
      <c r="V762" s="420"/>
      <c r="W762" s="420"/>
      <c r="X762" s="420"/>
      <c r="Y762" s="420"/>
      <c r="Z762" s="420"/>
      <c r="AA762" s="420"/>
    </row>
    <row r="763">
      <c r="A763" s="420"/>
      <c r="B763" s="420"/>
      <c r="C763" s="420"/>
      <c r="D763" s="420"/>
      <c r="E763" s="420"/>
      <c r="F763" s="420"/>
      <c r="G763" s="420"/>
      <c r="H763" s="421"/>
      <c r="I763" s="420"/>
      <c r="J763" s="420"/>
      <c r="K763" s="420"/>
      <c r="L763" s="420"/>
      <c r="M763" s="420"/>
      <c r="N763" s="420"/>
      <c r="O763" s="420"/>
      <c r="P763" s="420"/>
      <c r="Q763" s="420"/>
      <c r="R763" s="420"/>
      <c r="S763" s="420"/>
      <c r="T763" s="420"/>
      <c r="U763" s="420"/>
      <c r="V763" s="420"/>
      <c r="W763" s="420"/>
      <c r="X763" s="420"/>
      <c r="Y763" s="420"/>
      <c r="Z763" s="420"/>
      <c r="AA763" s="420"/>
    </row>
    <row r="764">
      <c r="A764" s="420"/>
      <c r="B764" s="420"/>
      <c r="C764" s="420"/>
      <c r="D764" s="420"/>
      <c r="E764" s="420"/>
      <c r="F764" s="420"/>
      <c r="G764" s="420"/>
      <c r="H764" s="421"/>
      <c r="I764" s="420"/>
      <c r="J764" s="420"/>
      <c r="K764" s="420"/>
      <c r="L764" s="420"/>
      <c r="M764" s="420"/>
      <c r="N764" s="420"/>
      <c r="O764" s="420"/>
      <c r="P764" s="420"/>
      <c r="Q764" s="420"/>
      <c r="R764" s="420"/>
      <c r="S764" s="420"/>
      <c r="T764" s="420"/>
      <c r="U764" s="420"/>
      <c r="V764" s="420"/>
      <c r="W764" s="420"/>
      <c r="X764" s="420"/>
      <c r="Y764" s="420"/>
      <c r="Z764" s="420"/>
      <c r="AA764" s="420"/>
    </row>
    <row r="765">
      <c r="A765" s="420"/>
      <c r="B765" s="420"/>
      <c r="C765" s="420"/>
      <c r="D765" s="420"/>
      <c r="E765" s="420"/>
      <c r="F765" s="420"/>
      <c r="G765" s="420"/>
      <c r="H765" s="421"/>
      <c r="I765" s="420"/>
      <c r="J765" s="420"/>
      <c r="K765" s="420"/>
      <c r="L765" s="420"/>
      <c r="M765" s="420"/>
      <c r="N765" s="420"/>
      <c r="O765" s="420"/>
      <c r="P765" s="420"/>
      <c r="Q765" s="420"/>
      <c r="R765" s="420"/>
      <c r="S765" s="420"/>
      <c r="T765" s="420"/>
      <c r="U765" s="420"/>
      <c r="V765" s="420"/>
      <c r="W765" s="420"/>
      <c r="X765" s="420"/>
      <c r="Y765" s="420"/>
      <c r="Z765" s="420"/>
      <c r="AA765" s="420"/>
    </row>
    <row r="766">
      <c r="A766" s="420"/>
      <c r="B766" s="420"/>
      <c r="C766" s="420"/>
      <c r="D766" s="420"/>
      <c r="E766" s="420"/>
      <c r="F766" s="420"/>
      <c r="G766" s="420"/>
      <c r="H766" s="421"/>
      <c r="I766" s="420"/>
      <c r="J766" s="420"/>
      <c r="K766" s="420"/>
      <c r="L766" s="420"/>
      <c r="M766" s="420"/>
      <c r="N766" s="420"/>
      <c r="O766" s="420"/>
      <c r="P766" s="420"/>
      <c r="Q766" s="420"/>
      <c r="R766" s="420"/>
      <c r="S766" s="420"/>
      <c r="T766" s="420"/>
      <c r="U766" s="420"/>
      <c r="V766" s="420"/>
      <c r="W766" s="420"/>
      <c r="X766" s="420"/>
      <c r="Y766" s="420"/>
      <c r="Z766" s="420"/>
      <c r="AA766" s="420"/>
    </row>
    <row r="767">
      <c r="A767" s="420"/>
      <c r="B767" s="420"/>
      <c r="C767" s="420"/>
      <c r="D767" s="420"/>
      <c r="E767" s="420"/>
      <c r="F767" s="420"/>
      <c r="G767" s="420"/>
      <c r="H767" s="421"/>
      <c r="I767" s="420"/>
      <c r="J767" s="420"/>
      <c r="K767" s="420"/>
      <c r="L767" s="420"/>
      <c r="M767" s="420"/>
      <c r="N767" s="420"/>
      <c r="O767" s="420"/>
      <c r="P767" s="420"/>
      <c r="Q767" s="420"/>
      <c r="R767" s="420"/>
      <c r="S767" s="420"/>
      <c r="T767" s="420"/>
      <c r="U767" s="420"/>
      <c r="V767" s="420"/>
      <c r="W767" s="420"/>
      <c r="X767" s="420"/>
      <c r="Y767" s="420"/>
      <c r="Z767" s="420"/>
      <c r="AA767" s="420"/>
    </row>
    <row r="768">
      <c r="A768" s="420"/>
      <c r="B768" s="420"/>
      <c r="C768" s="420"/>
      <c r="D768" s="420"/>
      <c r="E768" s="420"/>
      <c r="F768" s="420"/>
      <c r="G768" s="420"/>
      <c r="H768" s="421"/>
      <c r="I768" s="420"/>
      <c r="J768" s="420"/>
      <c r="K768" s="420"/>
      <c r="L768" s="420"/>
      <c r="M768" s="420"/>
      <c r="N768" s="420"/>
      <c r="O768" s="420"/>
      <c r="P768" s="420"/>
      <c r="Q768" s="420"/>
      <c r="R768" s="420"/>
      <c r="S768" s="420"/>
      <c r="T768" s="420"/>
      <c r="U768" s="420"/>
      <c r="V768" s="420"/>
      <c r="W768" s="420"/>
      <c r="X768" s="420"/>
      <c r="Y768" s="420"/>
      <c r="Z768" s="420"/>
      <c r="AA768" s="420"/>
    </row>
    <row r="769">
      <c r="A769" s="420"/>
      <c r="B769" s="420"/>
      <c r="C769" s="420"/>
      <c r="D769" s="420"/>
      <c r="E769" s="420"/>
      <c r="F769" s="420"/>
      <c r="G769" s="420"/>
      <c r="H769" s="421"/>
      <c r="I769" s="420"/>
      <c r="J769" s="420"/>
      <c r="K769" s="420"/>
      <c r="L769" s="420"/>
      <c r="M769" s="420"/>
      <c r="N769" s="420"/>
      <c r="O769" s="420"/>
      <c r="P769" s="420"/>
      <c r="Q769" s="420"/>
      <c r="R769" s="420"/>
      <c r="S769" s="420"/>
      <c r="T769" s="420"/>
      <c r="U769" s="420"/>
      <c r="V769" s="420"/>
      <c r="W769" s="420"/>
      <c r="X769" s="420"/>
      <c r="Y769" s="420"/>
      <c r="Z769" s="420"/>
      <c r="AA769" s="420"/>
    </row>
    <row r="770">
      <c r="A770" s="420"/>
      <c r="B770" s="420"/>
      <c r="C770" s="420"/>
      <c r="D770" s="420"/>
      <c r="E770" s="420"/>
      <c r="F770" s="420"/>
      <c r="G770" s="420"/>
      <c r="H770" s="421"/>
      <c r="I770" s="420"/>
      <c r="J770" s="420"/>
      <c r="K770" s="420"/>
      <c r="L770" s="420"/>
      <c r="M770" s="420"/>
      <c r="N770" s="420"/>
      <c r="O770" s="420"/>
      <c r="P770" s="420"/>
      <c r="Q770" s="420"/>
      <c r="R770" s="420"/>
      <c r="S770" s="420"/>
      <c r="T770" s="420"/>
      <c r="U770" s="420"/>
      <c r="V770" s="420"/>
      <c r="W770" s="420"/>
      <c r="X770" s="420"/>
      <c r="Y770" s="420"/>
      <c r="Z770" s="420"/>
      <c r="AA770" s="420"/>
    </row>
    <row r="771">
      <c r="A771" s="420"/>
      <c r="B771" s="420"/>
      <c r="C771" s="420"/>
      <c r="D771" s="420"/>
      <c r="E771" s="420"/>
      <c r="F771" s="420"/>
      <c r="G771" s="420"/>
      <c r="H771" s="421"/>
      <c r="I771" s="420"/>
      <c r="J771" s="420"/>
      <c r="K771" s="420"/>
      <c r="L771" s="420"/>
      <c r="M771" s="420"/>
      <c r="N771" s="420"/>
      <c r="O771" s="420"/>
      <c r="P771" s="420"/>
      <c r="Q771" s="420"/>
      <c r="R771" s="420"/>
      <c r="S771" s="420"/>
      <c r="T771" s="420"/>
      <c r="U771" s="420"/>
      <c r="V771" s="420"/>
      <c r="W771" s="420"/>
      <c r="X771" s="420"/>
      <c r="Y771" s="420"/>
      <c r="Z771" s="420"/>
      <c r="AA771" s="420"/>
    </row>
    <row r="772">
      <c r="A772" s="420"/>
      <c r="B772" s="420"/>
      <c r="C772" s="420"/>
      <c r="D772" s="420"/>
      <c r="E772" s="420"/>
      <c r="F772" s="420"/>
      <c r="G772" s="420"/>
      <c r="H772" s="421"/>
      <c r="I772" s="420"/>
      <c r="J772" s="420"/>
      <c r="K772" s="420"/>
      <c r="L772" s="420"/>
      <c r="M772" s="420"/>
      <c r="N772" s="420"/>
      <c r="O772" s="420"/>
      <c r="P772" s="420"/>
      <c r="Q772" s="420"/>
      <c r="R772" s="420"/>
      <c r="S772" s="420"/>
      <c r="T772" s="420"/>
      <c r="U772" s="420"/>
      <c r="V772" s="420"/>
      <c r="W772" s="420"/>
      <c r="X772" s="420"/>
      <c r="Y772" s="420"/>
      <c r="Z772" s="420"/>
      <c r="AA772" s="420"/>
    </row>
    <row r="773">
      <c r="A773" s="420"/>
      <c r="B773" s="420"/>
      <c r="C773" s="420"/>
      <c r="D773" s="420"/>
      <c r="E773" s="420"/>
      <c r="F773" s="420"/>
      <c r="G773" s="420"/>
      <c r="H773" s="421"/>
      <c r="I773" s="420"/>
      <c r="J773" s="420"/>
      <c r="K773" s="420"/>
      <c r="L773" s="420"/>
      <c r="M773" s="420"/>
      <c r="N773" s="420"/>
      <c r="O773" s="420"/>
      <c r="P773" s="420"/>
      <c r="Q773" s="420"/>
      <c r="R773" s="420"/>
      <c r="S773" s="420"/>
      <c r="T773" s="420"/>
      <c r="U773" s="420"/>
      <c r="V773" s="420"/>
      <c r="W773" s="420"/>
      <c r="X773" s="420"/>
      <c r="Y773" s="420"/>
      <c r="Z773" s="420"/>
      <c r="AA773" s="420"/>
    </row>
    <row r="774">
      <c r="A774" s="420"/>
      <c r="B774" s="420"/>
      <c r="C774" s="420"/>
      <c r="D774" s="420"/>
      <c r="E774" s="420"/>
      <c r="F774" s="420"/>
      <c r="G774" s="420"/>
      <c r="H774" s="421"/>
      <c r="I774" s="420"/>
      <c r="J774" s="420"/>
      <c r="K774" s="420"/>
      <c r="L774" s="420"/>
      <c r="M774" s="420"/>
      <c r="N774" s="420"/>
      <c r="O774" s="420"/>
      <c r="P774" s="420"/>
      <c r="Q774" s="420"/>
      <c r="R774" s="420"/>
      <c r="S774" s="420"/>
      <c r="T774" s="420"/>
      <c r="U774" s="420"/>
      <c r="V774" s="420"/>
      <c r="W774" s="420"/>
      <c r="X774" s="420"/>
      <c r="Y774" s="420"/>
      <c r="Z774" s="420"/>
      <c r="AA774" s="420"/>
    </row>
    <row r="775">
      <c r="A775" s="420"/>
      <c r="B775" s="420"/>
      <c r="C775" s="420"/>
      <c r="D775" s="420"/>
      <c r="E775" s="420"/>
      <c r="F775" s="420"/>
      <c r="G775" s="420"/>
      <c r="H775" s="421"/>
      <c r="I775" s="420"/>
      <c r="J775" s="420"/>
      <c r="K775" s="420"/>
      <c r="L775" s="420"/>
      <c r="M775" s="420"/>
      <c r="N775" s="420"/>
      <c r="O775" s="420"/>
      <c r="P775" s="420"/>
      <c r="Q775" s="420"/>
      <c r="R775" s="420"/>
      <c r="S775" s="420"/>
      <c r="T775" s="420"/>
      <c r="U775" s="420"/>
      <c r="V775" s="420"/>
      <c r="W775" s="420"/>
      <c r="X775" s="420"/>
      <c r="Y775" s="420"/>
      <c r="Z775" s="420"/>
      <c r="AA775" s="420"/>
    </row>
    <row r="776">
      <c r="A776" s="420"/>
      <c r="B776" s="420"/>
      <c r="C776" s="420"/>
      <c r="D776" s="420"/>
      <c r="E776" s="420"/>
      <c r="F776" s="420"/>
      <c r="G776" s="420"/>
      <c r="H776" s="421"/>
      <c r="I776" s="420"/>
      <c r="J776" s="420"/>
      <c r="K776" s="420"/>
      <c r="L776" s="420"/>
      <c r="M776" s="420"/>
      <c r="N776" s="420"/>
      <c r="O776" s="420"/>
      <c r="P776" s="420"/>
      <c r="Q776" s="420"/>
      <c r="R776" s="420"/>
      <c r="S776" s="420"/>
      <c r="T776" s="420"/>
      <c r="U776" s="420"/>
      <c r="V776" s="420"/>
      <c r="W776" s="420"/>
      <c r="X776" s="420"/>
      <c r="Y776" s="420"/>
      <c r="Z776" s="420"/>
      <c r="AA776" s="420"/>
    </row>
    <row r="777">
      <c r="A777" s="420"/>
      <c r="B777" s="420"/>
      <c r="C777" s="420"/>
      <c r="D777" s="420"/>
      <c r="E777" s="420"/>
      <c r="F777" s="420"/>
      <c r="G777" s="420"/>
      <c r="H777" s="421"/>
      <c r="I777" s="420"/>
      <c r="J777" s="420"/>
      <c r="K777" s="420"/>
      <c r="L777" s="420"/>
      <c r="M777" s="420"/>
      <c r="N777" s="420"/>
      <c r="O777" s="420"/>
      <c r="P777" s="420"/>
      <c r="Q777" s="420"/>
      <c r="R777" s="420"/>
      <c r="S777" s="420"/>
      <c r="T777" s="420"/>
      <c r="U777" s="420"/>
      <c r="V777" s="420"/>
      <c r="W777" s="420"/>
      <c r="X777" s="420"/>
      <c r="Y777" s="420"/>
      <c r="Z777" s="420"/>
      <c r="AA777" s="420"/>
    </row>
    <row r="778">
      <c r="A778" s="420"/>
      <c r="B778" s="420"/>
      <c r="C778" s="420"/>
      <c r="D778" s="420"/>
      <c r="E778" s="420"/>
      <c r="F778" s="420"/>
      <c r="G778" s="420"/>
      <c r="H778" s="421"/>
      <c r="I778" s="420"/>
      <c r="J778" s="420"/>
      <c r="K778" s="420"/>
      <c r="L778" s="420"/>
      <c r="M778" s="420"/>
      <c r="N778" s="420"/>
      <c r="O778" s="420"/>
      <c r="P778" s="420"/>
      <c r="Q778" s="420"/>
      <c r="R778" s="420"/>
      <c r="S778" s="420"/>
      <c r="T778" s="420"/>
      <c r="U778" s="420"/>
      <c r="V778" s="420"/>
      <c r="W778" s="420"/>
      <c r="X778" s="420"/>
      <c r="Y778" s="420"/>
      <c r="Z778" s="420"/>
      <c r="AA778" s="420"/>
    </row>
    <row r="779">
      <c r="A779" s="420"/>
      <c r="B779" s="420"/>
      <c r="C779" s="420"/>
      <c r="D779" s="420"/>
      <c r="E779" s="420"/>
      <c r="F779" s="420"/>
      <c r="G779" s="420"/>
      <c r="H779" s="421"/>
      <c r="I779" s="420"/>
      <c r="J779" s="420"/>
      <c r="K779" s="420"/>
      <c r="L779" s="420"/>
      <c r="M779" s="420"/>
      <c r="N779" s="420"/>
      <c r="O779" s="420"/>
      <c r="P779" s="420"/>
      <c r="Q779" s="420"/>
      <c r="R779" s="420"/>
      <c r="S779" s="420"/>
      <c r="T779" s="420"/>
      <c r="U779" s="420"/>
      <c r="V779" s="420"/>
      <c r="W779" s="420"/>
      <c r="X779" s="420"/>
      <c r="Y779" s="420"/>
      <c r="Z779" s="420"/>
      <c r="AA779" s="420"/>
    </row>
    <row r="780">
      <c r="A780" s="420"/>
      <c r="B780" s="420"/>
      <c r="C780" s="420"/>
      <c r="D780" s="420"/>
      <c r="E780" s="420"/>
      <c r="F780" s="420"/>
      <c r="G780" s="420"/>
      <c r="H780" s="421"/>
      <c r="I780" s="420"/>
      <c r="J780" s="420"/>
      <c r="K780" s="420"/>
      <c r="L780" s="420"/>
      <c r="M780" s="420"/>
      <c r="N780" s="420"/>
      <c r="O780" s="420"/>
      <c r="P780" s="420"/>
      <c r="Q780" s="420"/>
      <c r="R780" s="420"/>
      <c r="S780" s="420"/>
      <c r="T780" s="420"/>
      <c r="U780" s="420"/>
      <c r="V780" s="420"/>
      <c r="W780" s="420"/>
      <c r="X780" s="420"/>
      <c r="Y780" s="420"/>
      <c r="Z780" s="420"/>
      <c r="AA780" s="420"/>
    </row>
    <row r="781">
      <c r="A781" s="420"/>
      <c r="B781" s="420"/>
      <c r="C781" s="420"/>
      <c r="D781" s="420"/>
      <c r="E781" s="420"/>
      <c r="F781" s="420"/>
      <c r="G781" s="420"/>
      <c r="H781" s="421"/>
      <c r="I781" s="420"/>
      <c r="J781" s="420"/>
      <c r="K781" s="420"/>
      <c r="L781" s="420"/>
      <c r="M781" s="420"/>
      <c r="N781" s="420"/>
      <c r="O781" s="420"/>
      <c r="P781" s="420"/>
      <c r="Q781" s="420"/>
      <c r="R781" s="420"/>
      <c r="S781" s="420"/>
      <c r="T781" s="420"/>
      <c r="U781" s="420"/>
      <c r="V781" s="420"/>
      <c r="W781" s="420"/>
      <c r="X781" s="420"/>
      <c r="Y781" s="420"/>
      <c r="Z781" s="420"/>
      <c r="AA781" s="420"/>
    </row>
    <row r="782">
      <c r="A782" s="420"/>
      <c r="B782" s="420"/>
      <c r="C782" s="420"/>
      <c r="D782" s="420"/>
      <c r="E782" s="420"/>
      <c r="F782" s="420"/>
      <c r="G782" s="420"/>
      <c r="H782" s="421"/>
      <c r="I782" s="420"/>
      <c r="J782" s="420"/>
      <c r="K782" s="420"/>
      <c r="L782" s="420"/>
      <c r="M782" s="420"/>
      <c r="N782" s="420"/>
      <c r="O782" s="420"/>
      <c r="P782" s="420"/>
      <c r="Q782" s="420"/>
      <c r="R782" s="420"/>
      <c r="S782" s="420"/>
      <c r="T782" s="420"/>
      <c r="U782" s="420"/>
      <c r="V782" s="420"/>
      <c r="W782" s="420"/>
      <c r="X782" s="420"/>
      <c r="Y782" s="420"/>
      <c r="Z782" s="420"/>
      <c r="AA782" s="420"/>
    </row>
    <row r="783">
      <c r="A783" s="420"/>
      <c r="B783" s="420"/>
      <c r="C783" s="420"/>
      <c r="D783" s="420"/>
      <c r="E783" s="420"/>
      <c r="F783" s="420"/>
      <c r="G783" s="420"/>
      <c r="H783" s="421"/>
      <c r="I783" s="420"/>
      <c r="J783" s="420"/>
      <c r="K783" s="420"/>
      <c r="L783" s="420"/>
      <c r="M783" s="420"/>
      <c r="N783" s="420"/>
      <c r="O783" s="420"/>
      <c r="P783" s="420"/>
      <c r="Q783" s="420"/>
      <c r="R783" s="420"/>
      <c r="S783" s="420"/>
      <c r="T783" s="420"/>
      <c r="U783" s="420"/>
      <c r="V783" s="420"/>
      <c r="W783" s="420"/>
      <c r="X783" s="420"/>
      <c r="Y783" s="420"/>
      <c r="Z783" s="420"/>
      <c r="AA783" s="420"/>
    </row>
    <row r="784">
      <c r="A784" s="420"/>
      <c r="B784" s="420"/>
      <c r="C784" s="420"/>
      <c r="D784" s="420"/>
      <c r="E784" s="420"/>
      <c r="F784" s="420"/>
      <c r="G784" s="420"/>
      <c r="H784" s="421"/>
      <c r="I784" s="420"/>
      <c r="J784" s="420"/>
      <c r="K784" s="420"/>
      <c r="L784" s="420"/>
      <c r="M784" s="420"/>
      <c r="N784" s="420"/>
      <c r="O784" s="420"/>
      <c r="P784" s="420"/>
      <c r="Q784" s="420"/>
      <c r="R784" s="420"/>
      <c r="S784" s="420"/>
      <c r="T784" s="420"/>
      <c r="U784" s="420"/>
      <c r="V784" s="420"/>
      <c r="W784" s="420"/>
      <c r="X784" s="420"/>
      <c r="Y784" s="420"/>
      <c r="Z784" s="420"/>
      <c r="AA784" s="420"/>
    </row>
    <row r="785">
      <c r="A785" s="420"/>
      <c r="B785" s="420"/>
      <c r="C785" s="420"/>
      <c r="D785" s="420"/>
      <c r="E785" s="420"/>
      <c r="F785" s="420"/>
      <c r="G785" s="420"/>
      <c r="H785" s="421"/>
      <c r="I785" s="420"/>
      <c r="J785" s="420"/>
      <c r="K785" s="420"/>
      <c r="L785" s="420"/>
      <c r="M785" s="420"/>
      <c r="N785" s="420"/>
      <c r="O785" s="420"/>
      <c r="P785" s="420"/>
      <c r="Q785" s="420"/>
      <c r="R785" s="420"/>
      <c r="S785" s="420"/>
      <c r="T785" s="420"/>
      <c r="U785" s="420"/>
      <c r="V785" s="420"/>
      <c r="W785" s="420"/>
      <c r="X785" s="420"/>
      <c r="Y785" s="420"/>
      <c r="Z785" s="420"/>
      <c r="AA785" s="420"/>
    </row>
    <row r="786">
      <c r="A786" s="420"/>
      <c r="B786" s="420"/>
      <c r="C786" s="420"/>
      <c r="D786" s="420"/>
      <c r="E786" s="420"/>
      <c r="F786" s="420"/>
      <c r="G786" s="420"/>
      <c r="H786" s="421"/>
      <c r="I786" s="420"/>
      <c r="J786" s="420"/>
      <c r="K786" s="420"/>
      <c r="L786" s="420"/>
      <c r="M786" s="420"/>
      <c r="N786" s="420"/>
      <c r="O786" s="420"/>
      <c r="P786" s="420"/>
      <c r="Q786" s="420"/>
      <c r="R786" s="420"/>
      <c r="S786" s="420"/>
      <c r="T786" s="420"/>
      <c r="U786" s="420"/>
      <c r="V786" s="420"/>
      <c r="W786" s="420"/>
      <c r="X786" s="420"/>
      <c r="Y786" s="420"/>
      <c r="Z786" s="420"/>
      <c r="AA786" s="420"/>
    </row>
    <row r="787">
      <c r="A787" s="420"/>
      <c r="B787" s="420"/>
      <c r="C787" s="420"/>
      <c r="D787" s="420"/>
      <c r="E787" s="420"/>
      <c r="F787" s="420"/>
      <c r="G787" s="420"/>
      <c r="H787" s="421"/>
      <c r="I787" s="420"/>
      <c r="J787" s="420"/>
      <c r="K787" s="420"/>
      <c r="L787" s="420"/>
      <c r="M787" s="420"/>
      <c r="N787" s="420"/>
      <c r="O787" s="420"/>
      <c r="P787" s="420"/>
      <c r="Q787" s="420"/>
      <c r="R787" s="420"/>
      <c r="S787" s="420"/>
      <c r="T787" s="420"/>
      <c r="U787" s="420"/>
      <c r="V787" s="420"/>
      <c r="W787" s="420"/>
      <c r="X787" s="420"/>
      <c r="Y787" s="420"/>
      <c r="Z787" s="420"/>
      <c r="AA787" s="420"/>
    </row>
    <row r="788">
      <c r="A788" s="420"/>
      <c r="B788" s="420"/>
      <c r="C788" s="420"/>
      <c r="D788" s="420"/>
      <c r="E788" s="420"/>
      <c r="F788" s="420"/>
      <c r="G788" s="420"/>
      <c r="H788" s="421"/>
      <c r="I788" s="420"/>
      <c r="J788" s="420"/>
      <c r="K788" s="420"/>
      <c r="L788" s="420"/>
      <c r="M788" s="420"/>
      <c r="N788" s="420"/>
      <c r="O788" s="420"/>
      <c r="P788" s="420"/>
      <c r="Q788" s="420"/>
      <c r="R788" s="420"/>
      <c r="S788" s="420"/>
      <c r="T788" s="420"/>
      <c r="U788" s="420"/>
      <c r="V788" s="420"/>
      <c r="W788" s="420"/>
      <c r="X788" s="420"/>
      <c r="Y788" s="420"/>
      <c r="Z788" s="420"/>
      <c r="AA788" s="420"/>
    </row>
    <row r="789">
      <c r="A789" s="420"/>
      <c r="B789" s="420"/>
      <c r="C789" s="420"/>
      <c r="D789" s="420"/>
      <c r="E789" s="420"/>
      <c r="F789" s="420"/>
      <c r="G789" s="420"/>
      <c r="H789" s="421"/>
      <c r="I789" s="420"/>
      <c r="J789" s="420"/>
      <c r="K789" s="420"/>
      <c r="L789" s="420"/>
      <c r="M789" s="420"/>
      <c r="N789" s="420"/>
      <c r="O789" s="420"/>
      <c r="P789" s="420"/>
      <c r="Q789" s="420"/>
      <c r="R789" s="420"/>
      <c r="S789" s="420"/>
      <c r="T789" s="420"/>
      <c r="U789" s="420"/>
      <c r="V789" s="420"/>
      <c r="W789" s="420"/>
      <c r="X789" s="420"/>
      <c r="Y789" s="420"/>
      <c r="Z789" s="420"/>
      <c r="AA789" s="420"/>
    </row>
    <row r="790">
      <c r="A790" s="420"/>
      <c r="B790" s="420"/>
      <c r="C790" s="420"/>
      <c r="D790" s="420"/>
      <c r="E790" s="420"/>
      <c r="F790" s="420"/>
      <c r="G790" s="420"/>
      <c r="H790" s="421"/>
      <c r="I790" s="420"/>
      <c r="J790" s="420"/>
      <c r="K790" s="420"/>
      <c r="L790" s="420"/>
      <c r="M790" s="420"/>
      <c r="N790" s="420"/>
      <c r="O790" s="420"/>
      <c r="P790" s="420"/>
      <c r="Q790" s="420"/>
      <c r="R790" s="420"/>
      <c r="S790" s="420"/>
      <c r="T790" s="420"/>
      <c r="U790" s="420"/>
      <c r="V790" s="420"/>
      <c r="W790" s="420"/>
      <c r="X790" s="420"/>
      <c r="Y790" s="420"/>
      <c r="Z790" s="420"/>
      <c r="AA790" s="420"/>
    </row>
    <row r="791">
      <c r="A791" s="420"/>
      <c r="B791" s="420"/>
      <c r="C791" s="420"/>
      <c r="D791" s="420"/>
      <c r="E791" s="420"/>
      <c r="F791" s="420"/>
      <c r="G791" s="420"/>
      <c r="H791" s="421"/>
      <c r="I791" s="420"/>
      <c r="J791" s="420"/>
      <c r="K791" s="420"/>
      <c r="L791" s="420"/>
      <c r="M791" s="420"/>
      <c r="N791" s="420"/>
      <c r="O791" s="420"/>
      <c r="P791" s="420"/>
      <c r="Q791" s="420"/>
      <c r="R791" s="420"/>
      <c r="S791" s="420"/>
      <c r="T791" s="420"/>
      <c r="U791" s="420"/>
      <c r="V791" s="420"/>
      <c r="W791" s="420"/>
      <c r="X791" s="420"/>
      <c r="Y791" s="420"/>
      <c r="Z791" s="420"/>
      <c r="AA791" s="420"/>
    </row>
    <row r="792">
      <c r="A792" s="420"/>
      <c r="B792" s="420"/>
      <c r="C792" s="420"/>
      <c r="D792" s="420"/>
      <c r="E792" s="420"/>
      <c r="F792" s="420"/>
      <c r="G792" s="420"/>
      <c r="H792" s="421"/>
      <c r="I792" s="420"/>
      <c r="J792" s="420"/>
      <c r="K792" s="420"/>
      <c r="L792" s="420"/>
      <c r="M792" s="420"/>
      <c r="N792" s="420"/>
      <c r="O792" s="420"/>
      <c r="P792" s="420"/>
      <c r="Q792" s="420"/>
      <c r="R792" s="420"/>
      <c r="S792" s="420"/>
      <c r="T792" s="420"/>
      <c r="U792" s="420"/>
      <c r="V792" s="420"/>
      <c r="W792" s="420"/>
      <c r="X792" s="420"/>
      <c r="Y792" s="420"/>
      <c r="Z792" s="420"/>
      <c r="AA792" s="420"/>
    </row>
    <row r="793">
      <c r="A793" s="420"/>
      <c r="B793" s="420"/>
      <c r="C793" s="420"/>
      <c r="D793" s="420"/>
      <c r="E793" s="420"/>
      <c r="F793" s="420"/>
      <c r="G793" s="420"/>
      <c r="H793" s="421"/>
      <c r="I793" s="420"/>
      <c r="J793" s="420"/>
      <c r="K793" s="420"/>
      <c r="L793" s="420"/>
      <c r="M793" s="420"/>
      <c r="N793" s="420"/>
      <c r="O793" s="420"/>
      <c r="P793" s="420"/>
      <c r="Q793" s="420"/>
      <c r="R793" s="420"/>
      <c r="S793" s="420"/>
      <c r="T793" s="420"/>
      <c r="U793" s="420"/>
      <c r="V793" s="420"/>
      <c r="W793" s="420"/>
      <c r="X793" s="420"/>
      <c r="Y793" s="420"/>
      <c r="Z793" s="420"/>
      <c r="AA793" s="420"/>
    </row>
    <row r="794">
      <c r="A794" s="420"/>
      <c r="B794" s="420"/>
      <c r="C794" s="420"/>
      <c r="D794" s="420"/>
      <c r="E794" s="420"/>
      <c r="F794" s="420"/>
      <c r="G794" s="420"/>
      <c r="H794" s="421"/>
      <c r="I794" s="420"/>
      <c r="J794" s="420"/>
      <c r="K794" s="420"/>
      <c r="L794" s="420"/>
      <c r="M794" s="420"/>
      <c r="N794" s="420"/>
      <c r="O794" s="420"/>
      <c r="P794" s="420"/>
      <c r="Q794" s="420"/>
      <c r="R794" s="420"/>
      <c r="S794" s="420"/>
      <c r="T794" s="420"/>
      <c r="U794" s="420"/>
      <c r="V794" s="420"/>
      <c r="W794" s="420"/>
      <c r="X794" s="420"/>
      <c r="Y794" s="420"/>
      <c r="Z794" s="420"/>
      <c r="AA794" s="420"/>
    </row>
    <row r="795">
      <c r="A795" s="420"/>
      <c r="B795" s="420"/>
      <c r="C795" s="420"/>
      <c r="D795" s="420"/>
      <c r="E795" s="420"/>
      <c r="F795" s="420"/>
      <c r="G795" s="420"/>
      <c r="H795" s="421"/>
      <c r="I795" s="420"/>
      <c r="J795" s="420"/>
      <c r="K795" s="420"/>
      <c r="L795" s="420"/>
      <c r="M795" s="420"/>
      <c r="N795" s="420"/>
      <c r="O795" s="420"/>
      <c r="P795" s="420"/>
      <c r="Q795" s="420"/>
      <c r="R795" s="420"/>
      <c r="S795" s="420"/>
      <c r="T795" s="420"/>
      <c r="U795" s="420"/>
      <c r="V795" s="420"/>
      <c r="W795" s="420"/>
      <c r="X795" s="420"/>
      <c r="Y795" s="420"/>
      <c r="Z795" s="420"/>
      <c r="AA795" s="420"/>
    </row>
    <row r="796">
      <c r="A796" s="420"/>
      <c r="B796" s="420"/>
      <c r="C796" s="420"/>
      <c r="D796" s="420"/>
      <c r="E796" s="420"/>
      <c r="F796" s="420"/>
      <c r="G796" s="420"/>
      <c r="H796" s="421"/>
      <c r="I796" s="420"/>
      <c r="J796" s="420"/>
      <c r="K796" s="420"/>
      <c r="L796" s="420"/>
      <c r="M796" s="420"/>
      <c r="N796" s="420"/>
      <c r="O796" s="420"/>
      <c r="P796" s="420"/>
      <c r="Q796" s="420"/>
      <c r="R796" s="420"/>
      <c r="S796" s="420"/>
      <c r="T796" s="420"/>
      <c r="U796" s="420"/>
      <c r="V796" s="420"/>
      <c r="W796" s="420"/>
      <c r="X796" s="420"/>
      <c r="Y796" s="420"/>
      <c r="Z796" s="420"/>
      <c r="AA796" s="420"/>
    </row>
    <row r="797">
      <c r="A797" s="420"/>
      <c r="B797" s="420"/>
      <c r="C797" s="420"/>
      <c r="D797" s="420"/>
      <c r="E797" s="420"/>
      <c r="F797" s="420"/>
      <c r="G797" s="420"/>
      <c r="H797" s="421"/>
      <c r="I797" s="420"/>
      <c r="J797" s="420"/>
      <c r="K797" s="420"/>
      <c r="L797" s="420"/>
      <c r="M797" s="420"/>
      <c r="N797" s="420"/>
      <c r="O797" s="420"/>
      <c r="P797" s="420"/>
      <c r="Q797" s="420"/>
      <c r="R797" s="420"/>
      <c r="S797" s="420"/>
      <c r="T797" s="420"/>
      <c r="U797" s="420"/>
      <c r="V797" s="420"/>
      <c r="W797" s="420"/>
      <c r="X797" s="420"/>
      <c r="Y797" s="420"/>
      <c r="Z797" s="420"/>
      <c r="AA797" s="420"/>
    </row>
    <row r="798">
      <c r="A798" s="420"/>
      <c r="B798" s="420"/>
      <c r="C798" s="420"/>
      <c r="D798" s="420"/>
      <c r="E798" s="420"/>
      <c r="F798" s="420"/>
      <c r="G798" s="420"/>
      <c r="H798" s="421"/>
      <c r="I798" s="420"/>
      <c r="J798" s="420"/>
      <c r="K798" s="420"/>
      <c r="L798" s="420"/>
      <c r="M798" s="420"/>
      <c r="N798" s="420"/>
      <c r="O798" s="420"/>
      <c r="P798" s="420"/>
      <c r="Q798" s="420"/>
      <c r="R798" s="420"/>
      <c r="S798" s="420"/>
      <c r="T798" s="420"/>
      <c r="U798" s="420"/>
      <c r="V798" s="420"/>
      <c r="W798" s="420"/>
      <c r="X798" s="420"/>
      <c r="Y798" s="420"/>
      <c r="Z798" s="420"/>
      <c r="AA798" s="420"/>
    </row>
    <row r="799">
      <c r="A799" s="420"/>
      <c r="B799" s="420"/>
      <c r="C799" s="420"/>
      <c r="D799" s="420"/>
      <c r="E799" s="420"/>
      <c r="F799" s="420"/>
      <c r="G799" s="420"/>
      <c r="H799" s="421"/>
      <c r="I799" s="420"/>
      <c r="J799" s="420"/>
      <c r="K799" s="420"/>
      <c r="L799" s="420"/>
      <c r="M799" s="420"/>
      <c r="N799" s="420"/>
      <c r="O799" s="420"/>
      <c r="P799" s="420"/>
      <c r="Q799" s="420"/>
      <c r="R799" s="420"/>
      <c r="S799" s="420"/>
      <c r="T799" s="420"/>
      <c r="U799" s="420"/>
      <c r="V799" s="420"/>
      <c r="W799" s="420"/>
      <c r="X799" s="420"/>
      <c r="Y799" s="420"/>
      <c r="Z799" s="420"/>
      <c r="AA799" s="420"/>
    </row>
    <row r="800">
      <c r="A800" s="420"/>
      <c r="B800" s="420"/>
      <c r="C800" s="420"/>
      <c r="D800" s="420"/>
      <c r="E800" s="420"/>
      <c r="F800" s="420"/>
      <c r="G800" s="420"/>
      <c r="H800" s="421"/>
      <c r="I800" s="420"/>
      <c r="J800" s="420"/>
      <c r="K800" s="420"/>
      <c r="L800" s="420"/>
      <c r="M800" s="420"/>
      <c r="N800" s="420"/>
      <c r="O800" s="420"/>
      <c r="P800" s="420"/>
      <c r="Q800" s="420"/>
      <c r="R800" s="420"/>
      <c r="S800" s="420"/>
      <c r="T800" s="420"/>
      <c r="U800" s="420"/>
      <c r="V800" s="420"/>
      <c r="W800" s="420"/>
      <c r="X800" s="420"/>
      <c r="Y800" s="420"/>
      <c r="Z800" s="420"/>
      <c r="AA800" s="420"/>
    </row>
    <row r="801">
      <c r="A801" s="420"/>
      <c r="B801" s="420"/>
      <c r="C801" s="420"/>
      <c r="D801" s="420"/>
      <c r="E801" s="420"/>
      <c r="F801" s="420"/>
      <c r="G801" s="420"/>
      <c r="H801" s="421"/>
      <c r="I801" s="420"/>
      <c r="J801" s="420"/>
      <c r="K801" s="420"/>
      <c r="L801" s="420"/>
      <c r="M801" s="420"/>
      <c r="N801" s="420"/>
      <c r="O801" s="420"/>
      <c r="P801" s="420"/>
      <c r="Q801" s="420"/>
      <c r="R801" s="420"/>
      <c r="S801" s="420"/>
      <c r="T801" s="420"/>
      <c r="U801" s="420"/>
      <c r="V801" s="420"/>
      <c r="W801" s="420"/>
      <c r="X801" s="420"/>
      <c r="Y801" s="420"/>
      <c r="Z801" s="420"/>
      <c r="AA801" s="420"/>
    </row>
    <row r="802">
      <c r="A802" s="420"/>
      <c r="B802" s="420"/>
      <c r="C802" s="420"/>
      <c r="D802" s="420"/>
      <c r="E802" s="420"/>
      <c r="F802" s="420"/>
      <c r="G802" s="420"/>
      <c r="H802" s="421"/>
      <c r="I802" s="420"/>
      <c r="J802" s="420"/>
      <c r="K802" s="420"/>
      <c r="L802" s="420"/>
      <c r="M802" s="420"/>
      <c r="N802" s="420"/>
      <c r="O802" s="420"/>
      <c r="P802" s="420"/>
      <c r="Q802" s="420"/>
      <c r="R802" s="420"/>
      <c r="S802" s="420"/>
      <c r="T802" s="420"/>
      <c r="U802" s="420"/>
      <c r="V802" s="420"/>
      <c r="W802" s="420"/>
      <c r="X802" s="420"/>
      <c r="Y802" s="420"/>
      <c r="Z802" s="420"/>
      <c r="AA802" s="420"/>
    </row>
    <row r="803">
      <c r="A803" s="420"/>
      <c r="B803" s="420"/>
      <c r="C803" s="420"/>
      <c r="D803" s="420"/>
      <c r="E803" s="420"/>
      <c r="F803" s="420"/>
      <c r="G803" s="420"/>
      <c r="H803" s="421"/>
      <c r="I803" s="420"/>
      <c r="J803" s="420"/>
      <c r="K803" s="420"/>
      <c r="L803" s="420"/>
      <c r="M803" s="420"/>
      <c r="N803" s="420"/>
      <c r="O803" s="420"/>
      <c r="P803" s="420"/>
      <c r="Q803" s="420"/>
      <c r="R803" s="420"/>
      <c r="S803" s="420"/>
      <c r="T803" s="420"/>
      <c r="U803" s="420"/>
      <c r="V803" s="420"/>
      <c r="W803" s="420"/>
      <c r="X803" s="420"/>
      <c r="Y803" s="420"/>
      <c r="Z803" s="420"/>
      <c r="AA803" s="420"/>
    </row>
    <row r="804">
      <c r="A804" s="420"/>
      <c r="B804" s="420"/>
      <c r="C804" s="420"/>
      <c r="D804" s="420"/>
      <c r="E804" s="420"/>
      <c r="F804" s="420"/>
      <c r="G804" s="420"/>
      <c r="H804" s="421"/>
      <c r="I804" s="420"/>
      <c r="J804" s="420"/>
      <c r="K804" s="420"/>
      <c r="L804" s="420"/>
      <c r="M804" s="420"/>
      <c r="N804" s="420"/>
      <c r="O804" s="420"/>
      <c r="P804" s="420"/>
      <c r="Q804" s="420"/>
      <c r="R804" s="420"/>
      <c r="S804" s="420"/>
      <c r="T804" s="420"/>
      <c r="U804" s="420"/>
      <c r="V804" s="420"/>
      <c r="W804" s="420"/>
      <c r="X804" s="420"/>
      <c r="Y804" s="420"/>
      <c r="Z804" s="420"/>
      <c r="AA804" s="420"/>
    </row>
    <row r="805">
      <c r="A805" s="420"/>
      <c r="B805" s="420"/>
      <c r="C805" s="420"/>
      <c r="D805" s="420"/>
      <c r="E805" s="420"/>
      <c r="F805" s="420"/>
      <c r="G805" s="420"/>
      <c r="H805" s="421"/>
      <c r="I805" s="420"/>
      <c r="J805" s="420"/>
      <c r="K805" s="420"/>
      <c r="L805" s="420"/>
      <c r="M805" s="420"/>
      <c r="N805" s="420"/>
      <c r="O805" s="420"/>
      <c r="P805" s="420"/>
      <c r="Q805" s="420"/>
      <c r="R805" s="420"/>
      <c r="S805" s="420"/>
      <c r="T805" s="420"/>
      <c r="U805" s="420"/>
      <c r="V805" s="420"/>
      <c r="W805" s="420"/>
      <c r="X805" s="420"/>
      <c r="Y805" s="420"/>
      <c r="Z805" s="420"/>
      <c r="AA805" s="420"/>
    </row>
    <row r="806">
      <c r="A806" s="420"/>
      <c r="B806" s="420"/>
      <c r="C806" s="420"/>
      <c r="D806" s="420"/>
      <c r="E806" s="420"/>
      <c r="F806" s="420"/>
      <c r="G806" s="420"/>
      <c r="H806" s="421"/>
      <c r="I806" s="420"/>
      <c r="J806" s="420"/>
      <c r="K806" s="420"/>
      <c r="L806" s="420"/>
      <c r="M806" s="420"/>
      <c r="N806" s="420"/>
      <c r="O806" s="420"/>
      <c r="P806" s="420"/>
      <c r="Q806" s="420"/>
      <c r="R806" s="420"/>
      <c r="S806" s="420"/>
      <c r="T806" s="420"/>
      <c r="U806" s="420"/>
      <c r="V806" s="420"/>
      <c r="W806" s="420"/>
      <c r="X806" s="420"/>
      <c r="Y806" s="420"/>
      <c r="Z806" s="420"/>
      <c r="AA806" s="420"/>
    </row>
    <row r="807">
      <c r="A807" s="420"/>
      <c r="B807" s="420"/>
      <c r="C807" s="420"/>
      <c r="D807" s="420"/>
      <c r="E807" s="420"/>
      <c r="F807" s="420"/>
      <c r="G807" s="420"/>
      <c r="H807" s="421"/>
      <c r="I807" s="420"/>
      <c r="J807" s="420"/>
      <c r="K807" s="420"/>
      <c r="L807" s="420"/>
      <c r="M807" s="420"/>
      <c r="N807" s="420"/>
      <c r="O807" s="420"/>
      <c r="P807" s="420"/>
      <c r="Q807" s="420"/>
      <c r="R807" s="420"/>
      <c r="S807" s="420"/>
      <c r="T807" s="420"/>
      <c r="U807" s="420"/>
      <c r="V807" s="420"/>
      <c r="W807" s="420"/>
      <c r="X807" s="420"/>
      <c r="Y807" s="420"/>
      <c r="Z807" s="420"/>
      <c r="AA807" s="420"/>
    </row>
    <row r="808">
      <c r="A808" s="420"/>
      <c r="B808" s="420"/>
      <c r="C808" s="420"/>
      <c r="D808" s="420"/>
      <c r="E808" s="420"/>
      <c r="F808" s="420"/>
      <c r="G808" s="420"/>
      <c r="H808" s="421"/>
      <c r="I808" s="420"/>
      <c r="J808" s="420"/>
      <c r="K808" s="420"/>
      <c r="L808" s="420"/>
      <c r="M808" s="420"/>
      <c r="N808" s="420"/>
      <c r="O808" s="420"/>
      <c r="P808" s="420"/>
      <c r="Q808" s="420"/>
      <c r="R808" s="420"/>
      <c r="S808" s="420"/>
      <c r="T808" s="420"/>
      <c r="U808" s="420"/>
      <c r="V808" s="420"/>
      <c r="W808" s="420"/>
      <c r="X808" s="420"/>
      <c r="Y808" s="420"/>
      <c r="Z808" s="420"/>
      <c r="AA808" s="420"/>
    </row>
    <row r="809">
      <c r="A809" s="420"/>
      <c r="B809" s="420"/>
      <c r="C809" s="420"/>
      <c r="D809" s="420"/>
      <c r="E809" s="420"/>
      <c r="F809" s="420"/>
      <c r="G809" s="420"/>
      <c r="H809" s="421"/>
      <c r="I809" s="420"/>
      <c r="J809" s="420"/>
      <c r="K809" s="420"/>
      <c r="L809" s="420"/>
      <c r="M809" s="420"/>
      <c r="N809" s="420"/>
      <c r="O809" s="420"/>
      <c r="P809" s="420"/>
      <c r="Q809" s="420"/>
      <c r="R809" s="420"/>
      <c r="S809" s="420"/>
      <c r="T809" s="420"/>
      <c r="U809" s="420"/>
      <c r="V809" s="420"/>
      <c r="W809" s="420"/>
      <c r="X809" s="420"/>
      <c r="Y809" s="420"/>
      <c r="Z809" s="420"/>
      <c r="AA809" s="420"/>
    </row>
    <row r="810">
      <c r="A810" s="420"/>
      <c r="B810" s="420"/>
      <c r="C810" s="420"/>
      <c r="D810" s="420"/>
      <c r="E810" s="420"/>
      <c r="F810" s="420"/>
      <c r="G810" s="420"/>
      <c r="H810" s="421"/>
      <c r="I810" s="420"/>
      <c r="J810" s="420"/>
      <c r="K810" s="420"/>
      <c r="L810" s="420"/>
      <c r="M810" s="420"/>
      <c r="N810" s="420"/>
      <c r="O810" s="420"/>
      <c r="P810" s="420"/>
      <c r="Q810" s="420"/>
      <c r="R810" s="420"/>
      <c r="S810" s="420"/>
      <c r="T810" s="420"/>
      <c r="U810" s="420"/>
      <c r="V810" s="420"/>
      <c r="W810" s="420"/>
      <c r="X810" s="420"/>
      <c r="Y810" s="420"/>
      <c r="Z810" s="420"/>
      <c r="AA810" s="420"/>
    </row>
    <row r="811">
      <c r="A811" s="420"/>
      <c r="B811" s="420"/>
      <c r="C811" s="420"/>
      <c r="D811" s="420"/>
      <c r="E811" s="420"/>
      <c r="F811" s="420"/>
      <c r="G811" s="420"/>
      <c r="H811" s="421"/>
      <c r="I811" s="420"/>
      <c r="J811" s="420"/>
      <c r="K811" s="420"/>
      <c r="L811" s="420"/>
      <c r="M811" s="420"/>
      <c r="N811" s="420"/>
      <c r="O811" s="420"/>
      <c r="P811" s="420"/>
      <c r="Q811" s="420"/>
      <c r="R811" s="420"/>
      <c r="S811" s="420"/>
      <c r="T811" s="420"/>
      <c r="U811" s="420"/>
      <c r="V811" s="420"/>
      <c r="W811" s="420"/>
      <c r="X811" s="420"/>
      <c r="Y811" s="420"/>
      <c r="Z811" s="420"/>
      <c r="AA811" s="420"/>
    </row>
    <row r="812">
      <c r="A812" s="420"/>
      <c r="B812" s="420"/>
      <c r="C812" s="420"/>
      <c r="D812" s="420"/>
      <c r="E812" s="420"/>
      <c r="F812" s="420"/>
      <c r="G812" s="420"/>
      <c r="H812" s="421"/>
      <c r="I812" s="420"/>
      <c r="J812" s="420"/>
      <c r="K812" s="420"/>
      <c r="L812" s="420"/>
      <c r="M812" s="420"/>
      <c r="N812" s="420"/>
      <c r="O812" s="420"/>
      <c r="P812" s="420"/>
      <c r="Q812" s="420"/>
      <c r="R812" s="420"/>
      <c r="S812" s="420"/>
      <c r="T812" s="420"/>
      <c r="U812" s="420"/>
      <c r="V812" s="420"/>
      <c r="W812" s="420"/>
      <c r="X812" s="420"/>
      <c r="Y812" s="420"/>
      <c r="Z812" s="420"/>
      <c r="AA812" s="420"/>
    </row>
    <row r="813">
      <c r="A813" s="420"/>
      <c r="B813" s="420"/>
      <c r="C813" s="420"/>
      <c r="D813" s="420"/>
      <c r="E813" s="420"/>
      <c r="F813" s="420"/>
      <c r="G813" s="420"/>
      <c r="H813" s="421"/>
      <c r="I813" s="420"/>
      <c r="J813" s="420"/>
      <c r="K813" s="420"/>
      <c r="L813" s="420"/>
      <c r="M813" s="420"/>
      <c r="N813" s="420"/>
      <c r="O813" s="420"/>
      <c r="P813" s="420"/>
      <c r="Q813" s="420"/>
      <c r="R813" s="420"/>
      <c r="S813" s="420"/>
      <c r="T813" s="420"/>
      <c r="U813" s="420"/>
      <c r="V813" s="420"/>
      <c r="W813" s="420"/>
      <c r="X813" s="420"/>
      <c r="Y813" s="420"/>
      <c r="Z813" s="420"/>
      <c r="AA813" s="420"/>
    </row>
    <row r="814">
      <c r="A814" s="420"/>
      <c r="B814" s="420"/>
      <c r="C814" s="420"/>
      <c r="D814" s="420"/>
      <c r="E814" s="420"/>
      <c r="F814" s="420"/>
      <c r="G814" s="420"/>
      <c r="H814" s="421"/>
      <c r="I814" s="420"/>
      <c r="J814" s="420"/>
      <c r="K814" s="420"/>
      <c r="L814" s="420"/>
      <c r="M814" s="420"/>
      <c r="N814" s="420"/>
      <c r="O814" s="420"/>
      <c r="P814" s="420"/>
      <c r="Q814" s="420"/>
      <c r="R814" s="420"/>
      <c r="S814" s="420"/>
      <c r="T814" s="420"/>
      <c r="U814" s="420"/>
      <c r="V814" s="420"/>
      <c r="W814" s="420"/>
      <c r="X814" s="420"/>
      <c r="Y814" s="420"/>
      <c r="Z814" s="420"/>
      <c r="AA814" s="420"/>
    </row>
    <row r="815">
      <c r="A815" s="420"/>
      <c r="B815" s="420"/>
      <c r="C815" s="420"/>
      <c r="D815" s="420"/>
      <c r="E815" s="420"/>
      <c r="F815" s="420"/>
      <c r="G815" s="420"/>
      <c r="H815" s="421"/>
      <c r="I815" s="420"/>
      <c r="J815" s="420"/>
      <c r="K815" s="420"/>
      <c r="L815" s="420"/>
      <c r="M815" s="420"/>
      <c r="N815" s="420"/>
      <c r="O815" s="420"/>
      <c r="P815" s="420"/>
      <c r="Q815" s="420"/>
      <c r="R815" s="420"/>
      <c r="S815" s="420"/>
      <c r="T815" s="420"/>
      <c r="U815" s="420"/>
      <c r="V815" s="420"/>
      <c r="W815" s="420"/>
      <c r="X815" s="420"/>
      <c r="Y815" s="420"/>
      <c r="Z815" s="420"/>
      <c r="AA815" s="420"/>
    </row>
    <row r="816">
      <c r="A816" s="420"/>
      <c r="B816" s="420"/>
      <c r="C816" s="420"/>
      <c r="D816" s="420"/>
      <c r="E816" s="420"/>
      <c r="F816" s="420"/>
      <c r="G816" s="420"/>
      <c r="H816" s="421"/>
      <c r="I816" s="420"/>
      <c r="J816" s="420"/>
      <c r="K816" s="420"/>
      <c r="L816" s="420"/>
      <c r="M816" s="420"/>
      <c r="N816" s="420"/>
      <c r="O816" s="420"/>
      <c r="P816" s="420"/>
      <c r="Q816" s="420"/>
      <c r="R816" s="420"/>
      <c r="S816" s="420"/>
      <c r="T816" s="420"/>
      <c r="U816" s="420"/>
      <c r="V816" s="420"/>
      <c r="W816" s="420"/>
      <c r="X816" s="420"/>
      <c r="Y816" s="420"/>
      <c r="Z816" s="420"/>
      <c r="AA816" s="420"/>
    </row>
    <row r="817">
      <c r="A817" s="420"/>
      <c r="B817" s="420"/>
      <c r="C817" s="420"/>
      <c r="D817" s="420"/>
      <c r="E817" s="420"/>
      <c r="F817" s="420"/>
      <c r="G817" s="420"/>
      <c r="H817" s="421"/>
      <c r="I817" s="420"/>
      <c r="J817" s="420"/>
      <c r="K817" s="420"/>
      <c r="L817" s="420"/>
      <c r="M817" s="420"/>
      <c r="N817" s="420"/>
      <c r="O817" s="420"/>
      <c r="P817" s="420"/>
      <c r="Q817" s="420"/>
      <c r="R817" s="420"/>
      <c r="S817" s="420"/>
      <c r="T817" s="420"/>
      <c r="U817" s="420"/>
      <c r="V817" s="420"/>
      <c r="W817" s="420"/>
      <c r="X817" s="420"/>
      <c r="Y817" s="420"/>
      <c r="Z817" s="420"/>
      <c r="AA817" s="420"/>
    </row>
    <row r="818">
      <c r="A818" s="420"/>
      <c r="B818" s="420"/>
      <c r="C818" s="420"/>
      <c r="D818" s="420"/>
      <c r="E818" s="420"/>
      <c r="F818" s="420"/>
      <c r="G818" s="420"/>
      <c r="H818" s="421"/>
      <c r="I818" s="420"/>
      <c r="J818" s="420"/>
      <c r="K818" s="420"/>
      <c r="L818" s="420"/>
      <c r="M818" s="420"/>
      <c r="N818" s="420"/>
      <c r="O818" s="420"/>
      <c r="P818" s="420"/>
      <c r="Q818" s="420"/>
      <c r="R818" s="420"/>
      <c r="S818" s="420"/>
      <c r="T818" s="420"/>
      <c r="U818" s="420"/>
      <c r="V818" s="420"/>
      <c r="W818" s="420"/>
      <c r="X818" s="420"/>
      <c r="Y818" s="420"/>
      <c r="Z818" s="420"/>
      <c r="AA818" s="420"/>
    </row>
    <row r="819">
      <c r="A819" s="420"/>
      <c r="B819" s="420"/>
      <c r="C819" s="420"/>
      <c r="D819" s="420"/>
      <c r="E819" s="420"/>
      <c r="F819" s="420"/>
      <c r="G819" s="420"/>
      <c r="H819" s="421"/>
      <c r="I819" s="420"/>
      <c r="J819" s="420"/>
      <c r="K819" s="420"/>
      <c r="L819" s="420"/>
      <c r="M819" s="420"/>
      <c r="N819" s="420"/>
      <c r="O819" s="420"/>
      <c r="P819" s="420"/>
      <c r="Q819" s="420"/>
      <c r="R819" s="420"/>
      <c r="S819" s="420"/>
      <c r="T819" s="420"/>
      <c r="U819" s="420"/>
      <c r="V819" s="420"/>
      <c r="W819" s="420"/>
      <c r="X819" s="420"/>
      <c r="Y819" s="420"/>
      <c r="Z819" s="420"/>
      <c r="AA819" s="420"/>
    </row>
    <row r="820">
      <c r="A820" s="420"/>
      <c r="B820" s="420"/>
      <c r="C820" s="420"/>
      <c r="D820" s="420"/>
      <c r="E820" s="420"/>
      <c r="F820" s="420"/>
      <c r="G820" s="420"/>
      <c r="H820" s="421"/>
      <c r="I820" s="420"/>
      <c r="J820" s="420"/>
      <c r="K820" s="420"/>
      <c r="L820" s="420"/>
      <c r="M820" s="420"/>
      <c r="N820" s="420"/>
      <c r="O820" s="420"/>
      <c r="P820" s="420"/>
      <c r="Q820" s="420"/>
      <c r="R820" s="420"/>
      <c r="S820" s="420"/>
      <c r="T820" s="420"/>
      <c r="U820" s="420"/>
      <c r="V820" s="420"/>
      <c r="W820" s="420"/>
      <c r="X820" s="420"/>
      <c r="Y820" s="420"/>
      <c r="Z820" s="420"/>
      <c r="AA820" s="420"/>
    </row>
    <row r="821">
      <c r="A821" s="420"/>
      <c r="B821" s="420"/>
      <c r="C821" s="420"/>
      <c r="D821" s="420"/>
      <c r="E821" s="420"/>
      <c r="F821" s="420"/>
      <c r="G821" s="420"/>
      <c r="H821" s="421"/>
      <c r="I821" s="420"/>
      <c r="J821" s="420"/>
      <c r="K821" s="420"/>
      <c r="L821" s="420"/>
      <c r="M821" s="420"/>
      <c r="N821" s="420"/>
      <c r="O821" s="420"/>
      <c r="P821" s="420"/>
      <c r="Q821" s="420"/>
      <c r="R821" s="420"/>
      <c r="S821" s="420"/>
      <c r="T821" s="420"/>
      <c r="U821" s="420"/>
      <c r="V821" s="420"/>
      <c r="W821" s="420"/>
      <c r="X821" s="420"/>
      <c r="Y821" s="420"/>
      <c r="Z821" s="420"/>
      <c r="AA821" s="420"/>
    </row>
    <row r="822">
      <c r="A822" s="420"/>
      <c r="B822" s="420"/>
      <c r="C822" s="420"/>
      <c r="D822" s="420"/>
      <c r="E822" s="420"/>
      <c r="F822" s="420"/>
      <c r="G822" s="420"/>
      <c r="H822" s="421"/>
      <c r="I822" s="420"/>
      <c r="J822" s="420"/>
      <c r="K822" s="420"/>
      <c r="L822" s="420"/>
      <c r="M822" s="420"/>
      <c r="N822" s="420"/>
      <c r="O822" s="420"/>
      <c r="P822" s="420"/>
      <c r="Q822" s="420"/>
      <c r="R822" s="420"/>
      <c r="S822" s="420"/>
      <c r="T822" s="420"/>
      <c r="U822" s="420"/>
      <c r="V822" s="420"/>
      <c r="W822" s="420"/>
      <c r="X822" s="420"/>
      <c r="Y822" s="420"/>
      <c r="Z822" s="420"/>
      <c r="AA822" s="420"/>
    </row>
    <row r="823">
      <c r="A823" s="420"/>
      <c r="B823" s="420"/>
      <c r="C823" s="420"/>
      <c r="D823" s="420"/>
      <c r="E823" s="420"/>
      <c r="F823" s="420"/>
      <c r="G823" s="420"/>
      <c r="H823" s="421"/>
      <c r="I823" s="420"/>
      <c r="J823" s="420"/>
      <c r="K823" s="420"/>
      <c r="L823" s="420"/>
      <c r="M823" s="420"/>
      <c r="N823" s="420"/>
      <c r="O823" s="420"/>
      <c r="P823" s="420"/>
      <c r="Q823" s="420"/>
      <c r="R823" s="420"/>
      <c r="S823" s="420"/>
      <c r="T823" s="420"/>
      <c r="U823" s="420"/>
      <c r="V823" s="420"/>
      <c r="W823" s="420"/>
      <c r="X823" s="420"/>
      <c r="Y823" s="420"/>
      <c r="Z823" s="420"/>
      <c r="AA823" s="420"/>
    </row>
    <row r="824">
      <c r="A824" s="420"/>
      <c r="B824" s="420"/>
      <c r="C824" s="420"/>
      <c r="D824" s="420"/>
      <c r="E824" s="420"/>
      <c r="F824" s="420"/>
      <c r="G824" s="420"/>
      <c r="H824" s="421"/>
      <c r="I824" s="420"/>
      <c r="J824" s="420"/>
      <c r="K824" s="420"/>
      <c r="L824" s="420"/>
      <c r="M824" s="420"/>
      <c r="N824" s="420"/>
      <c r="O824" s="420"/>
      <c r="P824" s="420"/>
      <c r="Q824" s="420"/>
      <c r="R824" s="420"/>
      <c r="S824" s="420"/>
      <c r="T824" s="420"/>
      <c r="U824" s="420"/>
      <c r="V824" s="420"/>
      <c r="W824" s="420"/>
      <c r="X824" s="420"/>
      <c r="Y824" s="420"/>
      <c r="Z824" s="420"/>
      <c r="AA824" s="420"/>
    </row>
    <row r="825">
      <c r="A825" s="420"/>
      <c r="B825" s="420"/>
      <c r="C825" s="420"/>
      <c r="D825" s="420"/>
      <c r="E825" s="420"/>
      <c r="F825" s="420"/>
      <c r="G825" s="420"/>
      <c r="H825" s="421"/>
      <c r="I825" s="420"/>
      <c r="J825" s="420"/>
      <c r="K825" s="420"/>
      <c r="L825" s="420"/>
      <c r="M825" s="420"/>
      <c r="N825" s="420"/>
      <c r="O825" s="420"/>
      <c r="P825" s="420"/>
      <c r="Q825" s="420"/>
      <c r="R825" s="420"/>
      <c r="S825" s="420"/>
      <c r="T825" s="420"/>
      <c r="U825" s="420"/>
      <c r="V825" s="420"/>
      <c r="W825" s="420"/>
      <c r="X825" s="420"/>
      <c r="Y825" s="420"/>
      <c r="Z825" s="420"/>
      <c r="AA825" s="420"/>
    </row>
    <row r="826">
      <c r="A826" s="420"/>
      <c r="B826" s="420"/>
      <c r="C826" s="420"/>
      <c r="D826" s="420"/>
      <c r="E826" s="420"/>
      <c r="F826" s="420"/>
      <c r="G826" s="420"/>
      <c r="H826" s="421"/>
      <c r="I826" s="420"/>
      <c r="J826" s="420"/>
      <c r="K826" s="420"/>
      <c r="L826" s="420"/>
      <c r="M826" s="420"/>
      <c r="N826" s="420"/>
      <c r="O826" s="420"/>
      <c r="P826" s="420"/>
      <c r="Q826" s="420"/>
      <c r="R826" s="420"/>
      <c r="S826" s="420"/>
      <c r="T826" s="420"/>
      <c r="U826" s="420"/>
      <c r="V826" s="420"/>
      <c r="W826" s="420"/>
      <c r="X826" s="420"/>
      <c r="Y826" s="420"/>
      <c r="Z826" s="420"/>
      <c r="AA826" s="420"/>
    </row>
    <row r="827">
      <c r="A827" s="420"/>
      <c r="B827" s="420"/>
      <c r="C827" s="420"/>
      <c r="D827" s="420"/>
      <c r="E827" s="420"/>
      <c r="F827" s="420"/>
      <c r="G827" s="420"/>
      <c r="H827" s="421"/>
      <c r="I827" s="420"/>
      <c r="J827" s="420"/>
      <c r="K827" s="420"/>
      <c r="L827" s="420"/>
      <c r="M827" s="420"/>
      <c r="N827" s="420"/>
      <c r="O827" s="420"/>
      <c r="P827" s="420"/>
      <c r="Q827" s="420"/>
      <c r="R827" s="420"/>
      <c r="S827" s="420"/>
      <c r="T827" s="420"/>
      <c r="U827" s="420"/>
      <c r="V827" s="420"/>
      <c r="W827" s="420"/>
      <c r="X827" s="420"/>
      <c r="Y827" s="420"/>
      <c r="Z827" s="420"/>
      <c r="AA827" s="420"/>
    </row>
    <row r="828">
      <c r="A828" s="420"/>
      <c r="B828" s="420"/>
      <c r="C828" s="420"/>
      <c r="D828" s="420"/>
      <c r="E828" s="420"/>
      <c r="F828" s="420"/>
      <c r="G828" s="420"/>
      <c r="H828" s="421"/>
      <c r="I828" s="420"/>
      <c r="J828" s="420"/>
      <c r="K828" s="420"/>
      <c r="L828" s="420"/>
      <c r="M828" s="420"/>
      <c r="N828" s="420"/>
      <c r="O828" s="420"/>
      <c r="P828" s="420"/>
      <c r="Q828" s="420"/>
      <c r="R828" s="420"/>
      <c r="S828" s="420"/>
      <c r="T828" s="420"/>
      <c r="U828" s="420"/>
      <c r="V828" s="420"/>
      <c r="W828" s="420"/>
      <c r="X828" s="420"/>
      <c r="Y828" s="420"/>
      <c r="Z828" s="420"/>
      <c r="AA828" s="420"/>
    </row>
    <row r="829">
      <c r="A829" s="420"/>
      <c r="B829" s="420"/>
      <c r="C829" s="420"/>
      <c r="D829" s="420"/>
      <c r="E829" s="420"/>
      <c r="F829" s="420"/>
      <c r="G829" s="420"/>
      <c r="H829" s="421"/>
      <c r="I829" s="420"/>
      <c r="J829" s="420"/>
      <c r="K829" s="420"/>
      <c r="L829" s="420"/>
      <c r="M829" s="420"/>
      <c r="N829" s="420"/>
      <c r="O829" s="420"/>
      <c r="P829" s="420"/>
      <c r="Q829" s="420"/>
      <c r="R829" s="420"/>
      <c r="S829" s="420"/>
      <c r="T829" s="420"/>
      <c r="U829" s="420"/>
      <c r="V829" s="420"/>
      <c r="W829" s="420"/>
      <c r="X829" s="420"/>
      <c r="Y829" s="420"/>
      <c r="Z829" s="420"/>
      <c r="AA829" s="420"/>
    </row>
    <row r="830">
      <c r="A830" s="420"/>
      <c r="B830" s="420"/>
      <c r="C830" s="420"/>
      <c r="D830" s="420"/>
      <c r="E830" s="420"/>
      <c r="F830" s="420"/>
      <c r="G830" s="420"/>
      <c r="H830" s="421"/>
      <c r="I830" s="420"/>
      <c r="J830" s="420"/>
      <c r="K830" s="420"/>
      <c r="L830" s="420"/>
      <c r="M830" s="420"/>
      <c r="N830" s="420"/>
      <c r="O830" s="420"/>
      <c r="P830" s="420"/>
      <c r="Q830" s="420"/>
      <c r="R830" s="420"/>
      <c r="S830" s="420"/>
      <c r="T830" s="420"/>
      <c r="U830" s="420"/>
      <c r="V830" s="420"/>
      <c r="W830" s="420"/>
      <c r="X830" s="420"/>
      <c r="Y830" s="420"/>
      <c r="Z830" s="420"/>
      <c r="AA830" s="420"/>
    </row>
    <row r="831">
      <c r="A831" s="420"/>
      <c r="B831" s="420"/>
      <c r="C831" s="420"/>
      <c r="D831" s="420"/>
      <c r="E831" s="420"/>
      <c r="F831" s="420"/>
      <c r="G831" s="420"/>
      <c r="H831" s="421"/>
      <c r="I831" s="420"/>
      <c r="J831" s="420"/>
      <c r="K831" s="420"/>
      <c r="L831" s="420"/>
      <c r="M831" s="420"/>
      <c r="N831" s="420"/>
      <c r="O831" s="420"/>
      <c r="P831" s="420"/>
      <c r="Q831" s="420"/>
      <c r="R831" s="420"/>
      <c r="S831" s="420"/>
      <c r="T831" s="420"/>
      <c r="U831" s="420"/>
      <c r="V831" s="420"/>
      <c r="W831" s="420"/>
      <c r="X831" s="420"/>
      <c r="Y831" s="420"/>
      <c r="Z831" s="420"/>
      <c r="AA831" s="420"/>
    </row>
    <row r="832">
      <c r="A832" s="420"/>
      <c r="B832" s="420"/>
      <c r="C832" s="420"/>
      <c r="D832" s="420"/>
      <c r="E832" s="420"/>
      <c r="F832" s="420"/>
      <c r="G832" s="420"/>
      <c r="H832" s="421"/>
      <c r="I832" s="420"/>
      <c r="J832" s="420"/>
      <c r="K832" s="420"/>
      <c r="L832" s="420"/>
      <c r="M832" s="420"/>
      <c r="N832" s="420"/>
      <c r="O832" s="420"/>
      <c r="P832" s="420"/>
      <c r="Q832" s="420"/>
      <c r="R832" s="420"/>
      <c r="S832" s="420"/>
      <c r="T832" s="420"/>
      <c r="U832" s="420"/>
      <c r="V832" s="420"/>
      <c r="W832" s="420"/>
      <c r="X832" s="420"/>
      <c r="Y832" s="420"/>
      <c r="Z832" s="420"/>
      <c r="AA832" s="420"/>
    </row>
    <row r="833">
      <c r="A833" s="420"/>
      <c r="B833" s="420"/>
      <c r="C833" s="420"/>
      <c r="D833" s="420"/>
      <c r="E833" s="420"/>
      <c r="F833" s="420"/>
      <c r="G833" s="420"/>
      <c r="H833" s="421"/>
      <c r="I833" s="420"/>
      <c r="J833" s="420"/>
      <c r="K833" s="420"/>
      <c r="L833" s="420"/>
      <c r="M833" s="420"/>
      <c r="N833" s="420"/>
      <c r="O833" s="420"/>
      <c r="P833" s="420"/>
      <c r="Q833" s="420"/>
      <c r="R833" s="420"/>
      <c r="S833" s="420"/>
      <c r="T833" s="420"/>
      <c r="U833" s="420"/>
      <c r="V833" s="420"/>
      <c r="W833" s="420"/>
      <c r="X833" s="420"/>
      <c r="Y833" s="420"/>
      <c r="Z833" s="420"/>
      <c r="AA833" s="420"/>
    </row>
    <row r="834">
      <c r="A834" s="420"/>
      <c r="B834" s="420"/>
      <c r="C834" s="420"/>
      <c r="D834" s="420"/>
      <c r="E834" s="420"/>
      <c r="F834" s="420"/>
      <c r="G834" s="420"/>
      <c r="H834" s="421"/>
      <c r="I834" s="420"/>
      <c r="J834" s="420"/>
      <c r="K834" s="420"/>
      <c r="L834" s="420"/>
      <c r="M834" s="420"/>
      <c r="N834" s="420"/>
      <c r="O834" s="420"/>
      <c r="P834" s="420"/>
      <c r="Q834" s="420"/>
      <c r="R834" s="420"/>
      <c r="S834" s="420"/>
      <c r="T834" s="420"/>
      <c r="U834" s="420"/>
      <c r="V834" s="420"/>
      <c r="W834" s="420"/>
      <c r="X834" s="420"/>
      <c r="Y834" s="420"/>
      <c r="Z834" s="420"/>
      <c r="AA834" s="420"/>
    </row>
    <row r="835">
      <c r="A835" s="420"/>
      <c r="B835" s="420"/>
      <c r="C835" s="420"/>
      <c r="D835" s="420"/>
      <c r="E835" s="420"/>
      <c r="F835" s="420"/>
      <c r="G835" s="420"/>
      <c r="H835" s="421"/>
      <c r="I835" s="420"/>
      <c r="J835" s="420"/>
      <c r="K835" s="420"/>
      <c r="L835" s="420"/>
      <c r="M835" s="420"/>
      <c r="N835" s="420"/>
      <c r="O835" s="420"/>
      <c r="P835" s="420"/>
      <c r="Q835" s="420"/>
      <c r="R835" s="420"/>
      <c r="S835" s="420"/>
      <c r="T835" s="420"/>
      <c r="U835" s="420"/>
      <c r="V835" s="420"/>
      <c r="W835" s="420"/>
      <c r="X835" s="420"/>
      <c r="Y835" s="420"/>
      <c r="Z835" s="420"/>
      <c r="AA835" s="420"/>
    </row>
    <row r="836">
      <c r="A836" s="420"/>
      <c r="B836" s="420"/>
      <c r="C836" s="420"/>
      <c r="D836" s="420"/>
      <c r="E836" s="420"/>
      <c r="F836" s="420"/>
      <c r="G836" s="420"/>
      <c r="H836" s="421"/>
      <c r="I836" s="420"/>
      <c r="J836" s="420"/>
      <c r="K836" s="420"/>
      <c r="L836" s="420"/>
      <c r="M836" s="420"/>
      <c r="N836" s="420"/>
      <c r="O836" s="420"/>
      <c r="P836" s="420"/>
      <c r="Q836" s="420"/>
      <c r="R836" s="420"/>
      <c r="S836" s="420"/>
      <c r="T836" s="420"/>
      <c r="U836" s="420"/>
      <c r="V836" s="420"/>
      <c r="W836" s="420"/>
      <c r="X836" s="420"/>
      <c r="Y836" s="420"/>
      <c r="Z836" s="420"/>
      <c r="AA836" s="420"/>
    </row>
    <row r="837">
      <c r="A837" s="420"/>
      <c r="B837" s="420"/>
      <c r="C837" s="420"/>
      <c r="D837" s="420"/>
      <c r="E837" s="420"/>
      <c r="F837" s="420"/>
      <c r="G837" s="420"/>
      <c r="H837" s="421"/>
      <c r="I837" s="420"/>
      <c r="J837" s="420"/>
      <c r="K837" s="420"/>
      <c r="L837" s="420"/>
      <c r="M837" s="420"/>
      <c r="N837" s="420"/>
      <c r="O837" s="420"/>
      <c r="P837" s="420"/>
      <c r="Q837" s="420"/>
      <c r="R837" s="420"/>
      <c r="S837" s="420"/>
      <c r="T837" s="420"/>
      <c r="U837" s="420"/>
      <c r="V837" s="420"/>
      <c r="W837" s="420"/>
      <c r="X837" s="420"/>
      <c r="Y837" s="420"/>
      <c r="Z837" s="420"/>
      <c r="AA837" s="420"/>
    </row>
    <row r="838">
      <c r="A838" s="420"/>
      <c r="B838" s="420"/>
      <c r="C838" s="420"/>
      <c r="D838" s="420"/>
      <c r="E838" s="420"/>
      <c r="F838" s="420"/>
      <c r="G838" s="420"/>
      <c r="H838" s="421"/>
      <c r="I838" s="420"/>
      <c r="J838" s="420"/>
      <c r="K838" s="420"/>
      <c r="L838" s="420"/>
      <c r="M838" s="420"/>
      <c r="N838" s="420"/>
      <c r="O838" s="420"/>
      <c r="P838" s="420"/>
      <c r="Q838" s="420"/>
      <c r="R838" s="420"/>
      <c r="S838" s="420"/>
      <c r="T838" s="420"/>
      <c r="U838" s="420"/>
      <c r="V838" s="420"/>
      <c r="W838" s="420"/>
      <c r="X838" s="420"/>
      <c r="Y838" s="420"/>
      <c r="Z838" s="420"/>
      <c r="AA838" s="420"/>
    </row>
    <row r="839">
      <c r="A839" s="420"/>
      <c r="B839" s="420"/>
      <c r="C839" s="420"/>
      <c r="D839" s="420"/>
      <c r="E839" s="420"/>
      <c r="F839" s="420"/>
      <c r="G839" s="420"/>
      <c r="H839" s="421"/>
      <c r="I839" s="420"/>
      <c r="J839" s="420"/>
      <c r="K839" s="420"/>
      <c r="L839" s="420"/>
      <c r="M839" s="420"/>
      <c r="N839" s="420"/>
      <c r="O839" s="420"/>
      <c r="P839" s="420"/>
      <c r="Q839" s="420"/>
      <c r="R839" s="420"/>
      <c r="S839" s="420"/>
      <c r="T839" s="420"/>
      <c r="U839" s="420"/>
      <c r="V839" s="420"/>
      <c r="W839" s="420"/>
      <c r="X839" s="420"/>
      <c r="Y839" s="420"/>
      <c r="Z839" s="420"/>
      <c r="AA839" s="420"/>
    </row>
    <row r="840">
      <c r="A840" s="420"/>
      <c r="B840" s="420"/>
      <c r="C840" s="420"/>
      <c r="D840" s="420"/>
      <c r="E840" s="420"/>
      <c r="F840" s="420"/>
      <c r="G840" s="420"/>
      <c r="H840" s="421"/>
      <c r="I840" s="420"/>
      <c r="J840" s="420"/>
      <c r="K840" s="420"/>
      <c r="L840" s="420"/>
      <c r="M840" s="420"/>
      <c r="N840" s="420"/>
      <c r="O840" s="420"/>
      <c r="P840" s="420"/>
      <c r="Q840" s="420"/>
      <c r="R840" s="420"/>
      <c r="S840" s="420"/>
      <c r="T840" s="420"/>
      <c r="U840" s="420"/>
      <c r="V840" s="420"/>
      <c r="W840" s="420"/>
      <c r="X840" s="420"/>
      <c r="Y840" s="420"/>
      <c r="Z840" s="420"/>
      <c r="AA840" s="420"/>
    </row>
    <row r="841">
      <c r="A841" s="420"/>
      <c r="B841" s="420"/>
      <c r="C841" s="420"/>
      <c r="D841" s="420"/>
      <c r="E841" s="420"/>
      <c r="F841" s="420"/>
      <c r="G841" s="420"/>
      <c r="H841" s="421"/>
      <c r="I841" s="420"/>
      <c r="J841" s="420"/>
      <c r="K841" s="420"/>
      <c r="L841" s="420"/>
      <c r="M841" s="420"/>
      <c r="N841" s="420"/>
      <c r="O841" s="420"/>
      <c r="P841" s="420"/>
      <c r="Q841" s="420"/>
      <c r="R841" s="420"/>
      <c r="S841" s="420"/>
      <c r="T841" s="420"/>
      <c r="U841" s="420"/>
      <c r="V841" s="420"/>
      <c r="W841" s="420"/>
      <c r="X841" s="420"/>
      <c r="Y841" s="420"/>
      <c r="Z841" s="420"/>
      <c r="AA841" s="420"/>
    </row>
    <row r="842">
      <c r="A842" s="420"/>
      <c r="B842" s="420"/>
      <c r="C842" s="420"/>
      <c r="D842" s="420"/>
      <c r="E842" s="420"/>
      <c r="F842" s="420"/>
      <c r="G842" s="420"/>
      <c r="H842" s="421"/>
      <c r="I842" s="420"/>
      <c r="J842" s="420"/>
      <c r="K842" s="420"/>
      <c r="L842" s="420"/>
      <c r="M842" s="420"/>
      <c r="N842" s="420"/>
      <c r="O842" s="420"/>
      <c r="P842" s="420"/>
      <c r="Q842" s="420"/>
      <c r="R842" s="420"/>
      <c r="S842" s="420"/>
      <c r="T842" s="420"/>
      <c r="U842" s="420"/>
      <c r="V842" s="420"/>
      <c r="W842" s="420"/>
      <c r="X842" s="420"/>
      <c r="Y842" s="420"/>
      <c r="Z842" s="420"/>
      <c r="AA842" s="420"/>
    </row>
    <row r="843">
      <c r="A843" s="420"/>
      <c r="B843" s="420"/>
      <c r="C843" s="420"/>
      <c r="D843" s="420"/>
      <c r="E843" s="420"/>
      <c r="F843" s="420"/>
      <c r="G843" s="420"/>
      <c r="H843" s="421"/>
      <c r="I843" s="420"/>
      <c r="J843" s="420"/>
      <c r="K843" s="420"/>
      <c r="L843" s="420"/>
      <c r="M843" s="420"/>
      <c r="N843" s="420"/>
      <c r="O843" s="420"/>
      <c r="P843" s="420"/>
      <c r="Q843" s="420"/>
      <c r="R843" s="420"/>
      <c r="S843" s="420"/>
      <c r="T843" s="420"/>
      <c r="U843" s="420"/>
      <c r="V843" s="420"/>
      <c r="W843" s="420"/>
      <c r="X843" s="420"/>
      <c r="Y843" s="420"/>
      <c r="Z843" s="420"/>
      <c r="AA843" s="420"/>
    </row>
    <row r="844">
      <c r="A844" s="420"/>
      <c r="B844" s="420"/>
      <c r="C844" s="420"/>
      <c r="D844" s="420"/>
      <c r="E844" s="420"/>
      <c r="F844" s="420"/>
      <c r="G844" s="420"/>
      <c r="H844" s="421"/>
      <c r="I844" s="420"/>
      <c r="J844" s="420"/>
      <c r="K844" s="420"/>
      <c r="L844" s="420"/>
      <c r="M844" s="420"/>
      <c r="N844" s="420"/>
      <c r="O844" s="420"/>
      <c r="P844" s="420"/>
      <c r="Q844" s="420"/>
      <c r="R844" s="420"/>
      <c r="S844" s="420"/>
      <c r="T844" s="420"/>
      <c r="U844" s="420"/>
      <c r="V844" s="420"/>
      <c r="W844" s="420"/>
      <c r="X844" s="420"/>
      <c r="Y844" s="420"/>
      <c r="Z844" s="420"/>
      <c r="AA844" s="420"/>
    </row>
    <row r="845">
      <c r="A845" s="420"/>
      <c r="B845" s="420"/>
      <c r="C845" s="420"/>
      <c r="D845" s="420"/>
      <c r="E845" s="420"/>
      <c r="F845" s="420"/>
      <c r="G845" s="420"/>
      <c r="H845" s="421"/>
      <c r="I845" s="420"/>
      <c r="J845" s="420"/>
      <c r="K845" s="420"/>
      <c r="L845" s="420"/>
      <c r="M845" s="420"/>
      <c r="N845" s="420"/>
      <c r="O845" s="420"/>
      <c r="P845" s="420"/>
      <c r="Q845" s="420"/>
      <c r="R845" s="420"/>
      <c r="S845" s="420"/>
      <c r="T845" s="420"/>
      <c r="U845" s="420"/>
      <c r="V845" s="420"/>
      <c r="W845" s="420"/>
      <c r="X845" s="420"/>
      <c r="Y845" s="420"/>
      <c r="Z845" s="420"/>
      <c r="AA845" s="420"/>
    </row>
    <row r="846">
      <c r="A846" s="420"/>
      <c r="B846" s="420"/>
      <c r="C846" s="420"/>
      <c r="D846" s="420"/>
      <c r="E846" s="420"/>
      <c r="F846" s="420"/>
      <c r="G846" s="420"/>
      <c r="H846" s="421"/>
      <c r="I846" s="420"/>
      <c r="J846" s="420"/>
      <c r="K846" s="420"/>
      <c r="L846" s="420"/>
      <c r="M846" s="420"/>
      <c r="N846" s="420"/>
      <c r="O846" s="420"/>
      <c r="P846" s="420"/>
      <c r="Q846" s="420"/>
      <c r="R846" s="420"/>
      <c r="S846" s="420"/>
      <c r="T846" s="420"/>
      <c r="U846" s="420"/>
      <c r="V846" s="420"/>
      <c r="W846" s="420"/>
      <c r="X846" s="420"/>
      <c r="Y846" s="420"/>
      <c r="Z846" s="420"/>
      <c r="AA846" s="420"/>
    </row>
    <row r="847">
      <c r="A847" s="420"/>
      <c r="B847" s="420"/>
      <c r="C847" s="420"/>
      <c r="D847" s="420"/>
      <c r="E847" s="420"/>
      <c r="F847" s="420"/>
      <c r="G847" s="420"/>
      <c r="H847" s="421"/>
      <c r="I847" s="420"/>
      <c r="J847" s="420"/>
      <c r="K847" s="420"/>
      <c r="L847" s="420"/>
      <c r="M847" s="420"/>
      <c r="N847" s="420"/>
      <c r="O847" s="420"/>
      <c r="P847" s="420"/>
      <c r="Q847" s="420"/>
      <c r="R847" s="420"/>
      <c r="S847" s="420"/>
      <c r="T847" s="420"/>
      <c r="U847" s="420"/>
      <c r="V847" s="420"/>
      <c r="W847" s="420"/>
      <c r="X847" s="420"/>
      <c r="Y847" s="420"/>
      <c r="Z847" s="420"/>
      <c r="AA847" s="420"/>
    </row>
    <row r="848">
      <c r="A848" s="420"/>
      <c r="B848" s="420"/>
      <c r="C848" s="420"/>
      <c r="D848" s="420"/>
      <c r="E848" s="420"/>
      <c r="F848" s="420"/>
      <c r="G848" s="420"/>
      <c r="H848" s="421"/>
      <c r="I848" s="420"/>
      <c r="J848" s="420"/>
      <c r="K848" s="420"/>
      <c r="L848" s="420"/>
      <c r="M848" s="420"/>
      <c r="N848" s="420"/>
      <c r="O848" s="420"/>
      <c r="P848" s="420"/>
      <c r="Q848" s="420"/>
      <c r="R848" s="420"/>
      <c r="S848" s="420"/>
      <c r="T848" s="420"/>
      <c r="U848" s="420"/>
      <c r="V848" s="420"/>
      <c r="W848" s="420"/>
      <c r="X848" s="420"/>
      <c r="Y848" s="420"/>
      <c r="Z848" s="420"/>
      <c r="AA848" s="420"/>
    </row>
    <row r="849">
      <c r="A849" s="420"/>
      <c r="B849" s="420"/>
      <c r="C849" s="420"/>
      <c r="D849" s="420"/>
      <c r="E849" s="420"/>
      <c r="F849" s="420"/>
      <c r="G849" s="420"/>
      <c r="H849" s="421"/>
      <c r="I849" s="420"/>
      <c r="J849" s="420"/>
      <c r="K849" s="420"/>
      <c r="L849" s="420"/>
      <c r="M849" s="420"/>
      <c r="N849" s="420"/>
      <c r="O849" s="420"/>
      <c r="P849" s="420"/>
      <c r="Q849" s="420"/>
      <c r="R849" s="420"/>
      <c r="S849" s="420"/>
      <c r="T849" s="420"/>
      <c r="U849" s="420"/>
      <c r="V849" s="420"/>
      <c r="W849" s="420"/>
      <c r="X849" s="420"/>
      <c r="Y849" s="420"/>
      <c r="Z849" s="420"/>
      <c r="AA849" s="420"/>
    </row>
    <row r="850">
      <c r="A850" s="420"/>
      <c r="B850" s="420"/>
      <c r="C850" s="420"/>
      <c r="D850" s="420"/>
      <c r="E850" s="420"/>
      <c r="F850" s="420"/>
      <c r="G850" s="420"/>
      <c r="H850" s="421"/>
      <c r="I850" s="420"/>
      <c r="J850" s="420"/>
      <c r="K850" s="420"/>
      <c r="L850" s="420"/>
      <c r="M850" s="420"/>
      <c r="N850" s="420"/>
      <c r="O850" s="420"/>
      <c r="P850" s="420"/>
      <c r="Q850" s="420"/>
      <c r="R850" s="420"/>
      <c r="S850" s="420"/>
      <c r="T850" s="420"/>
      <c r="U850" s="420"/>
      <c r="V850" s="420"/>
      <c r="W850" s="420"/>
      <c r="X850" s="420"/>
      <c r="Y850" s="420"/>
      <c r="Z850" s="420"/>
      <c r="AA850" s="420"/>
    </row>
    <row r="851">
      <c r="A851" s="420"/>
      <c r="B851" s="420"/>
      <c r="C851" s="420"/>
      <c r="D851" s="420"/>
      <c r="E851" s="420"/>
      <c r="F851" s="420"/>
      <c r="G851" s="420"/>
      <c r="H851" s="421"/>
      <c r="I851" s="420"/>
      <c r="J851" s="420"/>
      <c r="K851" s="420"/>
      <c r="L851" s="420"/>
      <c r="M851" s="420"/>
      <c r="N851" s="420"/>
      <c r="O851" s="420"/>
      <c r="P851" s="420"/>
      <c r="Q851" s="420"/>
      <c r="R851" s="420"/>
      <c r="S851" s="420"/>
      <c r="T851" s="420"/>
      <c r="U851" s="420"/>
      <c r="V851" s="420"/>
      <c r="W851" s="420"/>
      <c r="X851" s="420"/>
      <c r="Y851" s="420"/>
      <c r="Z851" s="420"/>
      <c r="AA851" s="420"/>
    </row>
    <row r="852">
      <c r="A852" s="420"/>
      <c r="B852" s="420"/>
      <c r="C852" s="420"/>
      <c r="D852" s="420"/>
      <c r="E852" s="420"/>
      <c r="F852" s="420"/>
      <c r="G852" s="420"/>
      <c r="H852" s="421"/>
      <c r="I852" s="420"/>
      <c r="J852" s="420"/>
      <c r="K852" s="420"/>
      <c r="L852" s="420"/>
      <c r="M852" s="420"/>
      <c r="N852" s="420"/>
      <c r="O852" s="420"/>
      <c r="P852" s="420"/>
      <c r="Q852" s="420"/>
      <c r="R852" s="420"/>
      <c r="S852" s="420"/>
      <c r="T852" s="420"/>
      <c r="U852" s="420"/>
      <c r="V852" s="420"/>
      <c r="W852" s="420"/>
      <c r="X852" s="420"/>
      <c r="Y852" s="420"/>
      <c r="Z852" s="420"/>
      <c r="AA852" s="420"/>
    </row>
    <row r="853">
      <c r="A853" s="420"/>
      <c r="B853" s="420"/>
      <c r="C853" s="420"/>
      <c r="D853" s="420"/>
      <c r="E853" s="420"/>
      <c r="F853" s="420"/>
      <c r="G853" s="420"/>
      <c r="H853" s="421"/>
      <c r="I853" s="420"/>
      <c r="J853" s="420"/>
      <c r="K853" s="420"/>
      <c r="L853" s="420"/>
      <c r="M853" s="420"/>
      <c r="N853" s="420"/>
      <c r="O853" s="420"/>
      <c r="P853" s="420"/>
      <c r="Q853" s="420"/>
      <c r="R853" s="420"/>
      <c r="S853" s="420"/>
      <c r="T853" s="420"/>
      <c r="U853" s="420"/>
      <c r="V853" s="420"/>
      <c r="W853" s="420"/>
      <c r="X853" s="420"/>
      <c r="Y853" s="420"/>
      <c r="Z853" s="420"/>
      <c r="AA853" s="420"/>
    </row>
    <row r="854">
      <c r="A854" s="420"/>
      <c r="B854" s="420"/>
      <c r="C854" s="420"/>
      <c r="D854" s="420"/>
      <c r="E854" s="420"/>
      <c r="F854" s="420"/>
      <c r="G854" s="420"/>
      <c r="H854" s="421"/>
      <c r="I854" s="420"/>
      <c r="J854" s="420"/>
      <c r="K854" s="420"/>
      <c r="L854" s="420"/>
      <c r="M854" s="420"/>
      <c r="N854" s="420"/>
      <c r="O854" s="420"/>
      <c r="P854" s="420"/>
      <c r="Q854" s="420"/>
      <c r="R854" s="420"/>
      <c r="S854" s="420"/>
      <c r="T854" s="420"/>
      <c r="U854" s="420"/>
      <c r="V854" s="420"/>
      <c r="W854" s="420"/>
      <c r="X854" s="420"/>
      <c r="Y854" s="420"/>
      <c r="Z854" s="420"/>
      <c r="AA854" s="420"/>
    </row>
    <row r="855">
      <c r="A855" s="420"/>
      <c r="B855" s="420"/>
      <c r="C855" s="420"/>
      <c r="D855" s="420"/>
      <c r="E855" s="420"/>
      <c r="F855" s="420"/>
      <c r="G855" s="420"/>
      <c r="H855" s="421"/>
      <c r="I855" s="420"/>
      <c r="J855" s="420"/>
      <c r="K855" s="420"/>
      <c r="L855" s="420"/>
      <c r="M855" s="420"/>
      <c r="N855" s="420"/>
      <c r="O855" s="420"/>
      <c r="P855" s="420"/>
      <c r="Q855" s="420"/>
      <c r="R855" s="420"/>
      <c r="S855" s="420"/>
      <c r="T855" s="420"/>
      <c r="U855" s="420"/>
      <c r="V855" s="420"/>
      <c r="W855" s="420"/>
      <c r="X855" s="420"/>
      <c r="Y855" s="420"/>
      <c r="Z855" s="420"/>
      <c r="AA855" s="420"/>
    </row>
    <row r="856">
      <c r="A856" s="420"/>
      <c r="B856" s="420"/>
      <c r="C856" s="420"/>
      <c r="D856" s="420"/>
      <c r="E856" s="420"/>
      <c r="F856" s="420"/>
      <c r="G856" s="420"/>
      <c r="H856" s="421"/>
      <c r="I856" s="420"/>
      <c r="J856" s="420"/>
      <c r="K856" s="420"/>
      <c r="L856" s="420"/>
      <c r="M856" s="420"/>
      <c r="N856" s="420"/>
      <c r="O856" s="420"/>
      <c r="P856" s="420"/>
      <c r="Q856" s="420"/>
      <c r="R856" s="420"/>
      <c r="S856" s="420"/>
      <c r="T856" s="420"/>
      <c r="U856" s="420"/>
      <c r="V856" s="420"/>
      <c r="W856" s="420"/>
      <c r="X856" s="420"/>
      <c r="Y856" s="420"/>
      <c r="Z856" s="420"/>
      <c r="AA856" s="420"/>
    </row>
    <row r="857">
      <c r="A857" s="420"/>
      <c r="B857" s="420"/>
      <c r="C857" s="420"/>
      <c r="D857" s="420"/>
      <c r="E857" s="420"/>
      <c r="F857" s="420"/>
      <c r="G857" s="420"/>
      <c r="H857" s="421"/>
      <c r="I857" s="420"/>
      <c r="J857" s="420"/>
      <c r="K857" s="420"/>
      <c r="L857" s="420"/>
      <c r="M857" s="420"/>
      <c r="N857" s="420"/>
      <c r="O857" s="420"/>
      <c r="P857" s="420"/>
      <c r="Q857" s="420"/>
      <c r="R857" s="420"/>
      <c r="S857" s="420"/>
      <c r="T857" s="420"/>
      <c r="U857" s="420"/>
      <c r="V857" s="420"/>
      <c r="W857" s="420"/>
      <c r="X857" s="420"/>
      <c r="Y857" s="420"/>
      <c r="Z857" s="420"/>
      <c r="AA857" s="420"/>
    </row>
    <row r="858">
      <c r="A858" s="420"/>
      <c r="B858" s="420"/>
      <c r="C858" s="420"/>
      <c r="D858" s="420"/>
      <c r="E858" s="420"/>
      <c r="F858" s="420"/>
      <c r="G858" s="420"/>
      <c r="H858" s="421"/>
      <c r="I858" s="420"/>
      <c r="J858" s="420"/>
      <c r="K858" s="420"/>
      <c r="L858" s="420"/>
      <c r="M858" s="420"/>
      <c r="N858" s="420"/>
      <c r="O858" s="420"/>
      <c r="P858" s="420"/>
      <c r="Q858" s="420"/>
      <c r="R858" s="420"/>
      <c r="S858" s="420"/>
      <c r="T858" s="420"/>
      <c r="U858" s="420"/>
      <c r="V858" s="420"/>
      <c r="W858" s="420"/>
      <c r="X858" s="420"/>
      <c r="Y858" s="420"/>
      <c r="Z858" s="420"/>
      <c r="AA858" s="420"/>
    </row>
    <row r="859">
      <c r="A859" s="420"/>
      <c r="B859" s="420"/>
      <c r="C859" s="420"/>
      <c r="D859" s="420"/>
      <c r="E859" s="420"/>
      <c r="F859" s="420"/>
      <c r="G859" s="420"/>
      <c r="H859" s="421"/>
      <c r="I859" s="420"/>
      <c r="J859" s="420"/>
      <c r="K859" s="420"/>
      <c r="L859" s="420"/>
      <c r="M859" s="420"/>
      <c r="N859" s="420"/>
      <c r="O859" s="420"/>
      <c r="P859" s="420"/>
      <c r="Q859" s="420"/>
      <c r="R859" s="420"/>
      <c r="S859" s="420"/>
      <c r="T859" s="420"/>
      <c r="U859" s="420"/>
      <c r="V859" s="420"/>
      <c r="W859" s="420"/>
      <c r="X859" s="420"/>
      <c r="Y859" s="420"/>
      <c r="Z859" s="420"/>
      <c r="AA859" s="420"/>
    </row>
    <row r="860">
      <c r="A860" s="420"/>
      <c r="B860" s="420"/>
      <c r="C860" s="420"/>
      <c r="D860" s="420"/>
      <c r="E860" s="420"/>
      <c r="F860" s="420"/>
      <c r="G860" s="420"/>
      <c r="H860" s="421"/>
      <c r="I860" s="420"/>
      <c r="J860" s="420"/>
      <c r="K860" s="420"/>
      <c r="L860" s="420"/>
      <c r="M860" s="420"/>
      <c r="N860" s="420"/>
      <c r="O860" s="420"/>
      <c r="P860" s="420"/>
      <c r="Q860" s="420"/>
      <c r="R860" s="420"/>
      <c r="S860" s="420"/>
      <c r="T860" s="420"/>
      <c r="U860" s="420"/>
      <c r="V860" s="420"/>
      <c r="W860" s="420"/>
      <c r="X860" s="420"/>
      <c r="Y860" s="420"/>
      <c r="Z860" s="420"/>
      <c r="AA860" s="420"/>
    </row>
    <row r="861">
      <c r="A861" s="420"/>
      <c r="B861" s="420"/>
      <c r="C861" s="420"/>
      <c r="D861" s="420"/>
      <c r="E861" s="420"/>
      <c r="F861" s="420"/>
      <c r="G861" s="420"/>
      <c r="H861" s="421"/>
      <c r="I861" s="420"/>
      <c r="J861" s="420"/>
      <c r="K861" s="420"/>
      <c r="L861" s="420"/>
      <c r="M861" s="420"/>
      <c r="N861" s="420"/>
      <c r="O861" s="420"/>
      <c r="P861" s="420"/>
      <c r="Q861" s="420"/>
      <c r="R861" s="420"/>
      <c r="S861" s="420"/>
      <c r="T861" s="420"/>
      <c r="U861" s="420"/>
      <c r="V861" s="420"/>
      <c r="W861" s="420"/>
      <c r="X861" s="420"/>
      <c r="Y861" s="420"/>
      <c r="Z861" s="420"/>
      <c r="AA861" s="420"/>
    </row>
    <row r="862">
      <c r="A862" s="420"/>
      <c r="B862" s="420"/>
      <c r="C862" s="420"/>
      <c r="D862" s="420"/>
      <c r="E862" s="420"/>
      <c r="F862" s="420"/>
      <c r="G862" s="420"/>
      <c r="H862" s="421"/>
      <c r="I862" s="420"/>
      <c r="J862" s="420"/>
      <c r="K862" s="420"/>
      <c r="L862" s="420"/>
      <c r="M862" s="420"/>
      <c r="N862" s="420"/>
      <c r="O862" s="420"/>
      <c r="P862" s="420"/>
      <c r="Q862" s="420"/>
      <c r="R862" s="420"/>
      <c r="S862" s="420"/>
      <c r="T862" s="420"/>
      <c r="U862" s="420"/>
      <c r="V862" s="420"/>
      <c r="W862" s="420"/>
      <c r="X862" s="420"/>
      <c r="Y862" s="420"/>
      <c r="Z862" s="420"/>
      <c r="AA862" s="420"/>
    </row>
    <row r="863">
      <c r="A863" s="420"/>
      <c r="B863" s="420"/>
      <c r="C863" s="420"/>
      <c r="D863" s="420"/>
      <c r="E863" s="420"/>
      <c r="F863" s="420"/>
      <c r="G863" s="420"/>
      <c r="H863" s="421"/>
      <c r="I863" s="420"/>
      <c r="J863" s="420"/>
      <c r="K863" s="420"/>
      <c r="L863" s="420"/>
      <c r="M863" s="420"/>
      <c r="N863" s="420"/>
      <c r="O863" s="420"/>
      <c r="P863" s="420"/>
      <c r="Q863" s="420"/>
      <c r="R863" s="420"/>
      <c r="S863" s="420"/>
      <c r="T863" s="420"/>
      <c r="U863" s="420"/>
      <c r="V863" s="420"/>
      <c r="W863" s="420"/>
      <c r="X863" s="420"/>
      <c r="Y863" s="420"/>
      <c r="Z863" s="420"/>
      <c r="AA863" s="420"/>
    </row>
    <row r="864">
      <c r="A864" s="420"/>
      <c r="B864" s="420"/>
      <c r="C864" s="420"/>
      <c r="D864" s="420"/>
      <c r="E864" s="420"/>
      <c r="F864" s="420"/>
      <c r="G864" s="420"/>
      <c r="H864" s="421"/>
      <c r="I864" s="420"/>
      <c r="J864" s="420"/>
      <c r="K864" s="420"/>
      <c r="L864" s="420"/>
      <c r="M864" s="420"/>
      <c r="N864" s="420"/>
      <c r="O864" s="420"/>
      <c r="P864" s="420"/>
      <c r="Q864" s="420"/>
      <c r="R864" s="420"/>
      <c r="S864" s="420"/>
      <c r="T864" s="420"/>
      <c r="U864" s="420"/>
      <c r="V864" s="420"/>
      <c r="W864" s="420"/>
      <c r="X864" s="420"/>
      <c r="Y864" s="420"/>
      <c r="Z864" s="420"/>
      <c r="AA864" s="420"/>
    </row>
    <row r="865">
      <c r="A865" s="420"/>
      <c r="B865" s="420"/>
      <c r="C865" s="420"/>
      <c r="D865" s="420"/>
      <c r="E865" s="420"/>
      <c r="F865" s="420"/>
      <c r="G865" s="420"/>
      <c r="H865" s="421"/>
      <c r="I865" s="420"/>
      <c r="J865" s="420"/>
      <c r="K865" s="420"/>
      <c r="L865" s="420"/>
      <c r="M865" s="420"/>
      <c r="N865" s="420"/>
      <c r="O865" s="420"/>
      <c r="P865" s="420"/>
      <c r="Q865" s="420"/>
      <c r="R865" s="420"/>
      <c r="S865" s="420"/>
      <c r="T865" s="420"/>
      <c r="U865" s="420"/>
      <c r="V865" s="420"/>
      <c r="W865" s="420"/>
      <c r="X865" s="420"/>
      <c r="Y865" s="420"/>
      <c r="Z865" s="420"/>
      <c r="AA865" s="420"/>
    </row>
    <row r="866">
      <c r="A866" s="420"/>
      <c r="B866" s="420"/>
      <c r="C866" s="420"/>
      <c r="D866" s="420"/>
      <c r="E866" s="420"/>
      <c r="F866" s="420"/>
      <c r="G866" s="420"/>
      <c r="H866" s="421"/>
      <c r="I866" s="420"/>
      <c r="J866" s="420"/>
      <c r="K866" s="420"/>
      <c r="L866" s="420"/>
      <c r="M866" s="420"/>
      <c r="N866" s="420"/>
      <c r="O866" s="420"/>
      <c r="P866" s="420"/>
      <c r="Q866" s="420"/>
      <c r="R866" s="420"/>
      <c r="S866" s="420"/>
      <c r="T866" s="420"/>
      <c r="U866" s="420"/>
      <c r="V866" s="420"/>
      <c r="W866" s="420"/>
      <c r="X866" s="420"/>
      <c r="Y866" s="420"/>
      <c r="Z866" s="420"/>
      <c r="AA866" s="420"/>
    </row>
    <row r="867">
      <c r="A867" s="420"/>
      <c r="B867" s="420"/>
      <c r="C867" s="420"/>
      <c r="D867" s="420"/>
      <c r="E867" s="420"/>
      <c r="F867" s="420"/>
      <c r="G867" s="420"/>
      <c r="H867" s="421"/>
      <c r="I867" s="420"/>
      <c r="J867" s="420"/>
      <c r="K867" s="420"/>
      <c r="L867" s="420"/>
      <c r="M867" s="420"/>
      <c r="N867" s="420"/>
      <c r="O867" s="420"/>
      <c r="P867" s="420"/>
      <c r="Q867" s="420"/>
      <c r="R867" s="420"/>
      <c r="S867" s="420"/>
      <c r="T867" s="420"/>
      <c r="U867" s="420"/>
      <c r="V867" s="420"/>
      <c r="W867" s="420"/>
      <c r="X867" s="420"/>
      <c r="Y867" s="420"/>
      <c r="Z867" s="420"/>
      <c r="AA867" s="420"/>
    </row>
    <row r="868">
      <c r="A868" s="420"/>
      <c r="B868" s="420"/>
      <c r="C868" s="420"/>
      <c r="D868" s="420"/>
      <c r="E868" s="420"/>
      <c r="F868" s="420"/>
      <c r="G868" s="420"/>
      <c r="H868" s="421"/>
      <c r="I868" s="420"/>
      <c r="J868" s="420"/>
      <c r="K868" s="420"/>
      <c r="L868" s="420"/>
      <c r="M868" s="420"/>
      <c r="N868" s="420"/>
      <c r="O868" s="420"/>
      <c r="P868" s="420"/>
      <c r="Q868" s="420"/>
      <c r="R868" s="420"/>
      <c r="S868" s="420"/>
      <c r="T868" s="420"/>
      <c r="U868" s="420"/>
      <c r="V868" s="420"/>
      <c r="W868" s="420"/>
      <c r="X868" s="420"/>
      <c r="Y868" s="420"/>
      <c r="Z868" s="420"/>
      <c r="AA868" s="420"/>
    </row>
    <row r="869">
      <c r="A869" s="420"/>
      <c r="B869" s="420"/>
      <c r="C869" s="420"/>
      <c r="D869" s="420"/>
      <c r="E869" s="420"/>
      <c r="F869" s="420"/>
      <c r="G869" s="420"/>
      <c r="H869" s="421"/>
      <c r="I869" s="420"/>
      <c r="J869" s="420"/>
      <c r="K869" s="420"/>
      <c r="L869" s="420"/>
      <c r="M869" s="420"/>
      <c r="N869" s="420"/>
      <c r="O869" s="420"/>
      <c r="P869" s="420"/>
      <c r="Q869" s="420"/>
      <c r="R869" s="420"/>
      <c r="S869" s="420"/>
      <c r="T869" s="420"/>
      <c r="U869" s="420"/>
      <c r="V869" s="420"/>
      <c r="W869" s="420"/>
      <c r="X869" s="420"/>
      <c r="Y869" s="420"/>
      <c r="Z869" s="420"/>
      <c r="AA869" s="420"/>
    </row>
    <row r="870">
      <c r="A870" s="420"/>
      <c r="B870" s="420"/>
      <c r="C870" s="420"/>
      <c r="D870" s="420"/>
      <c r="E870" s="420"/>
      <c r="F870" s="420"/>
      <c r="G870" s="420"/>
      <c r="H870" s="421"/>
      <c r="I870" s="420"/>
      <c r="J870" s="420"/>
      <c r="K870" s="420"/>
      <c r="L870" s="420"/>
      <c r="M870" s="420"/>
      <c r="N870" s="420"/>
      <c r="O870" s="420"/>
      <c r="P870" s="420"/>
      <c r="Q870" s="420"/>
      <c r="R870" s="420"/>
      <c r="S870" s="420"/>
      <c r="T870" s="420"/>
      <c r="U870" s="420"/>
      <c r="V870" s="420"/>
      <c r="W870" s="420"/>
      <c r="X870" s="420"/>
      <c r="Y870" s="420"/>
      <c r="Z870" s="420"/>
      <c r="AA870" s="420"/>
    </row>
    <row r="871">
      <c r="A871" s="420"/>
      <c r="B871" s="420"/>
      <c r="C871" s="420"/>
      <c r="D871" s="420"/>
      <c r="E871" s="420"/>
      <c r="F871" s="420"/>
      <c r="G871" s="420"/>
      <c r="H871" s="421"/>
      <c r="I871" s="420"/>
      <c r="J871" s="420"/>
      <c r="K871" s="420"/>
      <c r="L871" s="420"/>
      <c r="M871" s="420"/>
      <c r="N871" s="420"/>
      <c r="O871" s="420"/>
      <c r="P871" s="420"/>
      <c r="Q871" s="420"/>
      <c r="R871" s="420"/>
      <c r="S871" s="420"/>
      <c r="T871" s="420"/>
      <c r="U871" s="420"/>
      <c r="V871" s="420"/>
      <c r="W871" s="420"/>
      <c r="X871" s="420"/>
      <c r="Y871" s="420"/>
      <c r="Z871" s="420"/>
      <c r="AA871" s="420"/>
    </row>
    <row r="872">
      <c r="A872" s="420"/>
      <c r="B872" s="420"/>
      <c r="C872" s="420"/>
      <c r="D872" s="420"/>
      <c r="E872" s="420"/>
      <c r="F872" s="420"/>
      <c r="G872" s="420"/>
      <c r="H872" s="421"/>
      <c r="I872" s="420"/>
      <c r="J872" s="420"/>
      <c r="K872" s="420"/>
      <c r="L872" s="420"/>
      <c r="M872" s="420"/>
      <c r="N872" s="420"/>
      <c r="O872" s="420"/>
      <c r="P872" s="420"/>
      <c r="Q872" s="420"/>
      <c r="R872" s="420"/>
      <c r="S872" s="420"/>
      <c r="T872" s="420"/>
      <c r="U872" s="420"/>
      <c r="V872" s="420"/>
      <c r="W872" s="420"/>
      <c r="X872" s="420"/>
      <c r="Y872" s="420"/>
      <c r="Z872" s="420"/>
      <c r="AA872" s="420"/>
    </row>
    <row r="873">
      <c r="A873" s="420"/>
      <c r="B873" s="420"/>
      <c r="C873" s="420"/>
      <c r="D873" s="420"/>
      <c r="E873" s="420"/>
      <c r="F873" s="420"/>
      <c r="G873" s="420"/>
      <c r="H873" s="421"/>
      <c r="I873" s="420"/>
      <c r="J873" s="420"/>
      <c r="K873" s="420"/>
      <c r="L873" s="420"/>
      <c r="M873" s="420"/>
      <c r="N873" s="420"/>
      <c r="O873" s="420"/>
      <c r="P873" s="420"/>
      <c r="Q873" s="420"/>
      <c r="R873" s="420"/>
      <c r="S873" s="420"/>
      <c r="T873" s="420"/>
      <c r="U873" s="420"/>
      <c r="V873" s="420"/>
      <c r="W873" s="420"/>
      <c r="X873" s="420"/>
      <c r="Y873" s="420"/>
      <c r="Z873" s="420"/>
      <c r="AA873" s="420"/>
    </row>
    <row r="874">
      <c r="A874" s="420"/>
      <c r="B874" s="420"/>
      <c r="C874" s="420"/>
      <c r="D874" s="420"/>
      <c r="E874" s="420"/>
      <c r="F874" s="420"/>
      <c r="G874" s="420"/>
      <c r="H874" s="421"/>
      <c r="I874" s="420"/>
      <c r="J874" s="420"/>
      <c r="K874" s="420"/>
      <c r="L874" s="420"/>
      <c r="M874" s="420"/>
      <c r="N874" s="420"/>
      <c r="O874" s="420"/>
      <c r="P874" s="420"/>
      <c r="Q874" s="420"/>
      <c r="R874" s="420"/>
      <c r="S874" s="420"/>
      <c r="T874" s="420"/>
      <c r="U874" s="420"/>
      <c r="V874" s="420"/>
      <c r="W874" s="420"/>
      <c r="X874" s="420"/>
      <c r="Y874" s="420"/>
      <c r="Z874" s="420"/>
      <c r="AA874" s="420"/>
    </row>
    <row r="875">
      <c r="A875" s="420"/>
      <c r="B875" s="420"/>
      <c r="C875" s="420"/>
      <c r="D875" s="420"/>
      <c r="E875" s="420"/>
      <c r="F875" s="420"/>
      <c r="G875" s="420"/>
      <c r="H875" s="421"/>
      <c r="I875" s="420"/>
      <c r="J875" s="420"/>
      <c r="K875" s="420"/>
      <c r="L875" s="420"/>
      <c r="M875" s="420"/>
      <c r="N875" s="420"/>
      <c r="O875" s="420"/>
      <c r="P875" s="420"/>
      <c r="Q875" s="420"/>
      <c r="R875" s="420"/>
      <c r="S875" s="420"/>
      <c r="T875" s="420"/>
      <c r="U875" s="420"/>
      <c r="V875" s="420"/>
      <c r="W875" s="420"/>
      <c r="X875" s="420"/>
      <c r="Y875" s="420"/>
      <c r="Z875" s="420"/>
      <c r="AA875" s="420"/>
    </row>
    <row r="876">
      <c r="A876" s="420"/>
      <c r="B876" s="420"/>
      <c r="C876" s="420"/>
      <c r="D876" s="420"/>
      <c r="E876" s="420"/>
      <c r="F876" s="420"/>
      <c r="G876" s="420"/>
      <c r="H876" s="421"/>
      <c r="I876" s="420"/>
      <c r="J876" s="420"/>
      <c r="K876" s="420"/>
      <c r="L876" s="420"/>
      <c r="M876" s="420"/>
      <c r="N876" s="420"/>
      <c r="O876" s="420"/>
      <c r="P876" s="420"/>
      <c r="Q876" s="420"/>
      <c r="R876" s="420"/>
      <c r="S876" s="420"/>
      <c r="T876" s="420"/>
      <c r="U876" s="420"/>
      <c r="V876" s="420"/>
      <c r="W876" s="420"/>
      <c r="X876" s="420"/>
      <c r="Y876" s="420"/>
      <c r="Z876" s="420"/>
      <c r="AA876" s="420"/>
    </row>
    <row r="877">
      <c r="A877" s="420"/>
      <c r="B877" s="420"/>
      <c r="C877" s="420"/>
      <c r="D877" s="420"/>
      <c r="E877" s="420"/>
      <c r="F877" s="420"/>
      <c r="G877" s="420"/>
      <c r="H877" s="421"/>
      <c r="I877" s="420"/>
      <c r="J877" s="420"/>
      <c r="K877" s="420"/>
      <c r="L877" s="420"/>
      <c r="M877" s="420"/>
      <c r="N877" s="420"/>
      <c r="O877" s="420"/>
      <c r="P877" s="420"/>
      <c r="Q877" s="420"/>
      <c r="R877" s="420"/>
      <c r="S877" s="420"/>
      <c r="T877" s="420"/>
      <c r="U877" s="420"/>
      <c r="V877" s="420"/>
      <c r="W877" s="420"/>
      <c r="X877" s="420"/>
      <c r="Y877" s="420"/>
      <c r="Z877" s="420"/>
      <c r="AA877" s="420"/>
    </row>
    <row r="878">
      <c r="A878" s="420"/>
      <c r="B878" s="420"/>
      <c r="C878" s="420"/>
      <c r="D878" s="420"/>
      <c r="E878" s="420"/>
      <c r="F878" s="420"/>
      <c r="G878" s="420"/>
      <c r="H878" s="421"/>
      <c r="I878" s="420"/>
      <c r="J878" s="420"/>
      <c r="K878" s="420"/>
      <c r="L878" s="420"/>
      <c r="M878" s="420"/>
      <c r="N878" s="420"/>
      <c r="O878" s="420"/>
      <c r="P878" s="420"/>
      <c r="Q878" s="420"/>
      <c r="R878" s="420"/>
      <c r="S878" s="420"/>
      <c r="T878" s="420"/>
      <c r="U878" s="420"/>
      <c r="V878" s="420"/>
      <c r="W878" s="420"/>
      <c r="X878" s="420"/>
      <c r="Y878" s="420"/>
      <c r="Z878" s="420"/>
      <c r="AA878" s="420"/>
    </row>
    <row r="879">
      <c r="A879" s="420"/>
      <c r="B879" s="420"/>
      <c r="C879" s="420"/>
      <c r="D879" s="420"/>
      <c r="E879" s="420"/>
      <c r="F879" s="420"/>
      <c r="G879" s="420"/>
      <c r="H879" s="421"/>
      <c r="I879" s="420"/>
      <c r="J879" s="420"/>
      <c r="K879" s="420"/>
      <c r="L879" s="420"/>
      <c r="M879" s="420"/>
      <c r="N879" s="420"/>
      <c r="O879" s="420"/>
      <c r="P879" s="420"/>
      <c r="Q879" s="420"/>
      <c r="R879" s="420"/>
      <c r="S879" s="420"/>
      <c r="T879" s="420"/>
      <c r="U879" s="420"/>
      <c r="V879" s="420"/>
      <c r="W879" s="420"/>
      <c r="X879" s="420"/>
      <c r="Y879" s="420"/>
      <c r="Z879" s="420"/>
      <c r="AA879" s="420"/>
    </row>
    <row r="880">
      <c r="A880" s="420"/>
      <c r="B880" s="420"/>
      <c r="C880" s="420"/>
      <c r="D880" s="420"/>
      <c r="E880" s="420"/>
      <c r="F880" s="420"/>
      <c r="G880" s="420"/>
      <c r="H880" s="421"/>
      <c r="I880" s="420"/>
      <c r="J880" s="420"/>
      <c r="K880" s="420"/>
      <c r="L880" s="420"/>
      <c r="M880" s="420"/>
      <c r="N880" s="420"/>
      <c r="O880" s="420"/>
      <c r="P880" s="420"/>
      <c r="Q880" s="420"/>
      <c r="R880" s="420"/>
      <c r="S880" s="420"/>
      <c r="T880" s="420"/>
      <c r="U880" s="420"/>
      <c r="V880" s="420"/>
      <c r="W880" s="420"/>
      <c r="X880" s="420"/>
      <c r="Y880" s="420"/>
      <c r="Z880" s="420"/>
      <c r="AA880" s="420"/>
    </row>
    <row r="881">
      <c r="A881" s="420"/>
      <c r="B881" s="420"/>
      <c r="C881" s="420"/>
      <c r="D881" s="420"/>
      <c r="E881" s="420"/>
      <c r="F881" s="420"/>
      <c r="G881" s="420"/>
      <c r="H881" s="421"/>
      <c r="I881" s="420"/>
      <c r="J881" s="420"/>
      <c r="K881" s="420"/>
      <c r="L881" s="420"/>
      <c r="M881" s="420"/>
      <c r="N881" s="420"/>
      <c r="O881" s="420"/>
      <c r="P881" s="420"/>
      <c r="Q881" s="420"/>
      <c r="R881" s="420"/>
      <c r="S881" s="420"/>
      <c r="T881" s="420"/>
      <c r="U881" s="420"/>
      <c r="V881" s="420"/>
      <c r="W881" s="420"/>
      <c r="X881" s="420"/>
      <c r="Y881" s="420"/>
      <c r="Z881" s="420"/>
      <c r="AA881" s="420"/>
    </row>
    <row r="882">
      <c r="A882" s="420"/>
      <c r="B882" s="420"/>
      <c r="C882" s="420"/>
      <c r="D882" s="420"/>
      <c r="E882" s="420"/>
      <c r="F882" s="420"/>
      <c r="G882" s="420"/>
      <c r="H882" s="421"/>
      <c r="I882" s="420"/>
      <c r="J882" s="420"/>
      <c r="K882" s="420"/>
      <c r="L882" s="420"/>
      <c r="M882" s="420"/>
      <c r="N882" s="420"/>
      <c r="O882" s="420"/>
      <c r="P882" s="420"/>
      <c r="Q882" s="420"/>
      <c r="R882" s="420"/>
      <c r="S882" s="420"/>
      <c r="T882" s="420"/>
      <c r="U882" s="420"/>
      <c r="V882" s="420"/>
      <c r="W882" s="420"/>
      <c r="X882" s="420"/>
      <c r="Y882" s="420"/>
      <c r="Z882" s="420"/>
      <c r="AA882" s="420"/>
    </row>
    <row r="883">
      <c r="A883" s="420"/>
      <c r="B883" s="420"/>
      <c r="C883" s="420"/>
      <c r="D883" s="420"/>
      <c r="E883" s="420"/>
      <c r="F883" s="420"/>
      <c r="G883" s="420"/>
      <c r="H883" s="421"/>
      <c r="I883" s="420"/>
      <c r="J883" s="420"/>
      <c r="K883" s="420"/>
      <c r="L883" s="420"/>
      <c r="M883" s="420"/>
      <c r="N883" s="420"/>
      <c r="O883" s="420"/>
      <c r="P883" s="420"/>
      <c r="Q883" s="420"/>
      <c r="R883" s="420"/>
      <c r="S883" s="420"/>
      <c r="T883" s="420"/>
      <c r="U883" s="420"/>
      <c r="V883" s="420"/>
      <c r="W883" s="420"/>
      <c r="X883" s="420"/>
      <c r="Y883" s="420"/>
      <c r="Z883" s="420"/>
      <c r="AA883" s="420"/>
    </row>
    <row r="884">
      <c r="A884" s="420"/>
      <c r="B884" s="420"/>
      <c r="C884" s="420"/>
      <c r="D884" s="420"/>
      <c r="E884" s="420"/>
      <c r="F884" s="420"/>
      <c r="G884" s="420"/>
      <c r="H884" s="421"/>
      <c r="I884" s="420"/>
      <c r="J884" s="420"/>
      <c r="K884" s="420"/>
      <c r="L884" s="420"/>
      <c r="M884" s="420"/>
      <c r="N884" s="420"/>
      <c r="O884" s="420"/>
      <c r="P884" s="420"/>
      <c r="Q884" s="420"/>
      <c r="R884" s="420"/>
      <c r="S884" s="420"/>
      <c r="T884" s="420"/>
      <c r="U884" s="420"/>
      <c r="V884" s="420"/>
      <c r="W884" s="420"/>
      <c r="X884" s="420"/>
      <c r="Y884" s="420"/>
      <c r="Z884" s="420"/>
      <c r="AA884" s="420"/>
    </row>
    <row r="885">
      <c r="A885" s="420"/>
      <c r="B885" s="420"/>
      <c r="C885" s="420"/>
      <c r="D885" s="420"/>
      <c r="E885" s="420"/>
      <c r="F885" s="420"/>
      <c r="G885" s="420"/>
      <c r="H885" s="421"/>
      <c r="I885" s="420"/>
      <c r="J885" s="420"/>
      <c r="K885" s="420"/>
      <c r="L885" s="420"/>
      <c r="M885" s="420"/>
      <c r="N885" s="420"/>
      <c r="O885" s="420"/>
      <c r="P885" s="420"/>
      <c r="Q885" s="420"/>
      <c r="R885" s="420"/>
      <c r="S885" s="420"/>
      <c r="T885" s="420"/>
      <c r="U885" s="420"/>
      <c r="V885" s="420"/>
      <c r="W885" s="420"/>
      <c r="X885" s="420"/>
      <c r="Y885" s="420"/>
      <c r="Z885" s="420"/>
      <c r="AA885" s="420"/>
    </row>
    <row r="886">
      <c r="A886" s="420"/>
      <c r="B886" s="420"/>
      <c r="C886" s="420"/>
      <c r="D886" s="420"/>
      <c r="E886" s="420"/>
      <c r="F886" s="420"/>
      <c r="G886" s="420"/>
      <c r="H886" s="421"/>
      <c r="I886" s="420"/>
      <c r="J886" s="420"/>
      <c r="K886" s="420"/>
      <c r="L886" s="420"/>
      <c r="M886" s="420"/>
      <c r="N886" s="420"/>
      <c r="O886" s="420"/>
      <c r="P886" s="420"/>
      <c r="Q886" s="420"/>
      <c r="R886" s="420"/>
      <c r="S886" s="420"/>
      <c r="T886" s="420"/>
      <c r="U886" s="420"/>
      <c r="V886" s="420"/>
      <c r="W886" s="420"/>
      <c r="X886" s="420"/>
      <c r="Y886" s="420"/>
      <c r="Z886" s="420"/>
      <c r="AA886" s="420"/>
    </row>
    <row r="887">
      <c r="A887" s="420"/>
      <c r="B887" s="420"/>
      <c r="C887" s="420"/>
      <c r="D887" s="420"/>
      <c r="E887" s="420"/>
      <c r="F887" s="420"/>
      <c r="G887" s="420"/>
      <c r="H887" s="421"/>
      <c r="I887" s="420"/>
      <c r="J887" s="420"/>
      <c r="K887" s="420"/>
      <c r="L887" s="420"/>
      <c r="M887" s="420"/>
      <c r="N887" s="420"/>
      <c r="O887" s="420"/>
      <c r="P887" s="420"/>
      <c r="Q887" s="420"/>
      <c r="R887" s="420"/>
      <c r="S887" s="420"/>
      <c r="T887" s="420"/>
      <c r="U887" s="420"/>
      <c r="V887" s="420"/>
      <c r="W887" s="420"/>
      <c r="X887" s="420"/>
      <c r="Y887" s="420"/>
      <c r="Z887" s="420"/>
      <c r="AA887" s="420"/>
    </row>
    <row r="888">
      <c r="A888" s="420"/>
      <c r="B888" s="420"/>
      <c r="C888" s="420"/>
      <c r="D888" s="420"/>
      <c r="E888" s="420"/>
      <c r="F888" s="420"/>
      <c r="G888" s="420"/>
      <c r="H888" s="421"/>
      <c r="I888" s="420"/>
      <c r="J888" s="420"/>
      <c r="K888" s="420"/>
      <c r="L888" s="420"/>
      <c r="M888" s="420"/>
      <c r="N888" s="420"/>
      <c r="O888" s="420"/>
      <c r="P888" s="420"/>
      <c r="Q888" s="420"/>
      <c r="R888" s="420"/>
      <c r="S888" s="420"/>
      <c r="T888" s="420"/>
      <c r="U888" s="420"/>
      <c r="V888" s="420"/>
      <c r="W888" s="420"/>
      <c r="X888" s="420"/>
      <c r="Y888" s="420"/>
      <c r="Z888" s="420"/>
      <c r="AA888" s="420"/>
    </row>
    <row r="889">
      <c r="A889" s="420"/>
      <c r="B889" s="420"/>
      <c r="C889" s="420"/>
      <c r="D889" s="420"/>
      <c r="E889" s="420"/>
      <c r="F889" s="420"/>
      <c r="G889" s="420"/>
      <c r="H889" s="421"/>
      <c r="I889" s="420"/>
      <c r="J889" s="420"/>
      <c r="K889" s="420"/>
      <c r="L889" s="420"/>
      <c r="M889" s="420"/>
      <c r="N889" s="420"/>
      <c r="O889" s="420"/>
      <c r="P889" s="420"/>
      <c r="Q889" s="420"/>
      <c r="R889" s="420"/>
      <c r="S889" s="420"/>
      <c r="T889" s="420"/>
      <c r="U889" s="420"/>
      <c r="V889" s="420"/>
      <c r="W889" s="420"/>
      <c r="X889" s="420"/>
      <c r="Y889" s="420"/>
      <c r="Z889" s="420"/>
      <c r="AA889" s="420"/>
    </row>
    <row r="890">
      <c r="A890" s="420"/>
      <c r="B890" s="420"/>
      <c r="C890" s="420"/>
      <c r="D890" s="420"/>
      <c r="E890" s="420"/>
      <c r="F890" s="420"/>
      <c r="G890" s="420"/>
      <c r="H890" s="421"/>
      <c r="I890" s="420"/>
      <c r="J890" s="420"/>
      <c r="K890" s="420"/>
      <c r="L890" s="420"/>
      <c r="M890" s="420"/>
      <c r="N890" s="420"/>
      <c r="O890" s="420"/>
      <c r="P890" s="420"/>
      <c r="Q890" s="420"/>
      <c r="R890" s="420"/>
      <c r="S890" s="420"/>
      <c r="T890" s="420"/>
      <c r="U890" s="420"/>
      <c r="V890" s="420"/>
      <c r="W890" s="420"/>
      <c r="X890" s="420"/>
      <c r="Y890" s="420"/>
      <c r="Z890" s="420"/>
      <c r="AA890" s="420"/>
    </row>
    <row r="891">
      <c r="A891" s="420"/>
      <c r="B891" s="420"/>
      <c r="C891" s="420"/>
      <c r="D891" s="420"/>
      <c r="E891" s="420"/>
      <c r="F891" s="420"/>
      <c r="G891" s="420"/>
      <c r="H891" s="421"/>
      <c r="I891" s="420"/>
      <c r="J891" s="420"/>
      <c r="K891" s="420"/>
      <c r="L891" s="420"/>
      <c r="M891" s="420"/>
      <c r="N891" s="420"/>
      <c r="O891" s="420"/>
      <c r="P891" s="420"/>
      <c r="Q891" s="420"/>
      <c r="R891" s="420"/>
      <c r="S891" s="420"/>
      <c r="T891" s="420"/>
      <c r="U891" s="420"/>
      <c r="V891" s="420"/>
      <c r="W891" s="420"/>
      <c r="X891" s="420"/>
      <c r="Y891" s="420"/>
      <c r="Z891" s="420"/>
      <c r="AA891" s="420"/>
    </row>
    <row r="892">
      <c r="A892" s="420"/>
      <c r="B892" s="420"/>
      <c r="C892" s="420"/>
      <c r="D892" s="420"/>
      <c r="E892" s="420"/>
      <c r="F892" s="420"/>
      <c r="G892" s="420"/>
      <c r="H892" s="421"/>
      <c r="I892" s="420"/>
      <c r="J892" s="420"/>
      <c r="K892" s="420"/>
      <c r="L892" s="420"/>
      <c r="M892" s="420"/>
      <c r="N892" s="420"/>
      <c r="O892" s="420"/>
      <c r="P892" s="420"/>
      <c r="Q892" s="420"/>
      <c r="R892" s="420"/>
      <c r="S892" s="420"/>
      <c r="T892" s="420"/>
      <c r="U892" s="420"/>
      <c r="V892" s="420"/>
      <c r="W892" s="420"/>
      <c r="X892" s="420"/>
      <c r="Y892" s="420"/>
      <c r="Z892" s="420"/>
      <c r="AA892" s="420"/>
    </row>
    <row r="893">
      <c r="A893" s="420"/>
      <c r="B893" s="420"/>
      <c r="C893" s="420"/>
      <c r="D893" s="420"/>
      <c r="E893" s="420"/>
      <c r="F893" s="420"/>
      <c r="G893" s="420"/>
      <c r="H893" s="421"/>
      <c r="I893" s="420"/>
      <c r="J893" s="420"/>
      <c r="K893" s="420"/>
      <c r="L893" s="420"/>
      <c r="M893" s="420"/>
      <c r="N893" s="420"/>
      <c r="O893" s="420"/>
      <c r="P893" s="420"/>
      <c r="Q893" s="420"/>
      <c r="R893" s="420"/>
      <c r="S893" s="420"/>
      <c r="T893" s="420"/>
      <c r="U893" s="420"/>
      <c r="V893" s="420"/>
      <c r="W893" s="420"/>
      <c r="X893" s="420"/>
      <c r="Y893" s="420"/>
      <c r="Z893" s="420"/>
      <c r="AA893" s="420"/>
    </row>
    <row r="894">
      <c r="A894" s="420"/>
      <c r="B894" s="420"/>
      <c r="C894" s="420"/>
      <c r="D894" s="420"/>
      <c r="E894" s="420"/>
      <c r="F894" s="420"/>
      <c r="G894" s="420"/>
      <c r="H894" s="421"/>
      <c r="I894" s="420"/>
      <c r="J894" s="420"/>
      <c r="K894" s="420"/>
      <c r="L894" s="420"/>
      <c r="M894" s="420"/>
      <c r="N894" s="420"/>
      <c r="O894" s="420"/>
      <c r="P894" s="420"/>
      <c r="Q894" s="420"/>
      <c r="R894" s="420"/>
      <c r="S894" s="420"/>
      <c r="T894" s="420"/>
      <c r="U894" s="420"/>
      <c r="V894" s="420"/>
      <c r="W894" s="420"/>
      <c r="X894" s="420"/>
      <c r="Y894" s="420"/>
      <c r="Z894" s="420"/>
      <c r="AA894" s="420"/>
    </row>
    <row r="895">
      <c r="A895" s="420"/>
      <c r="B895" s="420"/>
      <c r="C895" s="420"/>
      <c r="D895" s="420"/>
      <c r="E895" s="420"/>
      <c r="F895" s="420"/>
      <c r="G895" s="420"/>
      <c r="H895" s="421"/>
      <c r="I895" s="420"/>
      <c r="J895" s="420"/>
      <c r="K895" s="420"/>
      <c r="L895" s="420"/>
      <c r="M895" s="420"/>
      <c r="N895" s="420"/>
      <c r="O895" s="420"/>
      <c r="P895" s="420"/>
      <c r="Q895" s="420"/>
      <c r="R895" s="420"/>
      <c r="S895" s="420"/>
      <c r="T895" s="420"/>
      <c r="U895" s="420"/>
      <c r="V895" s="420"/>
      <c r="W895" s="420"/>
      <c r="X895" s="420"/>
      <c r="Y895" s="420"/>
      <c r="Z895" s="420"/>
      <c r="AA895" s="420"/>
    </row>
    <row r="896">
      <c r="A896" s="420"/>
      <c r="B896" s="420"/>
      <c r="C896" s="420"/>
      <c r="D896" s="420"/>
      <c r="E896" s="420"/>
      <c r="F896" s="420"/>
      <c r="G896" s="420"/>
      <c r="H896" s="421"/>
      <c r="I896" s="420"/>
      <c r="J896" s="420"/>
      <c r="K896" s="420"/>
      <c r="L896" s="420"/>
      <c r="M896" s="420"/>
      <c r="N896" s="420"/>
      <c r="O896" s="420"/>
      <c r="P896" s="420"/>
      <c r="Q896" s="420"/>
      <c r="R896" s="420"/>
      <c r="S896" s="420"/>
      <c r="T896" s="420"/>
      <c r="U896" s="420"/>
      <c r="V896" s="420"/>
      <c r="W896" s="420"/>
      <c r="X896" s="420"/>
      <c r="Y896" s="420"/>
      <c r="Z896" s="420"/>
      <c r="AA896" s="420"/>
    </row>
    <row r="897">
      <c r="A897" s="420"/>
      <c r="B897" s="420"/>
      <c r="C897" s="420"/>
      <c r="D897" s="420"/>
      <c r="E897" s="420"/>
      <c r="F897" s="420"/>
      <c r="G897" s="420"/>
      <c r="H897" s="421"/>
      <c r="I897" s="420"/>
      <c r="J897" s="420"/>
      <c r="K897" s="420"/>
      <c r="L897" s="420"/>
      <c r="M897" s="420"/>
      <c r="N897" s="420"/>
      <c r="O897" s="420"/>
      <c r="P897" s="420"/>
      <c r="Q897" s="420"/>
      <c r="R897" s="420"/>
      <c r="S897" s="420"/>
      <c r="T897" s="420"/>
      <c r="U897" s="420"/>
      <c r="V897" s="420"/>
      <c r="W897" s="420"/>
      <c r="X897" s="420"/>
      <c r="Y897" s="420"/>
      <c r="Z897" s="420"/>
      <c r="AA897" s="420"/>
    </row>
    <row r="898">
      <c r="A898" s="420"/>
      <c r="B898" s="420"/>
      <c r="C898" s="420"/>
      <c r="D898" s="420"/>
      <c r="E898" s="420"/>
      <c r="F898" s="420"/>
      <c r="G898" s="420"/>
      <c r="H898" s="421"/>
      <c r="I898" s="420"/>
      <c r="J898" s="420"/>
      <c r="K898" s="420"/>
      <c r="L898" s="420"/>
      <c r="M898" s="420"/>
      <c r="N898" s="420"/>
      <c r="O898" s="420"/>
      <c r="P898" s="420"/>
      <c r="Q898" s="420"/>
      <c r="R898" s="420"/>
      <c r="S898" s="420"/>
      <c r="T898" s="420"/>
      <c r="U898" s="420"/>
      <c r="V898" s="420"/>
      <c r="W898" s="420"/>
      <c r="X898" s="420"/>
      <c r="Y898" s="420"/>
      <c r="Z898" s="420"/>
      <c r="AA898" s="420"/>
    </row>
    <row r="899">
      <c r="A899" s="420"/>
      <c r="B899" s="420"/>
      <c r="C899" s="420"/>
      <c r="D899" s="420"/>
      <c r="E899" s="420"/>
      <c r="F899" s="420"/>
      <c r="G899" s="420"/>
      <c r="H899" s="421"/>
      <c r="I899" s="420"/>
      <c r="J899" s="420"/>
      <c r="K899" s="420"/>
      <c r="L899" s="420"/>
      <c r="M899" s="420"/>
      <c r="N899" s="420"/>
      <c r="O899" s="420"/>
      <c r="P899" s="420"/>
      <c r="Q899" s="420"/>
      <c r="R899" s="420"/>
      <c r="S899" s="420"/>
      <c r="T899" s="420"/>
      <c r="U899" s="420"/>
      <c r="V899" s="420"/>
      <c r="W899" s="420"/>
      <c r="X899" s="420"/>
      <c r="Y899" s="420"/>
      <c r="Z899" s="420"/>
      <c r="AA899" s="420"/>
    </row>
    <row r="900">
      <c r="A900" s="420"/>
      <c r="B900" s="420"/>
      <c r="C900" s="420"/>
      <c r="D900" s="420"/>
      <c r="E900" s="420"/>
      <c r="F900" s="420"/>
      <c r="G900" s="420"/>
      <c r="H900" s="421"/>
      <c r="I900" s="420"/>
      <c r="J900" s="420"/>
      <c r="K900" s="420"/>
      <c r="L900" s="420"/>
      <c r="M900" s="420"/>
      <c r="N900" s="420"/>
      <c r="O900" s="420"/>
      <c r="P900" s="420"/>
      <c r="Q900" s="420"/>
      <c r="R900" s="420"/>
      <c r="S900" s="420"/>
      <c r="T900" s="420"/>
      <c r="U900" s="420"/>
      <c r="V900" s="420"/>
      <c r="W900" s="420"/>
      <c r="X900" s="420"/>
      <c r="Y900" s="420"/>
      <c r="Z900" s="420"/>
      <c r="AA900" s="420"/>
    </row>
    <row r="901">
      <c r="A901" s="420"/>
      <c r="B901" s="420"/>
      <c r="C901" s="420"/>
      <c r="D901" s="420"/>
      <c r="E901" s="420"/>
      <c r="F901" s="420"/>
      <c r="G901" s="420"/>
      <c r="H901" s="421"/>
      <c r="I901" s="420"/>
      <c r="J901" s="420"/>
      <c r="K901" s="420"/>
      <c r="L901" s="420"/>
      <c r="M901" s="420"/>
      <c r="N901" s="420"/>
      <c r="O901" s="420"/>
      <c r="P901" s="420"/>
      <c r="Q901" s="420"/>
      <c r="R901" s="420"/>
      <c r="S901" s="420"/>
      <c r="T901" s="420"/>
      <c r="U901" s="420"/>
      <c r="V901" s="420"/>
      <c r="W901" s="420"/>
      <c r="X901" s="420"/>
      <c r="Y901" s="420"/>
      <c r="Z901" s="420"/>
      <c r="AA901" s="420"/>
    </row>
    <row r="902">
      <c r="A902" s="420"/>
      <c r="B902" s="420"/>
      <c r="C902" s="420"/>
      <c r="D902" s="420"/>
      <c r="E902" s="420"/>
      <c r="F902" s="420"/>
      <c r="G902" s="420"/>
      <c r="H902" s="421"/>
      <c r="I902" s="420"/>
      <c r="J902" s="420"/>
      <c r="K902" s="420"/>
      <c r="L902" s="420"/>
      <c r="M902" s="420"/>
      <c r="N902" s="420"/>
      <c r="O902" s="420"/>
      <c r="P902" s="420"/>
      <c r="Q902" s="420"/>
      <c r="R902" s="420"/>
      <c r="S902" s="420"/>
      <c r="T902" s="420"/>
      <c r="U902" s="420"/>
      <c r="V902" s="420"/>
      <c r="W902" s="420"/>
      <c r="X902" s="420"/>
      <c r="Y902" s="420"/>
      <c r="Z902" s="420"/>
      <c r="AA902" s="420"/>
    </row>
    <row r="903">
      <c r="A903" s="420"/>
      <c r="B903" s="420"/>
      <c r="C903" s="420"/>
      <c r="D903" s="420"/>
      <c r="E903" s="420"/>
      <c r="F903" s="420"/>
      <c r="G903" s="420"/>
      <c r="H903" s="421"/>
      <c r="I903" s="420"/>
      <c r="J903" s="420"/>
      <c r="K903" s="420"/>
      <c r="L903" s="420"/>
      <c r="M903" s="420"/>
      <c r="N903" s="420"/>
      <c r="O903" s="420"/>
      <c r="P903" s="420"/>
      <c r="Q903" s="420"/>
      <c r="R903" s="420"/>
      <c r="S903" s="420"/>
      <c r="T903" s="420"/>
      <c r="U903" s="420"/>
      <c r="V903" s="420"/>
      <c r="W903" s="420"/>
      <c r="X903" s="420"/>
      <c r="Y903" s="420"/>
      <c r="Z903" s="420"/>
      <c r="AA903" s="420"/>
    </row>
    <row r="904">
      <c r="A904" s="420"/>
      <c r="B904" s="420"/>
      <c r="C904" s="420"/>
      <c r="D904" s="420"/>
      <c r="E904" s="420"/>
      <c r="F904" s="420"/>
      <c r="G904" s="420"/>
      <c r="H904" s="421"/>
      <c r="I904" s="420"/>
      <c r="J904" s="420"/>
      <c r="K904" s="420"/>
      <c r="L904" s="420"/>
      <c r="M904" s="420"/>
      <c r="N904" s="420"/>
      <c r="O904" s="420"/>
      <c r="P904" s="420"/>
      <c r="Q904" s="420"/>
      <c r="R904" s="420"/>
      <c r="S904" s="420"/>
      <c r="T904" s="420"/>
      <c r="U904" s="420"/>
      <c r="V904" s="420"/>
      <c r="W904" s="420"/>
      <c r="X904" s="420"/>
      <c r="Y904" s="420"/>
      <c r="Z904" s="420"/>
      <c r="AA904" s="420"/>
    </row>
    <row r="905">
      <c r="A905" s="420"/>
      <c r="B905" s="420"/>
      <c r="C905" s="420"/>
      <c r="D905" s="420"/>
      <c r="E905" s="420"/>
      <c r="F905" s="420"/>
      <c r="G905" s="420"/>
      <c r="H905" s="421"/>
      <c r="I905" s="420"/>
      <c r="J905" s="420"/>
      <c r="K905" s="420"/>
      <c r="L905" s="420"/>
      <c r="M905" s="420"/>
      <c r="N905" s="420"/>
      <c r="O905" s="420"/>
      <c r="P905" s="420"/>
      <c r="Q905" s="420"/>
      <c r="R905" s="420"/>
      <c r="S905" s="420"/>
      <c r="T905" s="420"/>
      <c r="U905" s="420"/>
      <c r="V905" s="420"/>
      <c r="W905" s="420"/>
      <c r="X905" s="420"/>
      <c r="Y905" s="420"/>
      <c r="Z905" s="420"/>
      <c r="AA905" s="420"/>
    </row>
    <row r="906">
      <c r="A906" s="420"/>
      <c r="B906" s="420"/>
      <c r="C906" s="420"/>
      <c r="D906" s="420"/>
      <c r="E906" s="420"/>
      <c r="F906" s="420"/>
      <c r="G906" s="420"/>
      <c r="H906" s="421"/>
      <c r="I906" s="420"/>
      <c r="J906" s="420"/>
      <c r="K906" s="420"/>
      <c r="L906" s="420"/>
      <c r="M906" s="420"/>
      <c r="N906" s="420"/>
      <c r="O906" s="420"/>
      <c r="P906" s="420"/>
      <c r="Q906" s="420"/>
      <c r="R906" s="420"/>
      <c r="S906" s="420"/>
      <c r="T906" s="420"/>
      <c r="U906" s="420"/>
      <c r="V906" s="420"/>
      <c r="W906" s="420"/>
      <c r="X906" s="420"/>
      <c r="Y906" s="420"/>
      <c r="Z906" s="420"/>
      <c r="AA906" s="420"/>
    </row>
    <row r="907">
      <c r="A907" s="420"/>
      <c r="B907" s="420"/>
      <c r="C907" s="420"/>
      <c r="D907" s="420"/>
      <c r="E907" s="420"/>
      <c r="F907" s="420"/>
      <c r="G907" s="420"/>
      <c r="H907" s="421"/>
      <c r="I907" s="420"/>
      <c r="J907" s="420"/>
      <c r="K907" s="420"/>
      <c r="L907" s="420"/>
      <c r="M907" s="420"/>
      <c r="N907" s="420"/>
      <c r="O907" s="420"/>
      <c r="P907" s="420"/>
      <c r="Q907" s="420"/>
      <c r="R907" s="420"/>
      <c r="S907" s="420"/>
      <c r="T907" s="420"/>
      <c r="U907" s="420"/>
      <c r="V907" s="420"/>
      <c r="W907" s="420"/>
      <c r="X907" s="420"/>
      <c r="Y907" s="420"/>
      <c r="Z907" s="420"/>
      <c r="AA907" s="420"/>
    </row>
    <row r="908">
      <c r="A908" s="420"/>
      <c r="B908" s="420"/>
      <c r="C908" s="420"/>
      <c r="D908" s="420"/>
      <c r="E908" s="420"/>
      <c r="F908" s="420"/>
      <c r="G908" s="420"/>
      <c r="H908" s="421"/>
      <c r="I908" s="420"/>
      <c r="J908" s="420"/>
      <c r="K908" s="420"/>
      <c r="L908" s="420"/>
      <c r="M908" s="420"/>
      <c r="N908" s="420"/>
      <c r="O908" s="420"/>
      <c r="P908" s="420"/>
      <c r="Q908" s="420"/>
      <c r="R908" s="420"/>
      <c r="S908" s="420"/>
      <c r="T908" s="420"/>
      <c r="U908" s="420"/>
      <c r="V908" s="420"/>
      <c r="W908" s="420"/>
      <c r="X908" s="420"/>
      <c r="Y908" s="420"/>
      <c r="Z908" s="420"/>
      <c r="AA908" s="420"/>
    </row>
    <row r="909">
      <c r="A909" s="420"/>
      <c r="B909" s="420"/>
      <c r="C909" s="420"/>
      <c r="D909" s="420"/>
      <c r="E909" s="420"/>
      <c r="F909" s="420"/>
      <c r="G909" s="420"/>
      <c r="H909" s="421"/>
      <c r="I909" s="420"/>
      <c r="J909" s="420"/>
      <c r="K909" s="420"/>
      <c r="L909" s="420"/>
      <c r="M909" s="420"/>
      <c r="N909" s="420"/>
      <c r="O909" s="420"/>
      <c r="P909" s="420"/>
      <c r="Q909" s="420"/>
      <c r="R909" s="420"/>
      <c r="S909" s="420"/>
      <c r="T909" s="420"/>
      <c r="U909" s="420"/>
      <c r="V909" s="420"/>
      <c r="W909" s="420"/>
      <c r="X909" s="420"/>
      <c r="Y909" s="420"/>
      <c r="Z909" s="420"/>
      <c r="AA909" s="420"/>
    </row>
    <row r="910">
      <c r="A910" s="420"/>
      <c r="B910" s="420"/>
      <c r="C910" s="420"/>
      <c r="D910" s="420"/>
      <c r="E910" s="420"/>
      <c r="F910" s="420"/>
      <c r="G910" s="420"/>
      <c r="H910" s="421"/>
      <c r="I910" s="420"/>
      <c r="J910" s="420"/>
      <c r="K910" s="420"/>
      <c r="L910" s="420"/>
      <c r="M910" s="420"/>
      <c r="N910" s="420"/>
      <c r="O910" s="420"/>
      <c r="P910" s="420"/>
      <c r="Q910" s="420"/>
      <c r="R910" s="420"/>
      <c r="S910" s="420"/>
      <c r="T910" s="420"/>
      <c r="U910" s="420"/>
      <c r="V910" s="420"/>
      <c r="W910" s="420"/>
      <c r="X910" s="420"/>
      <c r="Y910" s="420"/>
      <c r="Z910" s="420"/>
      <c r="AA910" s="420"/>
    </row>
    <row r="911">
      <c r="A911" s="420"/>
      <c r="B911" s="420"/>
      <c r="C911" s="420"/>
      <c r="D911" s="420"/>
      <c r="E911" s="420"/>
      <c r="F911" s="420"/>
      <c r="G911" s="420"/>
      <c r="H911" s="421"/>
      <c r="I911" s="420"/>
      <c r="J911" s="420"/>
      <c r="K911" s="420"/>
      <c r="L911" s="420"/>
      <c r="M911" s="420"/>
      <c r="N911" s="420"/>
      <c r="O911" s="420"/>
      <c r="P911" s="420"/>
      <c r="Q911" s="420"/>
      <c r="R911" s="420"/>
      <c r="S911" s="420"/>
      <c r="T911" s="420"/>
      <c r="U911" s="420"/>
      <c r="V911" s="420"/>
      <c r="W911" s="420"/>
      <c r="X911" s="420"/>
      <c r="Y911" s="420"/>
      <c r="Z911" s="420"/>
      <c r="AA911" s="420"/>
    </row>
    <row r="912">
      <c r="A912" s="420"/>
      <c r="B912" s="420"/>
      <c r="C912" s="420"/>
      <c r="D912" s="420"/>
      <c r="E912" s="420"/>
      <c r="F912" s="420"/>
      <c r="G912" s="420"/>
      <c r="H912" s="421"/>
      <c r="I912" s="420"/>
      <c r="J912" s="420"/>
      <c r="K912" s="420"/>
      <c r="L912" s="420"/>
      <c r="M912" s="420"/>
      <c r="N912" s="420"/>
      <c r="O912" s="420"/>
      <c r="P912" s="420"/>
      <c r="Q912" s="420"/>
      <c r="R912" s="420"/>
      <c r="S912" s="420"/>
      <c r="T912" s="420"/>
      <c r="U912" s="420"/>
      <c r="V912" s="420"/>
      <c r="W912" s="420"/>
      <c r="X912" s="420"/>
      <c r="Y912" s="420"/>
      <c r="Z912" s="420"/>
      <c r="AA912" s="420"/>
    </row>
    <row r="913">
      <c r="A913" s="420"/>
      <c r="B913" s="420"/>
      <c r="C913" s="420"/>
      <c r="D913" s="420"/>
      <c r="E913" s="420"/>
      <c r="F913" s="420"/>
      <c r="G913" s="420"/>
      <c r="H913" s="421"/>
      <c r="I913" s="420"/>
      <c r="J913" s="420"/>
      <c r="K913" s="420"/>
      <c r="L913" s="420"/>
      <c r="M913" s="420"/>
      <c r="N913" s="420"/>
      <c r="O913" s="420"/>
      <c r="P913" s="420"/>
      <c r="Q913" s="420"/>
      <c r="R913" s="420"/>
      <c r="S913" s="420"/>
      <c r="T913" s="420"/>
      <c r="U913" s="420"/>
      <c r="V913" s="420"/>
      <c r="W913" s="420"/>
      <c r="X913" s="420"/>
      <c r="Y913" s="420"/>
      <c r="Z913" s="420"/>
      <c r="AA913" s="420"/>
    </row>
    <row r="914">
      <c r="A914" s="420"/>
      <c r="B914" s="420"/>
      <c r="C914" s="420"/>
      <c r="D914" s="420"/>
      <c r="E914" s="420"/>
      <c r="F914" s="420"/>
      <c r="G914" s="420"/>
      <c r="H914" s="421"/>
      <c r="I914" s="420"/>
      <c r="J914" s="420"/>
      <c r="K914" s="420"/>
      <c r="L914" s="420"/>
      <c r="M914" s="420"/>
      <c r="N914" s="420"/>
      <c r="O914" s="420"/>
      <c r="P914" s="420"/>
      <c r="Q914" s="420"/>
      <c r="R914" s="420"/>
      <c r="S914" s="420"/>
      <c r="T914" s="420"/>
      <c r="U914" s="420"/>
      <c r="V914" s="420"/>
      <c r="W914" s="420"/>
      <c r="X914" s="420"/>
      <c r="Y914" s="420"/>
      <c r="Z914" s="420"/>
      <c r="AA914" s="420"/>
    </row>
    <row r="915">
      <c r="A915" s="420"/>
      <c r="B915" s="420"/>
      <c r="C915" s="420"/>
      <c r="D915" s="420"/>
      <c r="E915" s="420"/>
      <c r="F915" s="420"/>
      <c r="G915" s="420"/>
      <c r="H915" s="421"/>
      <c r="I915" s="420"/>
      <c r="J915" s="420"/>
      <c r="K915" s="420"/>
      <c r="L915" s="420"/>
      <c r="M915" s="420"/>
      <c r="N915" s="420"/>
      <c r="O915" s="420"/>
      <c r="P915" s="420"/>
      <c r="Q915" s="420"/>
      <c r="R915" s="420"/>
      <c r="S915" s="420"/>
      <c r="T915" s="420"/>
      <c r="U915" s="420"/>
      <c r="V915" s="420"/>
      <c r="W915" s="420"/>
      <c r="X915" s="420"/>
      <c r="Y915" s="420"/>
      <c r="Z915" s="420"/>
      <c r="AA915" s="420"/>
    </row>
    <row r="916">
      <c r="A916" s="420"/>
      <c r="B916" s="420"/>
      <c r="C916" s="420"/>
      <c r="D916" s="420"/>
      <c r="E916" s="420"/>
      <c r="F916" s="420"/>
      <c r="G916" s="420"/>
      <c r="H916" s="421"/>
      <c r="I916" s="420"/>
      <c r="J916" s="420"/>
      <c r="K916" s="420"/>
      <c r="L916" s="420"/>
      <c r="M916" s="420"/>
      <c r="N916" s="420"/>
      <c r="O916" s="420"/>
      <c r="P916" s="420"/>
      <c r="Q916" s="420"/>
      <c r="R916" s="420"/>
      <c r="S916" s="420"/>
      <c r="T916" s="420"/>
      <c r="U916" s="420"/>
      <c r="V916" s="420"/>
      <c r="W916" s="420"/>
      <c r="X916" s="420"/>
      <c r="Y916" s="420"/>
      <c r="Z916" s="420"/>
      <c r="AA916" s="420"/>
    </row>
    <row r="917">
      <c r="A917" s="420"/>
      <c r="B917" s="420"/>
      <c r="C917" s="420"/>
      <c r="D917" s="420"/>
      <c r="E917" s="420"/>
      <c r="F917" s="420"/>
      <c r="G917" s="420"/>
      <c r="H917" s="421"/>
      <c r="I917" s="420"/>
      <c r="J917" s="420"/>
      <c r="K917" s="420"/>
      <c r="L917" s="420"/>
      <c r="M917" s="420"/>
      <c r="N917" s="420"/>
      <c r="O917" s="420"/>
      <c r="P917" s="420"/>
      <c r="Q917" s="420"/>
      <c r="R917" s="420"/>
      <c r="S917" s="420"/>
      <c r="T917" s="420"/>
      <c r="U917" s="420"/>
      <c r="V917" s="420"/>
      <c r="W917" s="420"/>
      <c r="X917" s="420"/>
      <c r="Y917" s="420"/>
      <c r="Z917" s="420"/>
      <c r="AA917" s="420"/>
    </row>
    <row r="918">
      <c r="A918" s="420"/>
      <c r="B918" s="420"/>
      <c r="C918" s="420"/>
      <c r="D918" s="420"/>
      <c r="E918" s="420"/>
      <c r="F918" s="420"/>
      <c r="G918" s="420"/>
      <c r="H918" s="421"/>
      <c r="I918" s="420"/>
      <c r="J918" s="420"/>
      <c r="K918" s="420"/>
      <c r="L918" s="420"/>
      <c r="M918" s="420"/>
      <c r="N918" s="420"/>
      <c r="O918" s="420"/>
      <c r="P918" s="420"/>
      <c r="Q918" s="420"/>
      <c r="R918" s="420"/>
      <c r="S918" s="420"/>
      <c r="T918" s="420"/>
      <c r="U918" s="420"/>
      <c r="V918" s="420"/>
      <c r="W918" s="420"/>
      <c r="X918" s="420"/>
      <c r="Y918" s="420"/>
      <c r="Z918" s="420"/>
      <c r="AA918" s="420"/>
    </row>
    <row r="919">
      <c r="A919" s="420"/>
      <c r="B919" s="420"/>
      <c r="C919" s="420"/>
      <c r="D919" s="420"/>
      <c r="E919" s="420"/>
      <c r="F919" s="420"/>
      <c r="G919" s="420"/>
      <c r="H919" s="421"/>
      <c r="I919" s="420"/>
      <c r="J919" s="420"/>
      <c r="K919" s="420"/>
      <c r="L919" s="420"/>
      <c r="M919" s="420"/>
      <c r="N919" s="420"/>
      <c r="O919" s="420"/>
      <c r="P919" s="420"/>
      <c r="Q919" s="420"/>
      <c r="R919" s="420"/>
      <c r="S919" s="420"/>
      <c r="T919" s="420"/>
      <c r="U919" s="420"/>
      <c r="V919" s="420"/>
      <c r="W919" s="420"/>
      <c r="X919" s="420"/>
      <c r="Y919" s="420"/>
      <c r="Z919" s="420"/>
      <c r="AA919" s="420"/>
    </row>
    <row r="920">
      <c r="A920" s="420"/>
      <c r="B920" s="420"/>
      <c r="C920" s="420"/>
      <c r="D920" s="420"/>
      <c r="E920" s="420"/>
      <c r="F920" s="420"/>
      <c r="G920" s="420"/>
      <c r="H920" s="421"/>
      <c r="I920" s="420"/>
      <c r="J920" s="420"/>
      <c r="K920" s="420"/>
      <c r="L920" s="420"/>
      <c r="M920" s="420"/>
      <c r="N920" s="420"/>
      <c r="O920" s="420"/>
      <c r="P920" s="420"/>
      <c r="Q920" s="420"/>
      <c r="R920" s="420"/>
      <c r="S920" s="420"/>
      <c r="T920" s="420"/>
      <c r="U920" s="420"/>
      <c r="V920" s="420"/>
      <c r="W920" s="420"/>
      <c r="X920" s="420"/>
      <c r="Y920" s="420"/>
      <c r="Z920" s="420"/>
      <c r="AA920" s="420"/>
    </row>
    <row r="921">
      <c r="A921" s="420"/>
      <c r="B921" s="420"/>
      <c r="C921" s="420"/>
      <c r="D921" s="420"/>
      <c r="E921" s="420"/>
      <c r="F921" s="420"/>
      <c r="G921" s="420"/>
      <c r="H921" s="421"/>
      <c r="I921" s="420"/>
      <c r="J921" s="420"/>
      <c r="K921" s="420"/>
      <c r="L921" s="420"/>
      <c r="M921" s="420"/>
      <c r="N921" s="420"/>
      <c r="O921" s="420"/>
      <c r="P921" s="420"/>
      <c r="Q921" s="420"/>
      <c r="R921" s="420"/>
      <c r="S921" s="420"/>
      <c r="T921" s="420"/>
      <c r="U921" s="420"/>
      <c r="V921" s="420"/>
      <c r="W921" s="420"/>
      <c r="X921" s="420"/>
      <c r="Y921" s="420"/>
      <c r="Z921" s="420"/>
      <c r="AA921" s="420"/>
    </row>
    <row r="922">
      <c r="A922" s="420"/>
      <c r="B922" s="420"/>
      <c r="C922" s="420"/>
      <c r="D922" s="420"/>
      <c r="E922" s="420"/>
      <c r="F922" s="420"/>
      <c r="G922" s="420"/>
      <c r="H922" s="421"/>
      <c r="I922" s="420"/>
      <c r="J922" s="420"/>
      <c r="K922" s="420"/>
      <c r="L922" s="420"/>
      <c r="M922" s="420"/>
      <c r="N922" s="420"/>
      <c r="O922" s="420"/>
      <c r="P922" s="420"/>
      <c r="Q922" s="420"/>
      <c r="R922" s="420"/>
      <c r="S922" s="420"/>
      <c r="T922" s="420"/>
      <c r="U922" s="420"/>
      <c r="V922" s="420"/>
      <c r="W922" s="420"/>
      <c r="X922" s="420"/>
      <c r="Y922" s="420"/>
      <c r="Z922" s="420"/>
      <c r="AA922" s="420"/>
    </row>
    <row r="923">
      <c r="A923" s="420"/>
      <c r="B923" s="420"/>
      <c r="C923" s="420"/>
      <c r="D923" s="420"/>
      <c r="E923" s="420"/>
      <c r="F923" s="420"/>
      <c r="G923" s="420"/>
      <c r="H923" s="421"/>
      <c r="I923" s="420"/>
      <c r="J923" s="420"/>
      <c r="K923" s="420"/>
      <c r="L923" s="420"/>
      <c r="M923" s="420"/>
      <c r="N923" s="420"/>
      <c r="O923" s="420"/>
      <c r="P923" s="420"/>
      <c r="Q923" s="420"/>
      <c r="R923" s="420"/>
      <c r="S923" s="420"/>
      <c r="T923" s="420"/>
      <c r="U923" s="420"/>
      <c r="V923" s="420"/>
      <c r="W923" s="420"/>
      <c r="X923" s="420"/>
      <c r="Y923" s="420"/>
      <c r="Z923" s="420"/>
      <c r="AA923" s="420"/>
    </row>
    <row r="924">
      <c r="A924" s="420"/>
      <c r="B924" s="420"/>
      <c r="C924" s="420"/>
      <c r="D924" s="420"/>
      <c r="E924" s="420"/>
      <c r="F924" s="420"/>
      <c r="G924" s="420"/>
      <c r="H924" s="421"/>
      <c r="I924" s="420"/>
      <c r="J924" s="420"/>
      <c r="K924" s="420"/>
      <c r="L924" s="420"/>
      <c r="M924" s="420"/>
      <c r="N924" s="420"/>
      <c r="O924" s="420"/>
      <c r="P924" s="420"/>
      <c r="Q924" s="420"/>
      <c r="R924" s="420"/>
      <c r="S924" s="420"/>
      <c r="T924" s="420"/>
      <c r="U924" s="420"/>
      <c r="V924" s="420"/>
      <c r="W924" s="420"/>
      <c r="X924" s="420"/>
      <c r="Y924" s="420"/>
      <c r="Z924" s="420"/>
      <c r="AA924" s="420"/>
    </row>
    <row r="925">
      <c r="A925" s="420"/>
      <c r="B925" s="420"/>
      <c r="C925" s="420"/>
      <c r="D925" s="420"/>
      <c r="E925" s="420"/>
      <c r="F925" s="420"/>
      <c r="G925" s="420"/>
      <c r="H925" s="421"/>
      <c r="I925" s="420"/>
      <c r="J925" s="420"/>
      <c r="K925" s="420"/>
      <c r="L925" s="420"/>
      <c r="M925" s="420"/>
      <c r="N925" s="420"/>
      <c r="O925" s="420"/>
      <c r="P925" s="420"/>
      <c r="Q925" s="420"/>
      <c r="R925" s="420"/>
      <c r="S925" s="420"/>
      <c r="T925" s="420"/>
      <c r="U925" s="420"/>
      <c r="V925" s="420"/>
      <c r="W925" s="420"/>
      <c r="X925" s="420"/>
      <c r="Y925" s="420"/>
      <c r="Z925" s="420"/>
      <c r="AA925" s="420"/>
    </row>
    <row r="926">
      <c r="A926" s="420"/>
      <c r="B926" s="420"/>
      <c r="C926" s="420"/>
      <c r="D926" s="420"/>
      <c r="E926" s="420"/>
      <c r="F926" s="420"/>
      <c r="G926" s="420"/>
      <c r="H926" s="421"/>
      <c r="I926" s="420"/>
      <c r="J926" s="420"/>
      <c r="K926" s="420"/>
      <c r="L926" s="420"/>
      <c r="M926" s="420"/>
      <c r="N926" s="420"/>
      <c r="O926" s="420"/>
      <c r="P926" s="420"/>
      <c r="Q926" s="420"/>
      <c r="R926" s="420"/>
      <c r="S926" s="420"/>
      <c r="T926" s="420"/>
      <c r="U926" s="420"/>
      <c r="V926" s="420"/>
      <c r="W926" s="420"/>
      <c r="X926" s="420"/>
      <c r="Y926" s="420"/>
      <c r="Z926" s="420"/>
      <c r="AA926" s="420"/>
    </row>
    <row r="927">
      <c r="A927" s="420"/>
      <c r="B927" s="420"/>
      <c r="C927" s="420"/>
      <c r="D927" s="420"/>
      <c r="E927" s="420"/>
      <c r="F927" s="420"/>
      <c r="G927" s="420"/>
      <c r="H927" s="421"/>
      <c r="I927" s="420"/>
      <c r="J927" s="420"/>
      <c r="K927" s="420"/>
      <c r="L927" s="420"/>
      <c r="M927" s="420"/>
      <c r="N927" s="420"/>
      <c r="O927" s="420"/>
      <c r="P927" s="420"/>
      <c r="Q927" s="420"/>
      <c r="R927" s="420"/>
      <c r="S927" s="420"/>
      <c r="T927" s="420"/>
      <c r="U927" s="420"/>
      <c r="V927" s="420"/>
      <c r="W927" s="420"/>
      <c r="X927" s="420"/>
      <c r="Y927" s="420"/>
      <c r="Z927" s="420"/>
      <c r="AA927" s="420"/>
    </row>
    <row r="928">
      <c r="A928" s="420"/>
      <c r="B928" s="420"/>
      <c r="C928" s="420"/>
      <c r="D928" s="420"/>
      <c r="E928" s="420"/>
      <c r="F928" s="420"/>
      <c r="G928" s="420"/>
      <c r="H928" s="421"/>
      <c r="I928" s="420"/>
      <c r="J928" s="420"/>
      <c r="K928" s="420"/>
      <c r="L928" s="420"/>
      <c r="M928" s="420"/>
      <c r="N928" s="420"/>
      <c r="O928" s="420"/>
      <c r="P928" s="420"/>
      <c r="Q928" s="420"/>
      <c r="R928" s="420"/>
      <c r="S928" s="420"/>
      <c r="T928" s="420"/>
      <c r="U928" s="420"/>
      <c r="V928" s="420"/>
      <c r="W928" s="420"/>
      <c r="X928" s="420"/>
      <c r="Y928" s="420"/>
      <c r="Z928" s="420"/>
      <c r="AA928" s="420"/>
    </row>
    <row r="929">
      <c r="A929" s="420"/>
      <c r="B929" s="420"/>
      <c r="C929" s="420"/>
      <c r="D929" s="420"/>
      <c r="E929" s="420"/>
      <c r="F929" s="420"/>
      <c r="G929" s="420"/>
      <c r="H929" s="421"/>
      <c r="I929" s="420"/>
      <c r="J929" s="420"/>
      <c r="K929" s="420"/>
      <c r="L929" s="420"/>
      <c r="M929" s="420"/>
      <c r="N929" s="420"/>
      <c r="O929" s="420"/>
      <c r="P929" s="420"/>
      <c r="Q929" s="420"/>
      <c r="R929" s="420"/>
      <c r="S929" s="420"/>
      <c r="T929" s="420"/>
      <c r="U929" s="420"/>
      <c r="V929" s="420"/>
      <c r="W929" s="420"/>
      <c r="X929" s="420"/>
      <c r="Y929" s="420"/>
      <c r="Z929" s="420"/>
      <c r="AA929" s="420"/>
    </row>
    <row r="930">
      <c r="A930" s="420"/>
      <c r="B930" s="420"/>
      <c r="C930" s="420"/>
      <c r="D930" s="420"/>
      <c r="E930" s="420"/>
      <c r="F930" s="420"/>
      <c r="G930" s="420"/>
      <c r="H930" s="421"/>
      <c r="I930" s="420"/>
      <c r="J930" s="420"/>
      <c r="K930" s="420"/>
      <c r="L930" s="420"/>
      <c r="M930" s="420"/>
      <c r="N930" s="420"/>
      <c r="O930" s="420"/>
      <c r="P930" s="420"/>
      <c r="Q930" s="420"/>
      <c r="R930" s="420"/>
      <c r="S930" s="420"/>
      <c r="T930" s="420"/>
      <c r="U930" s="420"/>
      <c r="V930" s="420"/>
      <c r="W930" s="420"/>
      <c r="X930" s="420"/>
      <c r="Y930" s="420"/>
      <c r="Z930" s="420"/>
      <c r="AA930" s="420"/>
    </row>
    <row r="931">
      <c r="A931" s="420"/>
      <c r="B931" s="420"/>
      <c r="C931" s="420"/>
      <c r="D931" s="420"/>
      <c r="E931" s="420"/>
      <c r="F931" s="420"/>
      <c r="G931" s="420"/>
      <c r="H931" s="421"/>
      <c r="I931" s="420"/>
      <c r="J931" s="420"/>
      <c r="K931" s="420"/>
      <c r="L931" s="420"/>
      <c r="M931" s="420"/>
      <c r="N931" s="420"/>
      <c r="O931" s="420"/>
      <c r="P931" s="420"/>
      <c r="Q931" s="420"/>
      <c r="R931" s="420"/>
      <c r="S931" s="420"/>
      <c r="T931" s="420"/>
      <c r="U931" s="420"/>
      <c r="V931" s="420"/>
      <c r="W931" s="420"/>
      <c r="X931" s="420"/>
      <c r="Y931" s="420"/>
      <c r="Z931" s="420"/>
      <c r="AA931" s="420"/>
    </row>
    <row r="932">
      <c r="A932" s="420"/>
      <c r="B932" s="420"/>
      <c r="C932" s="420"/>
      <c r="D932" s="420"/>
      <c r="E932" s="420"/>
      <c r="F932" s="420"/>
      <c r="G932" s="420"/>
      <c r="H932" s="421"/>
      <c r="I932" s="420"/>
      <c r="J932" s="420"/>
      <c r="K932" s="420"/>
      <c r="L932" s="420"/>
      <c r="M932" s="420"/>
      <c r="N932" s="420"/>
      <c r="O932" s="420"/>
      <c r="P932" s="420"/>
      <c r="Q932" s="420"/>
      <c r="R932" s="420"/>
      <c r="S932" s="420"/>
      <c r="T932" s="420"/>
      <c r="U932" s="420"/>
      <c r="V932" s="420"/>
      <c r="W932" s="420"/>
      <c r="X932" s="420"/>
      <c r="Y932" s="420"/>
      <c r="Z932" s="420"/>
      <c r="AA932" s="420"/>
    </row>
    <row r="933">
      <c r="A933" s="420"/>
      <c r="B933" s="420"/>
      <c r="C933" s="420"/>
      <c r="D933" s="420"/>
      <c r="E933" s="420"/>
      <c r="F933" s="420"/>
      <c r="G933" s="420"/>
      <c r="H933" s="421"/>
      <c r="I933" s="420"/>
      <c r="J933" s="420"/>
      <c r="K933" s="420"/>
      <c r="L933" s="420"/>
      <c r="M933" s="420"/>
      <c r="N933" s="420"/>
      <c r="O933" s="420"/>
      <c r="P933" s="420"/>
      <c r="Q933" s="420"/>
      <c r="R933" s="420"/>
      <c r="S933" s="420"/>
      <c r="T933" s="420"/>
      <c r="U933" s="420"/>
      <c r="V933" s="420"/>
      <c r="W933" s="420"/>
      <c r="X933" s="420"/>
      <c r="Y933" s="420"/>
      <c r="Z933" s="420"/>
      <c r="AA933" s="420"/>
    </row>
    <row r="934">
      <c r="A934" s="420"/>
      <c r="B934" s="420"/>
      <c r="C934" s="420"/>
      <c r="D934" s="420"/>
      <c r="E934" s="420"/>
      <c r="F934" s="420"/>
      <c r="G934" s="420"/>
      <c r="H934" s="421"/>
      <c r="I934" s="420"/>
      <c r="J934" s="420"/>
      <c r="K934" s="420"/>
      <c r="L934" s="420"/>
      <c r="M934" s="420"/>
      <c r="N934" s="420"/>
      <c r="O934" s="420"/>
      <c r="P934" s="420"/>
      <c r="Q934" s="420"/>
      <c r="R934" s="420"/>
      <c r="S934" s="420"/>
      <c r="T934" s="420"/>
      <c r="U934" s="420"/>
      <c r="V934" s="420"/>
      <c r="W934" s="420"/>
      <c r="X934" s="420"/>
      <c r="Y934" s="420"/>
      <c r="Z934" s="420"/>
      <c r="AA934" s="420"/>
    </row>
    <row r="935">
      <c r="A935" s="420"/>
      <c r="B935" s="420"/>
      <c r="C935" s="420"/>
      <c r="D935" s="420"/>
      <c r="E935" s="420"/>
      <c r="F935" s="420"/>
      <c r="G935" s="420"/>
      <c r="H935" s="421"/>
      <c r="I935" s="420"/>
      <c r="J935" s="420"/>
      <c r="K935" s="420"/>
      <c r="L935" s="420"/>
      <c r="M935" s="420"/>
      <c r="N935" s="420"/>
      <c r="O935" s="420"/>
      <c r="P935" s="420"/>
      <c r="Q935" s="420"/>
      <c r="R935" s="420"/>
      <c r="S935" s="420"/>
      <c r="T935" s="420"/>
      <c r="U935" s="420"/>
      <c r="V935" s="420"/>
      <c r="W935" s="420"/>
      <c r="X935" s="420"/>
      <c r="Y935" s="420"/>
      <c r="Z935" s="420"/>
      <c r="AA935" s="420"/>
    </row>
    <row r="936">
      <c r="A936" s="420"/>
      <c r="B936" s="420"/>
      <c r="C936" s="420"/>
      <c r="D936" s="420"/>
      <c r="E936" s="420"/>
      <c r="F936" s="420"/>
      <c r="G936" s="420"/>
      <c r="H936" s="421"/>
      <c r="I936" s="420"/>
      <c r="J936" s="420"/>
      <c r="K936" s="420"/>
      <c r="L936" s="420"/>
      <c r="M936" s="420"/>
      <c r="N936" s="420"/>
      <c r="O936" s="420"/>
      <c r="P936" s="420"/>
      <c r="Q936" s="420"/>
      <c r="R936" s="420"/>
      <c r="S936" s="420"/>
      <c r="T936" s="420"/>
      <c r="U936" s="420"/>
      <c r="V936" s="420"/>
      <c r="W936" s="420"/>
      <c r="X936" s="420"/>
      <c r="Y936" s="420"/>
      <c r="Z936" s="420"/>
      <c r="AA936" s="420"/>
    </row>
    <row r="937">
      <c r="A937" s="420"/>
      <c r="B937" s="420"/>
      <c r="C937" s="420"/>
      <c r="D937" s="420"/>
      <c r="E937" s="420"/>
      <c r="F937" s="420"/>
      <c r="G937" s="420"/>
      <c r="H937" s="421"/>
      <c r="I937" s="420"/>
      <c r="J937" s="420"/>
      <c r="K937" s="420"/>
      <c r="L937" s="420"/>
      <c r="M937" s="420"/>
      <c r="N937" s="420"/>
      <c r="O937" s="420"/>
      <c r="P937" s="420"/>
      <c r="Q937" s="420"/>
      <c r="R937" s="420"/>
      <c r="S937" s="420"/>
      <c r="T937" s="420"/>
      <c r="U937" s="420"/>
      <c r="V937" s="420"/>
      <c r="W937" s="420"/>
      <c r="X937" s="420"/>
      <c r="Y937" s="420"/>
      <c r="Z937" s="420"/>
      <c r="AA937" s="420"/>
    </row>
    <row r="938">
      <c r="A938" s="420"/>
      <c r="B938" s="420"/>
      <c r="C938" s="420"/>
      <c r="D938" s="420"/>
      <c r="E938" s="420"/>
      <c r="F938" s="420"/>
      <c r="G938" s="420"/>
      <c r="H938" s="421"/>
      <c r="I938" s="420"/>
      <c r="J938" s="420"/>
      <c r="K938" s="420"/>
      <c r="L938" s="420"/>
      <c r="M938" s="420"/>
      <c r="N938" s="420"/>
      <c r="O938" s="420"/>
      <c r="P938" s="420"/>
      <c r="Q938" s="420"/>
      <c r="R938" s="420"/>
      <c r="S938" s="420"/>
      <c r="T938" s="420"/>
      <c r="U938" s="420"/>
      <c r="V938" s="420"/>
      <c r="W938" s="420"/>
      <c r="X938" s="420"/>
      <c r="Y938" s="420"/>
      <c r="Z938" s="420"/>
      <c r="AA938" s="420"/>
    </row>
    <row r="939">
      <c r="A939" s="420"/>
      <c r="B939" s="420"/>
      <c r="C939" s="420"/>
      <c r="D939" s="420"/>
      <c r="E939" s="420"/>
      <c r="F939" s="420"/>
      <c r="G939" s="420"/>
      <c r="H939" s="421"/>
      <c r="I939" s="420"/>
      <c r="J939" s="420"/>
      <c r="K939" s="420"/>
      <c r="L939" s="420"/>
      <c r="M939" s="420"/>
      <c r="N939" s="420"/>
      <c r="O939" s="420"/>
      <c r="P939" s="420"/>
      <c r="Q939" s="420"/>
      <c r="R939" s="420"/>
      <c r="S939" s="420"/>
      <c r="T939" s="420"/>
      <c r="U939" s="420"/>
      <c r="V939" s="420"/>
      <c r="W939" s="420"/>
      <c r="X939" s="420"/>
      <c r="Y939" s="420"/>
      <c r="Z939" s="420"/>
      <c r="AA939" s="420"/>
    </row>
    <row r="940">
      <c r="A940" s="420"/>
      <c r="B940" s="420"/>
      <c r="C940" s="420"/>
      <c r="D940" s="420"/>
      <c r="E940" s="420"/>
      <c r="F940" s="420"/>
      <c r="G940" s="420"/>
      <c r="H940" s="421"/>
      <c r="I940" s="420"/>
      <c r="J940" s="420"/>
      <c r="K940" s="420"/>
      <c r="L940" s="420"/>
      <c r="M940" s="420"/>
      <c r="N940" s="420"/>
      <c r="O940" s="420"/>
      <c r="P940" s="420"/>
      <c r="Q940" s="420"/>
      <c r="R940" s="420"/>
      <c r="S940" s="420"/>
      <c r="T940" s="420"/>
      <c r="U940" s="420"/>
      <c r="V940" s="420"/>
      <c r="W940" s="420"/>
      <c r="X940" s="420"/>
      <c r="Y940" s="420"/>
      <c r="Z940" s="420"/>
      <c r="AA940" s="420"/>
    </row>
    <row r="941">
      <c r="A941" s="420"/>
      <c r="B941" s="420"/>
      <c r="C941" s="420"/>
      <c r="D941" s="420"/>
      <c r="E941" s="420"/>
      <c r="F941" s="420"/>
      <c r="G941" s="420"/>
      <c r="H941" s="421"/>
      <c r="I941" s="420"/>
      <c r="J941" s="420"/>
      <c r="K941" s="420"/>
      <c r="L941" s="420"/>
      <c r="M941" s="420"/>
      <c r="N941" s="420"/>
      <c r="O941" s="420"/>
      <c r="P941" s="420"/>
      <c r="Q941" s="420"/>
      <c r="R941" s="420"/>
      <c r="S941" s="420"/>
      <c r="T941" s="420"/>
      <c r="U941" s="420"/>
      <c r="V941" s="420"/>
      <c r="W941" s="420"/>
      <c r="X941" s="420"/>
      <c r="Y941" s="420"/>
      <c r="Z941" s="420"/>
      <c r="AA941" s="420"/>
    </row>
    <row r="942">
      <c r="A942" s="420"/>
      <c r="B942" s="420"/>
      <c r="C942" s="420"/>
      <c r="D942" s="420"/>
      <c r="E942" s="420"/>
      <c r="F942" s="420"/>
      <c r="G942" s="420"/>
      <c r="H942" s="421"/>
      <c r="I942" s="420"/>
      <c r="J942" s="420"/>
      <c r="K942" s="420"/>
      <c r="L942" s="420"/>
      <c r="M942" s="420"/>
      <c r="N942" s="420"/>
      <c r="O942" s="420"/>
      <c r="P942" s="420"/>
      <c r="Q942" s="420"/>
      <c r="R942" s="420"/>
      <c r="S942" s="420"/>
      <c r="T942" s="420"/>
      <c r="U942" s="420"/>
      <c r="V942" s="420"/>
      <c r="W942" s="420"/>
      <c r="X942" s="420"/>
      <c r="Y942" s="420"/>
      <c r="Z942" s="420"/>
      <c r="AA942" s="420"/>
    </row>
    <row r="943">
      <c r="A943" s="420"/>
      <c r="B943" s="420"/>
      <c r="C943" s="420"/>
      <c r="D943" s="420"/>
      <c r="E943" s="420"/>
      <c r="F943" s="420"/>
      <c r="G943" s="420"/>
      <c r="H943" s="421"/>
      <c r="I943" s="420"/>
      <c r="J943" s="420"/>
      <c r="K943" s="420"/>
      <c r="L943" s="420"/>
      <c r="M943" s="420"/>
      <c r="N943" s="420"/>
      <c r="O943" s="420"/>
      <c r="P943" s="420"/>
      <c r="Q943" s="420"/>
      <c r="R943" s="420"/>
      <c r="S943" s="420"/>
      <c r="T943" s="420"/>
      <c r="U943" s="420"/>
      <c r="V943" s="420"/>
      <c r="W943" s="420"/>
      <c r="X943" s="420"/>
      <c r="Y943" s="420"/>
      <c r="Z943" s="420"/>
      <c r="AA943" s="420"/>
    </row>
    <row r="944">
      <c r="A944" s="420"/>
      <c r="B944" s="420"/>
      <c r="C944" s="420"/>
      <c r="D944" s="420"/>
      <c r="E944" s="420"/>
      <c r="F944" s="420"/>
      <c r="G944" s="420"/>
      <c r="H944" s="421"/>
      <c r="I944" s="420"/>
      <c r="J944" s="420"/>
      <c r="K944" s="420"/>
      <c r="L944" s="420"/>
      <c r="M944" s="420"/>
      <c r="N944" s="420"/>
      <c r="O944" s="420"/>
      <c r="P944" s="420"/>
      <c r="Q944" s="420"/>
      <c r="R944" s="420"/>
      <c r="S944" s="420"/>
      <c r="T944" s="420"/>
      <c r="U944" s="420"/>
      <c r="V944" s="420"/>
      <c r="W944" s="420"/>
      <c r="X944" s="420"/>
      <c r="Y944" s="420"/>
      <c r="Z944" s="420"/>
      <c r="AA944" s="420"/>
    </row>
    <row r="945">
      <c r="A945" s="420"/>
      <c r="B945" s="420"/>
      <c r="C945" s="420"/>
      <c r="D945" s="420"/>
      <c r="E945" s="420"/>
      <c r="F945" s="420"/>
      <c r="G945" s="420"/>
      <c r="H945" s="421"/>
      <c r="I945" s="420"/>
      <c r="J945" s="420"/>
      <c r="K945" s="420"/>
      <c r="L945" s="420"/>
      <c r="M945" s="420"/>
      <c r="N945" s="420"/>
      <c r="O945" s="420"/>
      <c r="P945" s="420"/>
      <c r="Q945" s="420"/>
      <c r="R945" s="420"/>
      <c r="S945" s="420"/>
      <c r="T945" s="420"/>
      <c r="U945" s="420"/>
      <c r="V945" s="420"/>
      <c r="W945" s="420"/>
      <c r="X945" s="420"/>
      <c r="Y945" s="420"/>
      <c r="Z945" s="420"/>
      <c r="AA945" s="420"/>
    </row>
    <row r="946">
      <c r="A946" s="420"/>
      <c r="B946" s="420"/>
      <c r="C946" s="420"/>
      <c r="D946" s="420"/>
      <c r="E946" s="420"/>
      <c r="F946" s="420"/>
      <c r="G946" s="420"/>
      <c r="H946" s="421"/>
      <c r="I946" s="420"/>
      <c r="J946" s="420"/>
      <c r="K946" s="420"/>
      <c r="L946" s="420"/>
      <c r="M946" s="420"/>
      <c r="N946" s="420"/>
      <c r="O946" s="420"/>
      <c r="P946" s="420"/>
      <c r="Q946" s="420"/>
      <c r="R946" s="420"/>
      <c r="S946" s="420"/>
      <c r="T946" s="420"/>
      <c r="U946" s="420"/>
      <c r="V946" s="420"/>
      <c r="W946" s="420"/>
      <c r="X946" s="420"/>
      <c r="Y946" s="420"/>
      <c r="Z946" s="420"/>
      <c r="AA946" s="420"/>
    </row>
    <row r="947">
      <c r="A947" s="420"/>
      <c r="B947" s="420"/>
      <c r="C947" s="420"/>
      <c r="D947" s="420"/>
      <c r="E947" s="420"/>
      <c r="F947" s="420"/>
      <c r="G947" s="420"/>
      <c r="H947" s="421"/>
      <c r="I947" s="420"/>
      <c r="J947" s="420"/>
      <c r="K947" s="420"/>
      <c r="L947" s="420"/>
      <c r="M947" s="420"/>
      <c r="N947" s="420"/>
      <c r="O947" s="420"/>
      <c r="P947" s="420"/>
      <c r="Q947" s="420"/>
      <c r="R947" s="420"/>
      <c r="S947" s="420"/>
      <c r="T947" s="420"/>
      <c r="U947" s="420"/>
      <c r="V947" s="420"/>
      <c r="W947" s="420"/>
      <c r="X947" s="420"/>
      <c r="Y947" s="420"/>
      <c r="Z947" s="420"/>
      <c r="AA947" s="420"/>
    </row>
    <row r="948">
      <c r="A948" s="420"/>
      <c r="B948" s="420"/>
      <c r="C948" s="420"/>
      <c r="D948" s="420"/>
      <c r="E948" s="420"/>
      <c r="F948" s="420"/>
      <c r="G948" s="420"/>
      <c r="H948" s="421"/>
      <c r="I948" s="420"/>
      <c r="J948" s="420"/>
      <c r="K948" s="420"/>
      <c r="L948" s="420"/>
      <c r="M948" s="420"/>
      <c r="N948" s="420"/>
      <c r="O948" s="420"/>
      <c r="P948" s="420"/>
      <c r="Q948" s="420"/>
      <c r="R948" s="420"/>
      <c r="S948" s="420"/>
      <c r="T948" s="420"/>
      <c r="U948" s="420"/>
      <c r="V948" s="420"/>
      <c r="W948" s="420"/>
      <c r="X948" s="420"/>
      <c r="Y948" s="420"/>
      <c r="Z948" s="420"/>
      <c r="AA948" s="420"/>
    </row>
    <row r="949">
      <c r="A949" s="420"/>
      <c r="B949" s="420"/>
      <c r="C949" s="420"/>
      <c r="D949" s="420"/>
      <c r="E949" s="420"/>
      <c r="F949" s="420"/>
      <c r="G949" s="420"/>
      <c r="H949" s="421"/>
      <c r="I949" s="420"/>
      <c r="J949" s="420"/>
      <c r="K949" s="420"/>
      <c r="L949" s="420"/>
      <c r="M949" s="420"/>
      <c r="N949" s="420"/>
      <c r="O949" s="420"/>
      <c r="P949" s="420"/>
      <c r="Q949" s="420"/>
      <c r="R949" s="420"/>
      <c r="S949" s="420"/>
      <c r="T949" s="420"/>
      <c r="U949" s="420"/>
      <c r="V949" s="420"/>
      <c r="W949" s="420"/>
      <c r="X949" s="420"/>
      <c r="Y949" s="420"/>
      <c r="Z949" s="420"/>
      <c r="AA949" s="420"/>
    </row>
    <row r="950">
      <c r="A950" s="420"/>
      <c r="B950" s="420"/>
      <c r="C950" s="420"/>
      <c r="D950" s="420"/>
      <c r="E950" s="420"/>
      <c r="F950" s="420"/>
      <c r="G950" s="420"/>
      <c r="H950" s="421"/>
      <c r="I950" s="420"/>
      <c r="J950" s="420"/>
      <c r="K950" s="420"/>
      <c r="L950" s="420"/>
      <c r="M950" s="420"/>
      <c r="N950" s="420"/>
      <c r="O950" s="420"/>
      <c r="P950" s="420"/>
      <c r="Q950" s="420"/>
      <c r="R950" s="420"/>
      <c r="S950" s="420"/>
      <c r="T950" s="420"/>
      <c r="U950" s="420"/>
      <c r="V950" s="420"/>
      <c r="W950" s="420"/>
      <c r="X950" s="420"/>
      <c r="Y950" s="420"/>
      <c r="Z950" s="420"/>
      <c r="AA950" s="420"/>
    </row>
    <row r="951">
      <c r="A951" s="420"/>
      <c r="B951" s="420"/>
      <c r="C951" s="420"/>
      <c r="D951" s="420"/>
      <c r="E951" s="420"/>
      <c r="F951" s="420"/>
      <c r="G951" s="420"/>
      <c r="H951" s="421"/>
      <c r="I951" s="420"/>
      <c r="J951" s="420"/>
      <c r="K951" s="420"/>
      <c r="L951" s="420"/>
      <c r="M951" s="420"/>
      <c r="N951" s="420"/>
      <c r="O951" s="420"/>
      <c r="P951" s="420"/>
      <c r="Q951" s="420"/>
      <c r="R951" s="420"/>
      <c r="S951" s="420"/>
      <c r="T951" s="420"/>
      <c r="U951" s="420"/>
      <c r="V951" s="420"/>
      <c r="W951" s="420"/>
      <c r="X951" s="420"/>
      <c r="Y951" s="420"/>
      <c r="Z951" s="420"/>
      <c r="AA951" s="420"/>
    </row>
    <row r="952">
      <c r="A952" s="420"/>
      <c r="B952" s="420"/>
      <c r="C952" s="420"/>
      <c r="D952" s="420"/>
      <c r="E952" s="420"/>
      <c r="F952" s="420"/>
      <c r="G952" s="420"/>
      <c r="H952" s="421"/>
      <c r="I952" s="420"/>
      <c r="J952" s="420"/>
      <c r="K952" s="420"/>
      <c r="L952" s="420"/>
      <c r="M952" s="420"/>
      <c r="N952" s="420"/>
      <c r="O952" s="420"/>
      <c r="P952" s="420"/>
      <c r="Q952" s="420"/>
      <c r="R952" s="420"/>
      <c r="S952" s="420"/>
      <c r="T952" s="420"/>
      <c r="U952" s="420"/>
      <c r="V952" s="420"/>
      <c r="W952" s="420"/>
      <c r="X952" s="420"/>
      <c r="Y952" s="420"/>
      <c r="Z952" s="420"/>
      <c r="AA952" s="420"/>
    </row>
    <row r="953">
      <c r="A953" s="420"/>
      <c r="B953" s="420"/>
      <c r="C953" s="420"/>
      <c r="D953" s="420"/>
      <c r="E953" s="420"/>
      <c r="F953" s="420"/>
      <c r="G953" s="420"/>
      <c r="H953" s="421"/>
      <c r="I953" s="420"/>
      <c r="J953" s="420"/>
      <c r="K953" s="420"/>
      <c r="L953" s="420"/>
      <c r="M953" s="420"/>
      <c r="N953" s="420"/>
      <c r="O953" s="420"/>
      <c r="P953" s="420"/>
      <c r="Q953" s="420"/>
      <c r="R953" s="420"/>
      <c r="S953" s="420"/>
      <c r="T953" s="420"/>
      <c r="U953" s="420"/>
      <c r="V953" s="420"/>
      <c r="W953" s="420"/>
      <c r="X953" s="420"/>
      <c r="Y953" s="420"/>
      <c r="Z953" s="420"/>
      <c r="AA953" s="420"/>
    </row>
    <row r="954">
      <c r="A954" s="420"/>
      <c r="B954" s="420"/>
      <c r="C954" s="420"/>
      <c r="D954" s="420"/>
      <c r="E954" s="420"/>
      <c r="F954" s="420"/>
      <c r="G954" s="420"/>
      <c r="H954" s="421"/>
      <c r="I954" s="420"/>
      <c r="J954" s="420"/>
      <c r="K954" s="420"/>
      <c r="L954" s="420"/>
      <c r="M954" s="420"/>
      <c r="N954" s="420"/>
      <c r="O954" s="420"/>
      <c r="P954" s="420"/>
      <c r="Q954" s="420"/>
      <c r="R954" s="420"/>
      <c r="S954" s="420"/>
      <c r="T954" s="420"/>
      <c r="U954" s="420"/>
      <c r="V954" s="420"/>
      <c r="W954" s="420"/>
      <c r="X954" s="420"/>
      <c r="Y954" s="420"/>
      <c r="Z954" s="420"/>
      <c r="AA954" s="420"/>
    </row>
    <row r="955">
      <c r="A955" s="420"/>
      <c r="B955" s="420"/>
      <c r="C955" s="420"/>
      <c r="D955" s="420"/>
      <c r="E955" s="420"/>
      <c r="F955" s="420"/>
      <c r="G955" s="420"/>
      <c r="H955" s="421"/>
      <c r="I955" s="420"/>
      <c r="J955" s="420"/>
      <c r="K955" s="420"/>
      <c r="L955" s="420"/>
      <c r="M955" s="420"/>
      <c r="N955" s="420"/>
      <c r="O955" s="420"/>
      <c r="P955" s="420"/>
      <c r="Q955" s="420"/>
      <c r="R955" s="420"/>
      <c r="S955" s="420"/>
      <c r="T955" s="420"/>
      <c r="U955" s="420"/>
      <c r="V955" s="420"/>
      <c r="W955" s="420"/>
      <c r="X955" s="420"/>
      <c r="Y955" s="420"/>
      <c r="Z955" s="420"/>
      <c r="AA955" s="420"/>
    </row>
    <row r="956">
      <c r="A956" s="420"/>
      <c r="B956" s="420"/>
      <c r="C956" s="420"/>
      <c r="D956" s="420"/>
      <c r="E956" s="420"/>
      <c r="F956" s="420"/>
      <c r="G956" s="420"/>
      <c r="H956" s="421"/>
      <c r="I956" s="420"/>
      <c r="J956" s="420"/>
      <c r="K956" s="420"/>
      <c r="L956" s="420"/>
      <c r="M956" s="420"/>
      <c r="N956" s="420"/>
      <c r="O956" s="420"/>
      <c r="P956" s="420"/>
      <c r="Q956" s="420"/>
      <c r="R956" s="420"/>
      <c r="S956" s="420"/>
      <c r="T956" s="420"/>
      <c r="U956" s="420"/>
      <c r="V956" s="420"/>
      <c r="W956" s="420"/>
      <c r="X956" s="420"/>
      <c r="Y956" s="420"/>
      <c r="Z956" s="420"/>
      <c r="AA956" s="420"/>
    </row>
    <row r="957">
      <c r="A957" s="420"/>
      <c r="B957" s="420"/>
      <c r="C957" s="420"/>
      <c r="D957" s="420"/>
      <c r="E957" s="420"/>
      <c r="F957" s="420"/>
      <c r="G957" s="420"/>
      <c r="H957" s="421"/>
      <c r="I957" s="420"/>
      <c r="J957" s="420"/>
      <c r="K957" s="420"/>
      <c r="L957" s="420"/>
      <c r="M957" s="420"/>
      <c r="N957" s="420"/>
      <c r="O957" s="420"/>
      <c r="P957" s="420"/>
      <c r="Q957" s="420"/>
      <c r="R957" s="420"/>
      <c r="S957" s="420"/>
      <c r="T957" s="420"/>
      <c r="U957" s="420"/>
      <c r="V957" s="420"/>
      <c r="W957" s="420"/>
      <c r="X957" s="420"/>
      <c r="Y957" s="420"/>
      <c r="Z957" s="420"/>
      <c r="AA957" s="420"/>
    </row>
    <row r="958">
      <c r="A958" s="420"/>
      <c r="B958" s="420"/>
      <c r="C958" s="420"/>
      <c r="D958" s="420"/>
      <c r="E958" s="420"/>
      <c r="F958" s="420"/>
      <c r="G958" s="420"/>
      <c r="H958" s="421"/>
      <c r="I958" s="420"/>
      <c r="J958" s="420"/>
      <c r="K958" s="420"/>
      <c r="L958" s="420"/>
      <c r="M958" s="420"/>
      <c r="N958" s="420"/>
      <c r="O958" s="420"/>
      <c r="P958" s="420"/>
      <c r="Q958" s="420"/>
      <c r="R958" s="420"/>
      <c r="S958" s="420"/>
      <c r="T958" s="420"/>
      <c r="U958" s="420"/>
      <c r="V958" s="420"/>
      <c r="W958" s="420"/>
      <c r="X958" s="420"/>
      <c r="Y958" s="420"/>
      <c r="Z958" s="420"/>
      <c r="AA958" s="420"/>
    </row>
    <row r="959">
      <c r="A959" s="420"/>
      <c r="B959" s="420"/>
      <c r="C959" s="420"/>
      <c r="D959" s="420"/>
      <c r="E959" s="420"/>
      <c r="F959" s="420"/>
      <c r="G959" s="420"/>
      <c r="H959" s="421"/>
      <c r="I959" s="420"/>
      <c r="J959" s="420"/>
      <c r="K959" s="420"/>
      <c r="L959" s="420"/>
      <c r="M959" s="420"/>
      <c r="N959" s="420"/>
      <c r="O959" s="420"/>
      <c r="P959" s="420"/>
      <c r="Q959" s="420"/>
      <c r="R959" s="420"/>
      <c r="S959" s="420"/>
      <c r="T959" s="420"/>
      <c r="U959" s="420"/>
      <c r="V959" s="420"/>
      <c r="W959" s="420"/>
      <c r="X959" s="420"/>
      <c r="Y959" s="420"/>
      <c r="Z959" s="420"/>
      <c r="AA959" s="420"/>
    </row>
    <row r="960">
      <c r="A960" s="420"/>
      <c r="B960" s="420"/>
      <c r="C960" s="420"/>
      <c r="D960" s="420"/>
      <c r="E960" s="420"/>
      <c r="F960" s="420"/>
      <c r="G960" s="420"/>
      <c r="H960" s="421"/>
      <c r="I960" s="420"/>
      <c r="J960" s="420"/>
      <c r="K960" s="420"/>
      <c r="L960" s="420"/>
      <c r="M960" s="420"/>
      <c r="N960" s="420"/>
      <c r="O960" s="420"/>
      <c r="P960" s="420"/>
      <c r="Q960" s="420"/>
      <c r="R960" s="420"/>
      <c r="S960" s="420"/>
      <c r="T960" s="420"/>
      <c r="U960" s="420"/>
      <c r="V960" s="420"/>
      <c r="W960" s="420"/>
      <c r="X960" s="420"/>
      <c r="Y960" s="420"/>
      <c r="Z960" s="420"/>
      <c r="AA960" s="420"/>
    </row>
    <row r="961">
      <c r="A961" s="420"/>
      <c r="B961" s="420"/>
      <c r="C961" s="420"/>
      <c r="D961" s="420"/>
      <c r="E961" s="420"/>
      <c r="F961" s="420"/>
      <c r="G961" s="420"/>
      <c r="H961" s="421"/>
      <c r="I961" s="420"/>
      <c r="J961" s="420"/>
      <c r="K961" s="420"/>
      <c r="L961" s="420"/>
      <c r="M961" s="420"/>
      <c r="N961" s="420"/>
      <c r="O961" s="420"/>
      <c r="P961" s="420"/>
      <c r="Q961" s="420"/>
      <c r="R961" s="420"/>
      <c r="S961" s="420"/>
      <c r="T961" s="420"/>
      <c r="U961" s="420"/>
      <c r="V961" s="420"/>
      <c r="W961" s="420"/>
      <c r="X961" s="420"/>
      <c r="Y961" s="420"/>
      <c r="Z961" s="420"/>
      <c r="AA961" s="420"/>
    </row>
    <row r="962">
      <c r="A962" s="420"/>
      <c r="B962" s="420"/>
      <c r="C962" s="420"/>
      <c r="D962" s="420"/>
      <c r="E962" s="420"/>
      <c r="F962" s="420"/>
      <c r="G962" s="420"/>
      <c r="H962" s="421"/>
      <c r="I962" s="420"/>
      <c r="J962" s="420"/>
      <c r="K962" s="420"/>
      <c r="L962" s="420"/>
      <c r="M962" s="420"/>
      <c r="N962" s="420"/>
      <c r="O962" s="420"/>
      <c r="P962" s="420"/>
      <c r="Q962" s="420"/>
      <c r="R962" s="420"/>
      <c r="S962" s="420"/>
      <c r="T962" s="420"/>
      <c r="U962" s="420"/>
      <c r="V962" s="420"/>
      <c r="W962" s="420"/>
      <c r="X962" s="420"/>
      <c r="Y962" s="420"/>
      <c r="Z962" s="420"/>
      <c r="AA962" s="420"/>
    </row>
    <row r="963">
      <c r="A963" s="420"/>
      <c r="B963" s="420"/>
      <c r="C963" s="420"/>
      <c r="D963" s="420"/>
      <c r="E963" s="420"/>
      <c r="F963" s="420"/>
      <c r="G963" s="420"/>
      <c r="H963" s="421"/>
      <c r="I963" s="420"/>
      <c r="J963" s="420"/>
      <c r="K963" s="420"/>
      <c r="L963" s="420"/>
      <c r="M963" s="420"/>
      <c r="N963" s="420"/>
      <c r="O963" s="420"/>
      <c r="P963" s="420"/>
      <c r="Q963" s="420"/>
      <c r="R963" s="420"/>
      <c r="S963" s="420"/>
      <c r="T963" s="420"/>
      <c r="U963" s="420"/>
      <c r="V963" s="420"/>
      <c r="W963" s="420"/>
      <c r="X963" s="420"/>
      <c r="Y963" s="420"/>
      <c r="Z963" s="420"/>
      <c r="AA963" s="420"/>
    </row>
    <row r="964">
      <c r="A964" s="420"/>
      <c r="B964" s="420"/>
      <c r="C964" s="420"/>
      <c r="D964" s="420"/>
      <c r="E964" s="420"/>
      <c r="F964" s="420"/>
      <c r="G964" s="420"/>
      <c r="H964" s="421"/>
      <c r="I964" s="420"/>
      <c r="J964" s="420"/>
      <c r="K964" s="420"/>
      <c r="L964" s="420"/>
      <c r="M964" s="420"/>
      <c r="N964" s="420"/>
      <c r="O964" s="420"/>
      <c r="P964" s="420"/>
      <c r="Q964" s="420"/>
      <c r="R964" s="420"/>
      <c r="S964" s="420"/>
      <c r="T964" s="420"/>
      <c r="U964" s="420"/>
      <c r="V964" s="420"/>
      <c r="W964" s="420"/>
      <c r="X964" s="420"/>
      <c r="Y964" s="420"/>
      <c r="Z964" s="420"/>
      <c r="AA964" s="420"/>
    </row>
    <row r="965">
      <c r="A965" s="420"/>
      <c r="B965" s="420"/>
      <c r="C965" s="420"/>
      <c r="D965" s="420"/>
      <c r="E965" s="420"/>
      <c r="F965" s="420"/>
      <c r="G965" s="420"/>
      <c r="H965" s="421"/>
      <c r="I965" s="420"/>
      <c r="J965" s="420"/>
      <c r="K965" s="420"/>
      <c r="L965" s="420"/>
      <c r="M965" s="420"/>
      <c r="N965" s="420"/>
      <c r="O965" s="420"/>
      <c r="P965" s="420"/>
      <c r="Q965" s="420"/>
      <c r="R965" s="420"/>
      <c r="S965" s="420"/>
      <c r="T965" s="420"/>
      <c r="U965" s="420"/>
      <c r="V965" s="420"/>
      <c r="W965" s="420"/>
      <c r="X965" s="420"/>
      <c r="Y965" s="420"/>
      <c r="Z965" s="420"/>
      <c r="AA965" s="420"/>
    </row>
    <row r="966">
      <c r="A966" s="420"/>
      <c r="B966" s="420"/>
      <c r="C966" s="420"/>
      <c r="D966" s="420"/>
      <c r="E966" s="420"/>
      <c r="F966" s="420"/>
      <c r="G966" s="420"/>
      <c r="H966" s="421"/>
      <c r="I966" s="420"/>
      <c r="J966" s="420"/>
      <c r="K966" s="420"/>
      <c r="L966" s="420"/>
      <c r="M966" s="420"/>
      <c r="N966" s="420"/>
      <c r="O966" s="420"/>
      <c r="P966" s="420"/>
      <c r="Q966" s="420"/>
      <c r="R966" s="420"/>
      <c r="S966" s="420"/>
      <c r="T966" s="420"/>
      <c r="U966" s="420"/>
      <c r="V966" s="420"/>
      <c r="W966" s="420"/>
      <c r="X966" s="420"/>
      <c r="Y966" s="420"/>
      <c r="Z966" s="420"/>
      <c r="AA966" s="420"/>
    </row>
    <row r="967">
      <c r="A967" s="420"/>
      <c r="B967" s="420"/>
      <c r="C967" s="420"/>
      <c r="D967" s="420"/>
      <c r="E967" s="420"/>
      <c r="F967" s="420"/>
      <c r="G967" s="420"/>
      <c r="H967" s="421"/>
      <c r="I967" s="420"/>
      <c r="J967" s="420"/>
      <c r="K967" s="420"/>
      <c r="L967" s="420"/>
      <c r="M967" s="420"/>
      <c r="N967" s="420"/>
      <c r="O967" s="420"/>
      <c r="P967" s="420"/>
      <c r="Q967" s="420"/>
      <c r="R967" s="420"/>
      <c r="S967" s="420"/>
      <c r="T967" s="420"/>
      <c r="U967" s="420"/>
      <c r="V967" s="420"/>
      <c r="W967" s="420"/>
      <c r="X967" s="420"/>
      <c r="Y967" s="420"/>
      <c r="Z967" s="420"/>
      <c r="AA967" s="420"/>
    </row>
    <row r="968">
      <c r="A968" s="420"/>
      <c r="B968" s="420"/>
      <c r="C968" s="420"/>
      <c r="D968" s="420"/>
      <c r="E968" s="420"/>
      <c r="F968" s="420"/>
      <c r="G968" s="420"/>
      <c r="H968" s="421"/>
      <c r="I968" s="420"/>
      <c r="J968" s="420"/>
      <c r="K968" s="420"/>
      <c r="L968" s="420"/>
      <c r="M968" s="420"/>
      <c r="N968" s="420"/>
      <c r="O968" s="420"/>
      <c r="P968" s="420"/>
      <c r="Q968" s="420"/>
      <c r="R968" s="420"/>
      <c r="S968" s="420"/>
      <c r="T968" s="420"/>
      <c r="U968" s="420"/>
      <c r="V968" s="420"/>
      <c r="W968" s="420"/>
      <c r="X968" s="420"/>
      <c r="Y968" s="420"/>
      <c r="Z968" s="420"/>
      <c r="AA968" s="420"/>
    </row>
    <row r="969">
      <c r="A969" s="420"/>
      <c r="B969" s="420"/>
      <c r="C969" s="420"/>
      <c r="D969" s="420"/>
      <c r="E969" s="420"/>
      <c r="F969" s="420"/>
      <c r="G969" s="420"/>
      <c r="H969" s="421"/>
      <c r="I969" s="420"/>
      <c r="J969" s="420"/>
      <c r="K969" s="420"/>
      <c r="L969" s="420"/>
      <c r="M969" s="420"/>
      <c r="N969" s="420"/>
      <c r="O969" s="420"/>
      <c r="P969" s="420"/>
      <c r="Q969" s="420"/>
      <c r="R969" s="420"/>
      <c r="S969" s="420"/>
      <c r="T969" s="420"/>
      <c r="U969" s="420"/>
      <c r="V969" s="420"/>
      <c r="W969" s="420"/>
      <c r="X969" s="420"/>
      <c r="Y969" s="420"/>
      <c r="Z969" s="420"/>
      <c r="AA969" s="420"/>
    </row>
    <row r="970">
      <c r="A970" s="420"/>
      <c r="B970" s="420"/>
      <c r="C970" s="420"/>
      <c r="D970" s="420"/>
      <c r="E970" s="420"/>
      <c r="F970" s="420"/>
      <c r="G970" s="420"/>
      <c r="H970" s="421"/>
      <c r="I970" s="420"/>
      <c r="J970" s="420"/>
      <c r="K970" s="420"/>
      <c r="L970" s="420"/>
      <c r="M970" s="420"/>
      <c r="N970" s="420"/>
      <c r="O970" s="420"/>
      <c r="P970" s="420"/>
      <c r="Q970" s="420"/>
      <c r="R970" s="420"/>
      <c r="S970" s="420"/>
      <c r="T970" s="420"/>
      <c r="U970" s="420"/>
      <c r="V970" s="420"/>
      <c r="W970" s="420"/>
      <c r="X970" s="420"/>
      <c r="Y970" s="420"/>
      <c r="Z970" s="420"/>
      <c r="AA970" s="420"/>
    </row>
    <row r="971">
      <c r="A971" s="420"/>
      <c r="B971" s="420"/>
      <c r="C971" s="420"/>
      <c r="D971" s="420"/>
      <c r="E971" s="420"/>
      <c r="F971" s="420"/>
      <c r="G971" s="420"/>
      <c r="H971" s="421"/>
      <c r="I971" s="420"/>
      <c r="J971" s="420"/>
      <c r="K971" s="420"/>
      <c r="L971" s="420"/>
      <c r="M971" s="420"/>
      <c r="N971" s="420"/>
      <c r="O971" s="420"/>
      <c r="P971" s="420"/>
      <c r="Q971" s="420"/>
      <c r="R971" s="420"/>
      <c r="S971" s="420"/>
      <c r="T971" s="420"/>
      <c r="U971" s="420"/>
      <c r="V971" s="420"/>
      <c r="W971" s="420"/>
      <c r="X971" s="420"/>
      <c r="Y971" s="420"/>
      <c r="Z971" s="420"/>
      <c r="AA971" s="420"/>
    </row>
    <row r="972">
      <c r="A972" s="420"/>
      <c r="B972" s="420"/>
      <c r="C972" s="420"/>
      <c r="D972" s="420"/>
      <c r="E972" s="420"/>
      <c r="F972" s="420"/>
      <c r="G972" s="420"/>
      <c r="H972" s="421"/>
      <c r="I972" s="420"/>
      <c r="J972" s="420"/>
      <c r="K972" s="420"/>
      <c r="L972" s="420"/>
      <c r="M972" s="420"/>
      <c r="N972" s="420"/>
      <c r="O972" s="420"/>
      <c r="P972" s="420"/>
      <c r="Q972" s="420"/>
      <c r="R972" s="420"/>
      <c r="S972" s="420"/>
      <c r="T972" s="420"/>
      <c r="U972" s="420"/>
      <c r="V972" s="420"/>
      <c r="W972" s="420"/>
      <c r="X972" s="420"/>
      <c r="Y972" s="420"/>
      <c r="Z972" s="420"/>
      <c r="AA972" s="420"/>
    </row>
    <row r="973">
      <c r="A973" s="420"/>
      <c r="B973" s="420"/>
      <c r="C973" s="420"/>
      <c r="D973" s="420"/>
      <c r="E973" s="420"/>
      <c r="F973" s="420"/>
      <c r="G973" s="420"/>
      <c r="H973" s="421"/>
      <c r="I973" s="420"/>
      <c r="J973" s="420"/>
      <c r="K973" s="420"/>
      <c r="L973" s="420"/>
      <c r="M973" s="420"/>
      <c r="N973" s="420"/>
      <c r="O973" s="420"/>
      <c r="P973" s="420"/>
      <c r="Q973" s="420"/>
      <c r="R973" s="420"/>
      <c r="S973" s="420"/>
      <c r="T973" s="420"/>
      <c r="U973" s="420"/>
      <c r="V973" s="420"/>
      <c r="W973" s="420"/>
      <c r="X973" s="420"/>
      <c r="Y973" s="420"/>
      <c r="Z973" s="420"/>
      <c r="AA973" s="420"/>
    </row>
    <row r="974">
      <c r="A974" s="420"/>
      <c r="B974" s="420"/>
      <c r="C974" s="420"/>
      <c r="D974" s="420"/>
      <c r="E974" s="420"/>
      <c r="F974" s="420"/>
      <c r="G974" s="420"/>
      <c r="H974" s="421"/>
      <c r="I974" s="420"/>
      <c r="J974" s="420"/>
      <c r="K974" s="420"/>
      <c r="L974" s="420"/>
      <c r="M974" s="420"/>
      <c r="N974" s="420"/>
      <c r="O974" s="420"/>
      <c r="P974" s="420"/>
      <c r="Q974" s="420"/>
      <c r="R974" s="420"/>
      <c r="S974" s="420"/>
      <c r="T974" s="420"/>
      <c r="U974" s="420"/>
      <c r="V974" s="420"/>
      <c r="W974" s="420"/>
      <c r="X974" s="420"/>
      <c r="Y974" s="420"/>
      <c r="Z974" s="420"/>
      <c r="AA974" s="420"/>
    </row>
    <row r="975">
      <c r="A975" s="420"/>
      <c r="B975" s="420"/>
      <c r="C975" s="420"/>
      <c r="D975" s="420"/>
      <c r="E975" s="420"/>
      <c r="F975" s="420"/>
      <c r="G975" s="420"/>
      <c r="H975" s="421"/>
      <c r="I975" s="420"/>
      <c r="J975" s="420"/>
      <c r="K975" s="420"/>
      <c r="L975" s="420"/>
      <c r="M975" s="420"/>
      <c r="N975" s="420"/>
      <c r="O975" s="420"/>
      <c r="P975" s="420"/>
      <c r="Q975" s="420"/>
      <c r="R975" s="420"/>
      <c r="S975" s="420"/>
      <c r="T975" s="420"/>
      <c r="U975" s="420"/>
      <c r="V975" s="420"/>
      <c r="W975" s="420"/>
      <c r="X975" s="420"/>
      <c r="Y975" s="420"/>
      <c r="Z975" s="420"/>
      <c r="AA975" s="420"/>
    </row>
    <row r="976">
      <c r="A976" s="420"/>
      <c r="B976" s="420"/>
      <c r="C976" s="420"/>
      <c r="D976" s="420"/>
      <c r="E976" s="420"/>
      <c r="F976" s="420"/>
      <c r="G976" s="420"/>
      <c r="H976" s="421"/>
      <c r="I976" s="420"/>
      <c r="J976" s="420"/>
      <c r="K976" s="420"/>
      <c r="L976" s="420"/>
      <c r="M976" s="420"/>
      <c r="N976" s="420"/>
      <c r="O976" s="420"/>
      <c r="P976" s="420"/>
      <c r="Q976" s="420"/>
      <c r="R976" s="420"/>
      <c r="S976" s="420"/>
      <c r="T976" s="420"/>
      <c r="U976" s="420"/>
      <c r="V976" s="420"/>
      <c r="W976" s="420"/>
      <c r="X976" s="420"/>
      <c r="Y976" s="420"/>
      <c r="Z976" s="420"/>
      <c r="AA976" s="420"/>
    </row>
    <row r="977">
      <c r="A977" s="420"/>
      <c r="B977" s="420"/>
      <c r="C977" s="420"/>
      <c r="D977" s="420"/>
      <c r="E977" s="420"/>
      <c r="F977" s="420"/>
      <c r="G977" s="420"/>
      <c r="H977" s="421"/>
      <c r="I977" s="420"/>
      <c r="J977" s="420"/>
      <c r="K977" s="420"/>
      <c r="L977" s="420"/>
      <c r="M977" s="420"/>
      <c r="N977" s="420"/>
      <c r="O977" s="420"/>
      <c r="P977" s="420"/>
      <c r="Q977" s="420"/>
      <c r="R977" s="420"/>
      <c r="S977" s="420"/>
      <c r="T977" s="420"/>
      <c r="U977" s="420"/>
      <c r="V977" s="420"/>
      <c r="W977" s="420"/>
      <c r="X977" s="420"/>
      <c r="Y977" s="420"/>
      <c r="Z977" s="420"/>
      <c r="AA977" s="420"/>
    </row>
    <row r="978">
      <c r="A978" s="420"/>
      <c r="B978" s="420"/>
      <c r="C978" s="420"/>
      <c r="D978" s="420"/>
      <c r="E978" s="420"/>
      <c r="F978" s="420"/>
      <c r="G978" s="420"/>
      <c r="H978" s="421"/>
      <c r="I978" s="420"/>
      <c r="J978" s="420"/>
      <c r="K978" s="420"/>
      <c r="L978" s="420"/>
      <c r="M978" s="420"/>
      <c r="N978" s="420"/>
      <c r="O978" s="420"/>
      <c r="P978" s="420"/>
      <c r="Q978" s="420"/>
      <c r="R978" s="420"/>
      <c r="S978" s="420"/>
      <c r="T978" s="420"/>
      <c r="U978" s="420"/>
      <c r="V978" s="420"/>
      <c r="W978" s="420"/>
      <c r="X978" s="420"/>
      <c r="Y978" s="420"/>
      <c r="Z978" s="420"/>
      <c r="AA978" s="420"/>
    </row>
    <row r="979">
      <c r="A979" s="420"/>
      <c r="B979" s="420"/>
      <c r="C979" s="420"/>
      <c r="D979" s="420"/>
      <c r="E979" s="420"/>
      <c r="F979" s="420"/>
      <c r="G979" s="420"/>
      <c r="H979" s="421"/>
      <c r="I979" s="420"/>
      <c r="J979" s="420"/>
      <c r="K979" s="420"/>
      <c r="L979" s="420"/>
      <c r="M979" s="420"/>
      <c r="N979" s="420"/>
      <c r="O979" s="420"/>
      <c r="P979" s="420"/>
      <c r="Q979" s="420"/>
      <c r="R979" s="420"/>
      <c r="S979" s="420"/>
      <c r="T979" s="420"/>
      <c r="U979" s="420"/>
      <c r="V979" s="420"/>
      <c r="W979" s="420"/>
      <c r="X979" s="420"/>
      <c r="Y979" s="420"/>
      <c r="Z979" s="420"/>
      <c r="AA979" s="420"/>
    </row>
    <row r="980">
      <c r="A980" s="420"/>
      <c r="B980" s="420"/>
      <c r="C980" s="420"/>
      <c r="D980" s="420"/>
      <c r="E980" s="420"/>
      <c r="F980" s="420"/>
      <c r="G980" s="420"/>
      <c r="H980" s="421"/>
      <c r="I980" s="420"/>
      <c r="J980" s="420"/>
      <c r="K980" s="420"/>
      <c r="L980" s="420"/>
      <c r="M980" s="420"/>
      <c r="N980" s="420"/>
      <c r="O980" s="420"/>
      <c r="P980" s="420"/>
      <c r="Q980" s="420"/>
      <c r="R980" s="420"/>
      <c r="S980" s="420"/>
      <c r="T980" s="420"/>
      <c r="U980" s="420"/>
      <c r="V980" s="420"/>
      <c r="W980" s="420"/>
      <c r="X980" s="420"/>
      <c r="Y980" s="420"/>
      <c r="Z980" s="420"/>
      <c r="AA980" s="420"/>
    </row>
    <row r="981">
      <c r="A981" s="420"/>
      <c r="B981" s="420"/>
      <c r="C981" s="420"/>
      <c r="D981" s="420"/>
      <c r="E981" s="420"/>
      <c r="F981" s="420"/>
      <c r="G981" s="420"/>
      <c r="H981" s="421"/>
      <c r="I981" s="420"/>
      <c r="J981" s="420"/>
      <c r="K981" s="420"/>
      <c r="L981" s="420"/>
      <c r="M981" s="420"/>
      <c r="N981" s="420"/>
      <c r="O981" s="420"/>
      <c r="P981" s="420"/>
      <c r="Q981" s="420"/>
      <c r="R981" s="420"/>
      <c r="S981" s="420"/>
      <c r="T981" s="420"/>
      <c r="U981" s="420"/>
      <c r="V981" s="420"/>
      <c r="W981" s="420"/>
      <c r="X981" s="420"/>
      <c r="Y981" s="420"/>
      <c r="Z981" s="420"/>
      <c r="AA981" s="420"/>
    </row>
    <row r="982">
      <c r="A982" s="420"/>
      <c r="B982" s="420"/>
      <c r="C982" s="420"/>
      <c r="D982" s="420"/>
      <c r="E982" s="420"/>
      <c r="F982" s="420"/>
      <c r="G982" s="420"/>
      <c r="H982" s="421"/>
      <c r="I982" s="420"/>
      <c r="J982" s="420"/>
      <c r="K982" s="420"/>
      <c r="L982" s="420"/>
      <c r="M982" s="420"/>
      <c r="N982" s="420"/>
      <c r="O982" s="420"/>
      <c r="P982" s="420"/>
      <c r="Q982" s="420"/>
      <c r="R982" s="420"/>
      <c r="S982" s="420"/>
      <c r="T982" s="420"/>
      <c r="U982" s="420"/>
      <c r="V982" s="420"/>
      <c r="W982" s="420"/>
      <c r="X982" s="420"/>
      <c r="Y982" s="420"/>
      <c r="Z982" s="420"/>
      <c r="AA982" s="420"/>
    </row>
    <row r="983">
      <c r="A983" s="420"/>
      <c r="B983" s="420"/>
      <c r="C983" s="420"/>
      <c r="D983" s="420"/>
      <c r="E983" s="420"/>
      <c r="F983" s="420"/>
      <c r="G983" s="420"/>
      <c r="H983" s="421"/>
      <c r="I983" s="420"/>
      <c r="J983" s="420"/>
      <c r="K983" s="420"/>
      <c r="L983" s="420"/>
      <c r="M983" s="420"/>
      <c r="N983" s="420"/>
      <c r="O983" s="420"/>
      <c r="P983" s="420"/>
      <c r="Q983" s="420"/>
      <c r="R983" s="420"/>
      <c r="S983" s="420"/>
      <c r="T983" s="420"/>
      <c r="U983" s="420"/>
      <c r="V983" s="420"/>
      <c r="W983" s="420"/>
      <c r="X983" s="420"/>
      <c r="Y983" s="420"/>
      <c r="Z983" s="420"/>
      <c r="AA983" s="420"/>
    </row>
    <row r="984">
      <c r="A984" s="420"/>
      <c r="B984" s="420"/>
      <c r="C984" s="420"/>
      <c r="D984" s="420"/>
      <c r="E984" s="420"/>
      <c r="F984" s="420"/>
      <c r="G984" s="420"/>
      <c r="H984" s="421"/>
      <c r="I984" s="420"/>
      <c r="J984" s="420"/>
      <c r="K984" s="420"/>
      <c r="L984" s="420"/>
      <c r="M984" s="420"/>
      <c r="N984" s="420"/>
      <c r="O984" s="420"/>
      <c r="P984" s="420"/>
      <c r="Q984" s="420"/>
      <c r="R984" s="420"/>
      <c r="S984" s="420"/>
      <c r="T984" s="420"/>
      <c r="U984" s="420"/>
      <c r="V984" s="420"/>
      <c r="W984" s="420"/>
      <c r="X984" s="420"/>
      <c r="Y984" s="420"/>
      <c r="Z984" s="420"/>
      <c r="AA984" s="420"/>
    </row>
    <row r="985">
      <c r="A985" s="420"/>
      <c r="B985" s="420"/>
      <c r="C985" s="420"/>
      <c r="D985" s="420"/>
      <c r="E985" s="420"/>
      <c r="F985" s="420"/>
      <c r="G985" s="420"/>
      <c r="H985" s="421"/>
      <c r="I985" s="420"/>
      <c r="J985" s="420"/>
      <c r="K985" s="420"/>
      <c r="L985" s="420"/>
      <c r="M985" s="420"/>
      <c r="N985" s="420"/>
      <c r="O985" s="420"/>
      <c r="P985" s="420"/>
      <c r="Q985" s="420"/>
      <c r="R985" s="420"/>
      <c r="S985" s="420"/>
      <c r="T985" s="420"/>
      <c r="U985" s="420"/>
      <c r="V985" s="420"/>
      <c r="W985" s="420"/>
      <c r="X985" s="420"/>
      <c r="Y985" s="420"/>
      <c r="Z985" s="420"/>
      <c r="AA985" s="420"/>
    </row>
    <row r="986">
      <c r="A986" s="420"/>
      <c r="B986" s="420"/>
      <c r="C986" s="420"/>
      <c r="D986" s="420"/>
      <c r="E986" s="420"/>
      <c r="F986" s="420"/>
      <c r="G986" s="420"/>
      <c r="H986" s="421"/>
      <c r="I986" s="420"/>
      <c r="J986" s="420"/>
      <c r="K986" s="420"/>
      <c r="L986" s="420"/>
      <c r="M986" s="420"/>
      <c r="N986" s="420"/>
      <c r="O986" s="420"/>
      <c r="P986" s="420"/>
      <c r="Q986" s="420"/>
      <c r="R986" s="420"/>
      <c r="S986" s="420"/>
      <c r="T986" s="420"/>
      <c r="U986" s="420"/>
      <c r="V986" s="420"/>
      <c r="W986" s="420"/>
      <c r="X986" s="420"/>
      <c r="Y986" s="420"/>
      <c r="Z986" s="420"/>
      <c r="AA986" s="420"/>
    </row>
    <row r="987">
      <c r="A987" s="420"/>
      <c r="B987" s="420"/>
      <c r="C987" s="420"/>
      <c r="D987" s="420"/>
      <c r="E987" s="420"/>
      <c r="F987" s="420"/>
      <c r="G987" s="420"/>
      <c r="H987" s="421"/>
      <c r="I987" s="420"/>
      <c r="J987" s="420"/>
      <c r="K987" s="420"/>
      <c r="L987" s="420"/>
      <c r="M987" s="420"/>
      <c r="N987" s="420"/>
      <c r="O987" s="420"/>
      <c r="P987" s="420"/>
      <c r="Q987" s="420"/>
      <c r="R987" s="420"/>
      <c r="S987" s="420"/>
      <c r="T987" s="420"/>
      <c r="U987" s="420"/>
      <c r="V987" s="420"/>
      <c r="W987" s="420"/>
      <c r="X987" s="420"/>
      <c r="Y987" s="420"/>
      <c r="Z987" s="420"/>
      <c r="AA987" s="420"/>
    </row>
    <row r="988">
      <c r="A988" s="420"/>
      <c r="B988" s="420"/>
      <c r="C988" s="420"/>
      <c r="D988" s="420"/>
      <c r="E988" s="420"/>
      <c r="F988" s="420"/>
      <c r="G988" s="420"/>
      <c r="H988" s="421"/>
      <c r="I988" s="420"/>
      <c r="J988" s="420"/>
      <c r="K988" s="420"/>
      <c r="L988" s="420"/>
      <c r="M988" s="420"/>
      <c r="N988" s="420"/>
      <c r="O988" s="420"/>
      <c r="P988" s="420"/>
      <c r="Q988" s="420"/>
      <c r="R988" s="420"/>
      <c r="S988" s="420"/>
      <c r="T988" s="420"/>
      <c r="U988" s="420"/>
      <c r="V988" s="420"/>
      <c r="W988" s="420"/>
      <c r="X988" s="420"/>
      <c r="Y988" s="420"/>
      <c r="Z988" s="420"/>
      <c r="AA988" s="420"/>
    </row>
    <row r="989">
      <c r="A989" s="420"/>
      <c r="B989" s="420"/>
      <c r="C989" s="420"/>
      <c r="D989" s="420"/>
      <c r="E989" s="420"/>
      <c r="F989" s="420"/>
      <c r="G989" s="420"/>
      <c r="H989" s="421"/>
      <c r="I989" s="420"/>
      <c r="J989" s="420"/>
      <c r="K989" s="420"/>
      <c r="L989" s="420"/>
      <c r="M989" s="420"/>
      <c r="N989" s="420"/>
      <c r="O989" s="420"/>
      <c r="P989" s="420"/>
      <c r="Q989" s="420"/>
      <c r="R989" s="420"/>
      <c r="S989" s="420"/>
      <c r="T989" s="420"/>
      <c r="U989" s="420"/>
      <c r="V989" s="420"/>
      <c r="W989" s="420"/>
      <c r="X989" s="420"/>
      <c r="Y989" s="420"/>
      <c r="Z989" s="420"/>
      <c r="AA989" s="420"/>
    </row>
    <row r="990">
      <c r="A990" s="420"/>
      <c r="B990" s="420"/>
      <c r="C990" s="420"/>
      <c r="D990" s="420"/>
      <c r="E990" s="420"/>
      <c r="F990" s="420"/>
      <c r="G990" s="420"/>
      <c r="H990" s="421"/>
      <c r="I990" s="420"/>
      <c r="J990" s="420"/>
      <c r="K990" s="420"/>
      <c r="L990" s="420"/>
      <c r="M990" s="420"/>
      <c r="N990" s="420"/>
      <c r="O990" s="420"/>
      <c r="P990" s="420"/>
      <c r="Q990" s="420"/>
      <c r="R990" s="420"/>
      <c r="S990" s="420"/>
      <c r="T990" s="420"/>
      <c r="U990" s="420"/>
      <c r="V990" s="420"/>
      <c r="W990" s="420"/>
      <c r="X990" s="420"/>
      <c r="Y990" s="420"/>
      <c r="Z990" s="420"/>
      <c r="AA990" s="420"/>
    </row>
    <row r="991">
      <c r="A991" s="420"/>
      <c r="B991" s="420"/>
      <c r="C991" s="420"/>
      <c r="D991" s="420"/>
      <c r="E991" s="420"/>
      <c r="F991" s="420"/>
      <c r="G991" s="420"/>
      <c r="H991" s="421"/>
      <c r="I991" s="420"/>
      <c r="J991" s="420"/>
      <c r="K991" s="420"/>
      <c r="L991" s="420"/>
      <c r="M991" s="420"/>
      <c r="N991" s="420"/>
      <c r="O991" s="420"/>
      <c r="P991" s="420"/>
      <c r="Q991" s="420"/>
      <c r="R991" s="420"/>
      <c r="S991" s="420"/>
      <c r="T991" s="420"/>
      <c r="U991" s="420"/>
      <c r="V991" s="420"/>
      <c r="W991" s="420"/>
      <c r="X991" s="420"/>
      <c r="Y991" s="420"/>
      <c r="Z991" s="420"/>
      <c r="AA991" s="420"/>
    </row>
    <row r="992">
      <c r="A992" s="420"/>
      <c r="B992" s="420"/>
      <c r="C992" s="420"/>
      <c r="D992" s="420"/>
      <c r="E992" s="420"/>
      <c r="F992" s="420"/>
      <c r="G992" s="420"/>
      <c r="H992" s="421"/>
      <c r="I992" s="420"/>
      <c r="J992" s="420"/>
      <c r="K992" s="420"/>
      <c r="L992" s="420"/>
      <c r="M992" s="420"/>
      <c r="N992" s="420"/>
      <c r="O992" s="420"/>
      <c r="P992" s="420"/>
      <c r="Q992" s="420"/>
      <c r="R992" s="420"/>
      <c r="S992" s="420"/>
      <c r="T992" s="420"/>
      <c r="U992" s="420"/>
      <c r="V992" s="420"/>
      <c r="W992" s="420"/>
      <c r="X992" s="420"/>
      <c r="Y992" s="420"/>
      <c r="Z992" s="420"/>
      <c r="AA992" s="420"/>
    </row>
    <row r="993">
      <c r="A993" s="420"/>
      <c r="B993" s="420"/>
      <c r="C993" s="420"/>
      <c r="D993" s="420"/>
      <c r="E993" s="420"/>
      <c r="F993" s="420"/>
      <c r="G993" s="420"/>
      <c r="H993" s="421"/>
      <c r="I993" s="420"/>
      <c r="J993" s="420"/>
      <c r="K993" s="420"/>
      <c r="L993" s="420"/>
      <c r="M993" s="420"/>
      <c r="N993" s="420"/>
      <c r="O993" s="420"/>
      <c r="P993" s="420"/>
      <c r="Q993" s="420"/>
      <c r="R993" s="420"/>
      <c r="S993" s="420"/>
      <c r="T993" s="420"/>
      <c r="U993" s="420"/>
      <c r="V993" s="420"/>
      <c r="W993" s="420"/>
      <c r="X993" s="420"/>
      <c r="Y993" s="420"/>
      <c r="Z993" s="420"/>
      <c r="AA993" s="420"/>
    </row>
    <row r="994">
      <c r="A994" s="420"/>
      <c r="B994" s="420"/>
      <c r="C994" s="420"/>
      <c r="D994" s="420"/>
      <c r="E994" s="420"/>
      <c r="F994" s="420"/>
      <c r="G994" s="420"/>
      <c r="H994" s="421"/>
      <c r="I994" s="420"/>
      <c r="J994" s="420"/>
      <c r="K994" s="420"/>
      <c r="L994" s="420"/>
      <c r="M994" s="420"/>
      <c r="N994" s="420"/>
      <c r="O994" s="420"/>
      <c r="P994" s="420"/>
      <c r="Q994" s="420"/>
      <c r="R994" s="420"/>
      <c r="S994" s="420"/>
      <c r="T994" s="420"/>
      <c r="U994" s="420"/>
      <c r="V994" s="420"/>
      <c r="W994" s="420"/>
      <c r="X994" s="420"/>
      <c r="Y994" s="420"/>
      <c r="Z994" s="420"/>
      <c r="AA994" s="420"/>
    </row>
    <row r="995">
      <c r="A995" s="420"/>
      <c r="B995" s="420"/>
      <c r="C995" s="420"/>
      <c r="D995" s="420"/>
      <c r="E995" s="420"/>
      <c r="F995" s="420"/>
      <c r="G995" s="420"/>
      <c r="H995" s="421"/>
      <c r="I995" s="420"/>
      <c r="J995" s="420"/>
      <c r="K995" s="420"/>
      <c r="L995" s="420"/>
      <c r="M995" s="420"/>
      <c r="N995" s="420"/>
      <c r="O995" s="420"/>
      <c r="P995" s="420"/>
      <c r="Q995" s="420"/>
      <c r="R995" s="420"/>
      <c r="S995" s="420"/>
      <c r="T995" s="420"/>
      <c r="U995" s="420"/>
      <c r="V995" s="420"/>
      <c r="W995" s="420"/>
      <c r="X995" s="420"/>
      <c r="Y995" s="420"/>
      <c r="Z995" s="420"/>
      <c r="AA995" s="420"/>
    </row>
    <row r="996">
      <c r="A996" s="420"/>
      <c r="B996" s="420"/>
      <c r="C996" s="420"/>
      <c r="D996" s="420"/>
      <c r="E996" s="420"/>
      <c r="F996" s="420"/>
      <c r="G996" s="420"/>
      <c r="H996" s="421"/>
      <c r="I996" s="420"/>
      <c r="J996" s="420"/>
      <c r="K996" s="420"/>
      <c r="L996" s="420"/>
      <c r="M996" s="420"/>
      <c r="N996" s="420"/>
      <c r="O996" s="420"/>
      <c r="P996" s="420"/>
      <c r="Q996" s="420"/>
      <c r="R996" s="420"/>
      <c r="S996" s="420"/>
      <c r="T996" s="420"/>
      <c r="U996" s="420"/>
      <c r="V996" s="420"/>
      <c r="W996" s="420"/>
      <c r="X996" s="420"/>
      <c r="Y996" s="420"/>
      <c r="Z996" s="420"/>
      <c r="AA996" s="420"/>
    </row>
    <row r="997">
      <c r="A997" s="420"/>
      <c r="B997" s="420"/>
      <c r="C997" s="420"/>
      <c r="D997" s="420"/>
      <c r="E997" s="420"/>
      <c r="F997" s="420"/>
      <c r="G997" s="420"/>
      <c r="H997" s="421"/>
      <c r="I997" s="420"/>
      <c r="J997" s="420"/>
      <c r="K997" s="420"/>
      <c r="L997" s="420"/>
      <c r="M997" s="420"/>
      <c r="N997" s="420"/>
      <c r="O997" s="420"/>
      <c r="P997" s="420"/>
      <c r="Q997" s="420"/>
      <c r="R997" s="420"/>
      <c r="S997" s="420"/>
      <c r="T997" s="420"/>
      <c r="U997" s="420"/>
      <c r="V997" s="420"/>
      <c r="W997" s="420"/>
      <c r="X997" s="420"/>
      <c r="Y997" s="420"/>
      <c r="Z997" s="420"/>
      <c r="AA997" s="420"/>
    </row>
    <row r="998">
      <c r="A998" s="420"/>
      <c r="B998" s="420"/>
      <c r="C998" s="420"/>
      <c r="D998" s="420"/>
      <c r="E998" s="420"/>
      <c r="F998" s="420"/>
      <c r="G998" s="420"/>
      <c r="H998" s="421"/>
      <c r="I998" s="420"/>
      <c r="J998" s="420"/>
      <c r="K998" s="420"/>
      <c r="L998" s="420"/>
      <c r="M998" s="420"/>
      <c r="N998" s="420"/>
      <c r="O998" s="420"/>
      <c r="P998" s="420"/>
      <c r="Q998" s="420"/>
      <c r="R998" s="420"/>
      <c r="S998" s="420"/>
      <c r="T998" s="420"/>
      <c r="U998" s="420"/>
      <c r="V998" s="420"/>
      <c r="W998" s="420"/>
      <c r="X998" s="420"/>
      <c r="Y998" s="420"/>
      <c r="Z998" s="420"/>
      <c r="AA998" s="420"/>
    </row>
    <row r="999">
      <c r="A999" s="420"/>
      <c r="B999" s="420"/>
      <c r="C999" s="420"/>
      <c r="D999" s="420"/>
      <c r="E999" s="420"/>
      <c r="F999" s="420"/>
      <c r="G999" s="420"/>
      <c r="H999" s="421"/>
      <c r="I999" s="420"/>
      <c r="J999" s="420"/>
      <c r="K999" s="420"/>
      <c r="L999" s="420"/>
      <c r="M999" s="420"/>
      <c r="N999" s="420"/>
      <c r="O999" s="420"/>
      <c r="P999" s="420"/>
      <c r="Q999" s="420"/>
      <c r="R999" s="420"/>
      <c r="S999" s="420"/>
      <c r="T999" s="420"/>
      <c r="U999" s="420"/>
      <c r="V999" s="420"/>
      <c r="W999" s="420"/>
      <c r="X999" s="420"/>
      <c r="Y999" s="420"/>
      <c r="Z999" s="420"/>
      <c r="AA999" s="420"/>
    </row>
    <row r="1000">
      <c r="A1000" s="420"/>
      <c r="B1000" s="420"/>
      <c r="C1000" s="420"/>
      <c r="D1000" s="420"/>
      <c r="E1000" s="420"/>
      <c r="F1000" s="420"/>
      <c r="G1000" s="420"/>
      <c r="H1000" s="421"/>
      <c r="I1000" s="420"/>
      <c r="J1000" s="420"/>
      <c r="K1000" s="420"/>
      <c r="L1000" s="420"/>
      <c r="M1000" s="420"/>
      <c r="N1000" s="420"/>
      <c r="O1000" s="420"/>
      <c r="P1000" s="420"/>
      <c r="Q1000" s="420"/>
      <c r="R1000" s="420"/>
      <c r="S1000" s="420"/>
      <c r="T1000" s="420"/>
      <c r="U1000" s="420"/>
      <c r="V1000" s="420"/>
      <c r="W1000" s="420"/>
      <c r="X1000" s="420"/>
      <c r="Y1000" s="420"/>
      <c r="Z1000" s="420"/>
      <c r="AA1000" s="420"/>
    </row>
  </sheetData>
  <drawing r:id="rId1"/>
</worksheet>
</file>