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ong Ty Co Phan Quoc Te Long Quang\Desktop\"/>
    </mc:Choice>
  </mc:AlternateContent>
  <bookViews>
    <workbookView xWindow="0" yWindow="0" windowWidth="20490" windowHeight="7755" tabRatio="813" firstSheet="8" activeTab="8"/>
  </bookViews>
  <sheets>
    <sheet name="Tháng 01" sheetId="30" state="hidden" r:id="rId1"/>
    <sheet name="DS chưa tham gia bhxh" sheetId="22" state="hidden" r:id="rId2"/>
    <sheet name="DS NV được tiền cống hiến " sheetId="20" state="hidden" r:id="rId3"/>
    <sheet name="tháng 2" sheetId="31" state="hidden" r:id="rId4"/>
    <sheet name="tháng 3" sheetId="32" state="hidden" r:id="rId5"/>
    <sheet name="tháng 4" sheetId="33" state="hidden" r:id="rId6"/>
    <sheet name="tháng 4 (2)" sheetId="34" state="hidden" r:id="rId7"/>
    <sheet name="Final Lương gross Từ T9.2023" sheetId="43" state="hidden" r:id="rId8"/>
    <sheet name="Snh nhật quý 4.2024" sheetId="42" r:id="rId9"/>
    <sheet name="Tháng 8" sheetId="41" state="hidden" r:id="rId10"/>
    <sheet name="Tháng 7-final" sheetId="38" state="hidden" r:id="rId11"/>
    <sheet name="Thưởng 2.9" sheetId="39" state="hidden" r:id="rId12"/>
    <sheet name="Tháng 8-final" sheetId="40" state="hidden" r:id="rId13"/>
    <sheet name="tháng 5" sheetId="35" state="hidden" r:id="rId14"/>
    <sheet name="tháng 6" sheetId="36" state="hidden" r:id="rId15"/>
    <sheet name="Sheet2" sheetId="37" state="hidden" r:id="rId16"/>
  </sheets>
  <externalReferences>
    <externalReference r:id="rId17"/>
    <externalReference r:id="rId18"/>
  </externalReferences>
  <definedNames>
    <definedName name="_xlnm._FilterDatabase" localSheetId="1" hidden="1">'DS chưa tham gia bhxh'!$A$3:$G$15</definedName>
    <definedName name="_xlnm._FilterDatabase" localSheetId="2" hidden="1">'DS NV được tiền cống hiến '!$A$3:$J$27</definedName>
    <definedName name="_xlnm._FilterDatabase" localSheetId="7" hidden="1">'Final Lương gross Từ T9.2023'!$A$3:$O$70</definedName>
    <definedName name="_xlnm._FilterDatabase" localSheetId="8" hidden="1">'Snh nhật quý 4.2024'!$A$3:$D$22</definedName>
    <definedName name="_xlnm._FilterDatabase" localSheetId="0" hidden="1">'Tháng 01'!$A$3:$M$68</definedName>
    <definedName name="_xlnm._FilterDatabase" localSheetId="3" hidden="1">'tháng 2'!$A$3:$O$66</definedName>
    <definedName name="_xlnm._FilterDatabase" localSheetId="4" hidden="1">'tháng 3'!$A$3:$M$72</definedName>
    <definedName name="_xlnm._FilterDatabase" localSheetId="5" hidden="1">'tháng 4'!$A$3:$N$74</definedName>
    <definedName name="_xlnm._FilterDatabase" localSheetId="6" hidden="1">'tháng 4 (2)'!$A$3:$G$30</definedName>
    <definedName name="_xlnm._FilterDatabase" localSheetId="13" hidden="1">'tháng 5'!$A$3:$M$73</definedName>
    <definedName name="_xlnm._FilterDatabase" localSheetId="14" hidden="1">'tháng 6'!$A$3:$O$65</definedName>
    <definedName name="_xlnm._FilterDatabase" localSheetId="10" hidden="1">'Tháng 7-final'!$A$3:$M$77</definedName>
    <definedName name="_xlnm._FilterDatabase" localSheetId="9" hidden="1">'Tháng 8'!$A$3:$M$72</definedName>
    <definedName name="_xlnm._FilterDatabase" localSheetId="12" hidden="1">'Tháng 8-final'!$A$3:$M$77</definedName>
    <definedName name="_xlnm._FilterDatabase" localSheetId="11" hidden="1">'Thưởng 2.9'!$A$3:$M$57</definedName>
    <definedName name="_xlnm.Print_Titles" localSheetId="1">'DS chưa tham gia bhxh'!$3:$3</definedName>
    <definedName name="_xlnm.Print_Titles" localSheetId="2">'DS NV được tiền cống hiến '!$3:$3</definedName>
    <definedName name="_xlnm.Print_Titles" localSheetId="7">'Final Lương gross Từ T9.2023'!$3:$3</definedName>
    <definedName name="_xlnm.Print_Titles" localSheetId="8">'Snh nhật quý 4.2024'!$3:$3</definedName>
    <definedName name="_xlnm.Print_Titles" localSheetId="0">'Tháng 01'!$3:$3</definedName>
    <definedName name="_xlnm.Print_Titles" localSheetId="3">'tháng 2'!$3:$3</definedName>
    <definedName name="_xlnm.Print_Titles" localSheetId="4">'tháng 3'!$3:$3</definedName>
    <definedName name="_xlnm.Print_Titles" localSheetId="5">'tháng 4'!$3:$3</definedName>
    <definedName name="_xlnm.Print_Titles" localSheetId="6">'tháng 4 (2)'!$3:$3</definedName>
    <definedName name="_xlnm.Print_Titles" localSheetId="13">'tháng 5'!$3:$3</definedName>
    <definedName name="_xlnm.Print_Titles" localSheetId="14">'tháng 6'!$3:$3</definedName>
    <definedName name="_xlnm.Print_Titles" localSheetId="10">'Tháng 7-final'!$3:$3</definedName>
    <definedName name="_xlnm.Print_Titles" localSheetId="9">'Tháng 8'!$3:$3</definedName>
    <definedName name="_xlnm.Print_Titles" localSheetId="12">'Tháng 8-final'!$3:$3</definedName>
    <definedName name="_xlnm.Print_Titles" localSheetId="11">'Thưởng 2.9'!$3:$3</definedName>
  </definedNames>
  <calcPr calcId="162913"/>
</workbook>
</file>

<file path=xl/calcChain.xml><?xml version="1.0" encoding="utf-8"?>
<calcChain xmlns="http://schemas.openxmlformats.org/spreadsheetml/2006/main">
  <c r="J6" i="43" l="1"/>
  <c r="F54" i="43"/>
  <c r="I54" i="43"/>
  <c r="A56" i="43"/>
  <c r="G49" i="43"/>
  <c r="J49" i="43" s="1"/>
  <c r="H49" i="43"/>
  <c r="H55" i="43"/>
  <c r="H54" i="43" s="1"/>
  <c r="H53" i="43"/>
  <c r="H52" i="43"/>
  <c r="H51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33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12" i="43"/>
  <c r="H10" i="43"/>
  <c r="H9" i="43"/>
  <c r="H8" i="43"/>
  <c r="H7" i="43"/>
  <c r="H5" i="43"/>
  <c r="F32" i="43"/>
  <c r="I32" i="43"/>
  <c r="K32" i="43"/>
  <c r="F11" i="43"/>
  <c r="I11" i="43"/>
  <c r="K11" i="43"/>
  <c r="K54" i="43"/>
  <c r="E54" i="43"/>
  <c r="F4" i="43"/>
  <c r="F56" i="43" s="1"/>
  <c r="I4" i="43"/>
  <c r="K4" i="43"/>
  <c r="E4" i="43"/>
  <c r="H4" i="43" l="1"/>
  <c r="I56" i="43"/>
  <c r="H11" i="43"/>
  <c r="H32" i="43"/>
  <c r="H56" i="43" l="1"/>
  <c r="G5" i="43" l="1"/>
  <c r="J5" i="43" s="1"/>
  <c r="G34" i="43"/>
  <c r="J34" i="43" s="1"/>
  <c r="G35" i="43"/>
  <c r="J35" i="43" s="1"/>
  <c r="G36" i="43"/>
  <c r="J36" i="43" s="1"/>
  <c r="G12" i="43"/>
  <c r="G37" i="43"/>
  <c r="J37" i="43" s="1"/>
  <c r="G7" i="43"/>
  <c r="J7" i="43" s="1"/>
  <c r="G38" i="43"/>
  <c r="J38" i="43" s="1"/>
  <c r="G13" i="43"/>
  <c r="J13" i="43" s="1"/>
  <c r="G14" i="43"/>
  <c r="J14" i="43" s="1"/>
  <c r="G15" i="43"/>
  <c r="J15" i="43" s="1"/>
  <c r="G16" i="43"/>
  <c r="J16" i="43" s="1"/>
  <c r="G39" i="43"/>
  <c r="J39" i="43" s="1"/>
  <c r="G17" i="43"/>
  <c r="J17" i="43" s="1"/>
  <c r="G18" i="43"/>
  <c r="J18" i="43" s="1"/>
  <c r="G19" i="43"/>
  <c r="J19" i="43" s="1"/>
  <c r="G20" i="43"/>
  <c r="J20" i="43" s="1"/>
  <c r="G40" i="43"/>
  <c r="J40" i="43" s="1"/>
  <c r="G21" i="43"/>
  <c r="J21" i="43" s="1"/>
  <c r="G22" i="43"/>
  <c r="G23" i="43"/>
  <c r="G41" i="43"/>
  <c r="J41" i="43" s="1"/>
  <c r="G24" i="43"/>
  <c r="J24" i="43" s="1"/>
  <c r="G42" i="43"/>
  <c r="J42" i="43" s="1"/>
  <c r="G43" i="43"/>
  <c r="J43" i="43" s="1"/>
  <c r="G25" i="43"/>
  <c r="J25" i="43" s="1"/>
  <c r="G26" i="43"/>
  <c r="J26" i="43" s="1"/>
  <c r="G44" i="43"/>
  <c r="J44" i="43" s="1"/>
  <c r="G8" i="43"/>
  <c r="J8" i="43" s="1"/>
  <c r="G27" i="43"/>
  <c r="J27" i="43" s="1"/>
  <c r="G9" i="43"/>
  <c r="J9" i="43" s="1"/>
  <c r="G10" i="43"/>
  <c r="J10" i="43" s="1"/>
  <c r="G45" i="43"/>
  <c r="J45" i="43" s="1"/>
  <c r="G46" i="43"/>
  <c r="J46" i="43" s="1"/>
  <c r="G47" i="43"/>
  <c r="J47" i="43" s="1"/>
  <c r="G55" i="43"/>
  <c r="G48" i="43"/>
  <c r="J48" i="43" s="1"/>
  <c r="G51" i="43"/>
  <c r="J51" i="43" s="1"/>
  <c r="G52" i="43"/>
  <c r="J52" i="43" s="1"/>
  <c r="G53" i="43"/>
  <c r="J53" i="43" s="1"/>
  <c r="G28" i="43"/>
  <c r="J28" i="43" s="1"/>
  <c r="J29" i="43"/>
  <c r="J30" i="43"/>
  <c r="J31" i="43"/>
  <c r="G33" i="43"/>
  <c r="G54" i="43" l="1"/>
  <c r="J55" i="43"/>
  <c r="J54" i="43" s="1"/>
  <c r="J12" i="43"/>
  <c r="G11" i="43"/>
  <c r="J33" i="43"/>
  <c r="G32" i="43"/>
  <c r="J4" i="43"/>
  <c r="G4" i="43"/>
  <c r="E22" i="43"/>
  <c r="J22" i="43" s="1"/>
  <c r="O31" i="43"/>
  <c r="O30" i="43"/>
  <c r="E50" i="43"/>
  <c r="E23" i="43"/>
  <c r="J23" i="43" s="1"/>
  <c r="P33" i="43"/>
  <c r="J50" i="43" l="1"/>
  <c r="E32" i="43"/>
  <c r="G56" i="43"/>
  <c r="E11" i="43"/>
  <c r="E56" i="43" s="1"/>
  <c r="J11" i="43"/>
  <c r="J32" i="43"/>
  <c r="H12" i="41"/>
  <c r="J56" i="43" l="1"/>
  <c r="D36" i="41" l="1"/>
  <c r="E52" i="41" l="1"/>
  <c r="F52" i="41"/>
  <c r="G52" i="41"/>
  <c r="D51" i="41"/>
  <c r="H51" i="41" s="1"/>
  <c r="D44" i="41" l="1"/>
  <c r="H14" i="41"/>
  <c r="H15" i="41"/>
  <c r="H16" i="41"/>
  <c r="H17" i="41"/>
  <c r="H18" i="41"/>
  <c r="H19" i="41"/>
  <c r="H20" i="41"/>
  <c r="H21" i="41"/>
  <c r="H22" i="41"/>
  <c r="H23" i="41"/>
  <c r="H24" i="41"/>
  <c r="H25" i="41"/>
  <c r="H28" i="41"/>
  <c r="H29" i="41"/>
  <c r="H30" i="41"/>
  <c r="H31" i="41"/>
  <c r="H32" i="41"/>
  <c r="H33" i="41"/>
  <c r="H34" i="41"/>
  <c r="H35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" i="41"/>
  <c r="H6" i="41"/>
  <c r="H7" i="41"/>
  <c r="H8" i="41"/>
  <c r="H9" i="41"/>
  <c r="D54" i="41" s="1"/>
  <c r="H10" i="41"/>
  <c r="H11" i="41"/>
  <c r="H13" i="41"/>
  <c r="H4" i="41"/>
  <c r="H36" i="41"/>
  <c r="M51" i="41"/>
  <c r="M50" i="41"/>
  <c r="D27" i="41"/>
  <c r="H27" i="41" s="1"/>
  <c r="D26" i="41"/>
  <c r="I26" i="41" s="1"/>
  <c r="I19" i="41"/>
  <c r="I13" i="41"/>
  <c r="I7" i="41"/>
  <c r="I6" i="41"/>
  <c r="I5" i="41"/>
  <c r="N4" i="41"/>
  <c r="I4" i="41"/>
  <c r="H26" i="41" l="1"/>
  <c r="D57" i="41" s="1"/>
  <c r="D52" i="41"/>
  <c r="I52" i="41"/>
  <c r="D58" i="41"/>
  <c r="D56" i="41"/>
  <c r="D55" i="39"/>
  <c r="H52" i="41" l="1"/>
  <c r="G20" i="39"/>
  <c r="G33" i="39"/>
  <c r="L7" i="39"/>
  <c r="L4" i="39"/>
  <c r="M4" i="39" s="1"/>
  <c r="L5" i="39"/>
  <c r="M5" i="39" s="1"/>
  <c r="L8" i="39"/>
  <c r="M8" i="39" s="1"/>
  <c r="L9" i="39"/>
  <c r="L10" i="39"/>
  <c r="M10" i="39" s="1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M38" i="39" s="1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6" i="39"/>
  <c r="K5" i="39"/>
  <c r="G41" i="39"/>
  <c r="G46" i="39"/>
  <c r="G45" i="39"/>
  <c r="G44" i="39"/>
  <c r="G43" i="39"/>
  <c r="G42" i="39"/>
  <c r="G37" i="39"/>
  <c r="G28" i="39"/>
  <c r="G26" i="39"/>
  <c r="G16" i="39"/>
  <c r="G15" i="39"/>
  <c r="G14" i="39"/>
  <c r="G12" i="39"/>
  <c r="G11" i="39"/>
  <c r="G9" i="39"/>
  <c r="G7" i="39"/>
  <c r="G6" i="39"/>
  <c r="D53" i="41" l="1"/>
  <c r="I53" i="41"/>
  <c r="D55" i="41"/>
  <c r="M12" i="39"/>
  <c r="M28" i="39"/>
  <c r="M16" i="39"/>
  <c r="M6" i="39"/>
  <c r="M43" i="39"/>
  <c r="M15" i="39"/>
  <c r="M11" i="39"/>
  <c r="M42" i="39"/>
  <c r="M26" i="39"/>
  <c r="M14" i="39"/>
  <c r="M44" i="39"/>
  <c r="M46" i="39"/>
  <c r="M45" i="39"/>
  <c r="M41" i="39"/>
  <c r="M37" i="39"/>
  <c r="M9" i="39"/>
  <c r="M7" i="39"/>
  <c r="G54" i="39" l="1"/>
  <c r="M54" i="39" s="1"/>
  <c r="G53" i="39"/>
  <c r="M53" i="39" s="1"/>
  <c r="G52" i="39"/>
  <c r="M52" i="39" s="1"/>
  <c r="G51" i="39"/>
  <c r="M51" i="39" s="1"/>
  <c r="G50" i="39"/>
  <c r="M50" i="39" s="1"/>
  <c r="G49" i="39"/>
  <c r="M49" i="39" s="1"/>
  <c r="G48" i="39"/>
  <c r="M48" i="39" s="1"/>
  <c r="G39" i="39"/>
  <c r="M39" i="39" s="1"/>
  <c r="G36" i="39"/>
  <c r="M36" i="39" s="1"/>
  <c r="G35" i="39"/>
  <c r="M35" i="39" s="1"/>
  <c r="G34" i="39"/>
  <c r="M34" i="39" s="1"/>
  <c r="M33" i="39"/>
  <c r="G32" i="39"/>
  <c r="M32" i="39" s="1"/>
  <c r="G31" i="39"/>
  <c r="M31" i="39" s="1"/>
  <c r="G30" i="39"/>
  <c r="M30" i="39" s="1"/>
  <c r="G29" i="39"/>
  <c r="M29" i="39" s="1"/>
  <c r="G27" i="39"/>
  <c r="M27" i="39" s="1"/>
  <c r="G25" i="39"/>
  <c r="M25" i="39" s="1"/>
  <c r="G24" i="39"/>
  <c r="M24" i="39" s="1"/>
  <c r="G23" i="39"/>
  <c r="M23" i="39" s="1"/>
  <c r="G22" i="39"/>
  <c r="M22" i="39" s="1"/>
  <c r="G21" i="39"/>
  <c r="M21" i="39" s="1"/>
  <c r="M20" i="39"/>
  <c r="G19" i="39"/>
  <c r="M19" i="39" s="1"/>
  <c r="G18" i="39"/>
  <c r="M18" i="39" s="1"/>
  <c r="G17" i="39"/>
  <c r="M17" i="39" s="1"/>
  <c r="G13" i="39"/>
  <c r="K4" i="39"/>
  <c r="K10" i="39"/>
  <c r="K59" i="38"/>
  <c r="L59" i="38"/>
  <c r="M59" i="38"/>
  <c r="I66" i="40"/>
  <c r="I64" i="40"/>
  <c r="G57" i="40"/>
  <c r="F57" i="40"/>
  <c r="E57" i="40"/>
  <c r="M56" i="40"/>
  <c r="D56" i="40"/>
  <c r="H56" i="40" s="1"/>
  <c r="H55" i="40"/>
  <c r="M54" i="40"/>
  <c r="H54" i="40"/>
  <c r="M53" i="40"/>
  <c r="D53" i="40"/>
  <c r="H53" i="40" s="1"/>
  <c r="H52" i="40"/>
  <c r="H51" i="40"/>
  <c r="H50" i="40"/>
  <c r="H49" i="40"/>
  <c r="H48" i="40"/>
  <c r="D47" i="40"/>
  <c r="H47" i="40" s="1"/>
  <c r="H46" i="40"/>
  <c r="H45" i="40"/>
  <c r="H44" i="40"/>
  <c r="H43" i="40"/>
  <c r="H42" i="40"/>
  <c r="H41" i="40"/>
  <c r="H40" i="40"/>
  <c r="H39" i="40"/>
  <c r="H38" i="40"/>
  <c r="D38" i="40"/>
  <c r="H37" i="40"/>
  <c r="H36" i="40"/>
  <c r="H35" i="40"/>
  <c r="H34" i="40"/>
  <c r="H33" i="40"/>
  <c r="H32" i="40"/>
  <c r="H31" i="40"/>
  <c r="H30" i="40"/>
  <c r="H29" i="40"/>
  <c r="D28" i="40"/>
  <c r="H28" i="40" s="1"/>
  <c r="I27" i="40"/>
  <c r="D27" i="40"/>
  <c r="H27" i="40" s="1"/>
  <c r="H26" i="40"/>
  <c r="H25" i="40"/>
  <c r="H24" i="40"/>
  <c r="H23" i="40"/>
  <c r="H22" i="40"/>
  <c r="H21" i="40"/>
  <c r="I20" i="40"/>
  <c r="H20" i="40"/>
  <c r="H19" i="40"/>
  <c r="H18" i="40"/>
  <c r="H17" i="40"/>
  <c r="H16" i="40"/>
  <c r="H15" i="40"/>
  <c r="H14" i="40"/>
  <c r="I13" i="40"/>
  <c r="H13" i="40"/>
  <c r="H12" i="40"/>
  <c r="H11" i="40"/>
  <c r="H10" i="40"/>
  <c r="D59" i="40" s="1"/>
  <c r="H9" i="40"/>
  <c r="H8" i="40"/>
  <c r="I7" i="40"/>
  <c r="H7" i="40"/>
  <c r="I6" i="40"/>
  <c r="H6" i="40"/>
  <c r="I5" i="40"/>
  <c r="H5" i="40"/>
  <c r="D61" i="40" s="1"/>
  <c r="N4" i="40"/>
  <c r="I4" i="40"/>
  <c r="H4" i="40"/>
  <c r="F55" i="39"/>
  <c r="E55" i="39"/>
  <c r="K54" i="39"/>
  <c r="K53" i="39"/>
  <c r="G47" i="39"/>
  <c r="M47" i="39" s="1"/>
  <c r="G40" i="39"/>
  <c r="M40" i="39" s="1"/>
  <c r="N4" i="38"/>
  <c r="D62" i="40" l="1"/>
  <c r="M13" i="39"/>
  <c r="G55" i="39"/>
  <c r="H57" i="40"/>
  <c r="I57" i="40"/>
  <c r="H58" i="40" s="1"/>
  <c r="D63" i="40"/>
  <c r="H57" i="39"/>
  <c r="D58" i="40"/>
  <c r="D60" i="40" s="1"/>
  <c r="I59" i="40"/>
  <c r="I61" i="40" s="1"/>
  <c r="I63" i="40" s="1"/>
  <c r="D57" i="40"/>
  <c r="N59" i="40" l="1"/>
  <c r="I66" i="38" l="1"/>
  <c r="I64" i="38"/>
  <c r="D47" i="38" l="1"/>
  <c r="D38" i="38" l="1"/>
  <c r="M56" i="38" l="1"/>
  <c r="M54" i="38"/>
  <c r="M53" i="38"/>
  <c r="D53" i="38" l="1"/>
  <c r="D49" i="36" l="1"/>
  <c r="E57" i="38" l="1"/>
  <c r="H5" i="38"/>
  <c r="H6" i="38"/>
  <c r="H7" i="38"/>
  <c r="H8" i="38"/>
  <c r="H9" i="38"/>
  <c r="H10" i="38"/>
  <c r="D59" i="38" s="1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9" i="38"/>
  <c r="H30" i="38"/>
  <c r="H31" i="38"/>
  <c r="H32" i="38"/>
  <c r="H33" i="38"/>
  <c r="H34" i="38"/>
  <c r="H35" i="38"/>
  <c r="H36" i="38"/>
  <c r="H37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4" i="38"/>
  <c r="H4" i="38"/>
  <c r="D27" i="38"/>
  <c r="H27" i="38" s="1"/>
  <c r="D28" i="38"/>
  <c r="H28" i="38" s="1"/>
  <c r="H38" i="38"/>
  <c r="H53" i="38"/>
  <c r="H55" i="38"/>
  <c r="D56" i="38"/>
  <c r="H56" i="38" s="1"/>
  <c r="H57" i="38" l="1"/>
  <c r="D57" i="38"/>
  <c r="G57" i="38"/>
  <c r="F57" i="38"/>
  <c r="D62" i="38" s="1"/>
  <c r="I27" i="38"/>
  <c r="I20" i="38"/>
  <c r="I13" i="38"/>
  <c r="I7" i="38"/>
  <c r="I6" i="38"/>
  <c r="I5" i="38"/>
  <c r="I4" i="38"/>
  <c r="N59" i="38" l="1"/>
  <c r="I59" i="38"/>
  <c r="D58" i="38"/>
  <c r="D60" i="38" s="1"/>
  <c r="I61" i="38"/>
  <c r="I63" i="38" s="1"/>
  <c r="D61" i="38"/>
  <c r="D63" i="38"/>
  <c r="I57" i="38"/>
  <c r="J59" i="38" s="1"/>
  <c r="H57" i="36"/>
  <c r="G56" i="36"/>
  <c r="G57" i="36"/>
  <c r="D57" i="36"/>
  <c r="H58" i="38" l="1"/>
  <c r="D56" i="36"/>
  <c r="H56" i="36" s="1"/>
  <c r="G5" i="36"/>
  <c r="H5" i="36" s="1"/>
  <c r="G6" i="36"/>
  <c r="H6" i="36" s="1"/>
  <c r="G7" i="36"/>
  <c r="H7" i="36" s="1"/>
  <c r="G8" i="36"/>
  <c r="H8" i="36" s="1"/>
  <c r="G9" i="36"/>
  <c r="H9" i="36" s="1"/>
  <c r="G10" i="36"/>
  <c r="H10" i="36" s="1"/>
  <c r="G11" i="36"/>
  <c r="H11" i="36" s="1"/>
  <c r="G12" i="36"/>
  <c r="H12" i="36" s="1"/>
  <c r="G13" i="36"/>
  <c r="H13" i="36" s="1"/>
  <c r="G14" i="36"/>
  <c r="H14" i="36" s="1"/>
  <c r="G15" i="36"/>
  <c r="H15" i="36" s="1"/>
  <c r="G16" i="36"/>
  <c r="H16" i="36" s="1"/>
  <c r="G17" i="36"/>
  <c r="H17" i="36" s="1"/>
  <c r="G18" i="36"/>
  <c r="H18" i="36" s="1"/>
  <c r="G19" i="36"/>
  <c r="H19" i="36" s="1"/>
  <c r="G20" i="36"/>
  <c r="H20" i="36" s="1"/>
  <c r="G21" i="36"/>
  <c r="H21" i="36" s="1"/>
  <c r="G22" i="36"/>
  <c r="H22" i="36" s="1"/>
  <c r="G23" i="36"/>
  <c r="H23" i="36" s="1"/>
  <c r="G24" i="36"/>
  <c r="H24" i="36" s="1"/>
  <c r="G25" i="36"/>
  <c r="H25" i="36" s="1"/>
  <c r="G26" i="36"/>
  <c r="H26" i="36" s="1"/>
  <c r="G29" i="36"/>
  <c r="H29" i="36" s="1"/>
  <c r="G30" i="36"/>
  <c r="H30" i="36" s="1"/>
  <c r="G32" i="36"/>
  <c r="H32" i="36" s="1"/>
  <c r="G33" i="36"/>
  <c r="H33" i="36" s="1"/>
  <c r="G34" i="36"/>
  <c r="H34" i="36" s="1"/>
  <c r="G35" i="36"/>
  <c r="H35" i="36" s="1"/>
  <c r="G36" i="36"/>
  <c r="H36" i="36" s="1"/>
  <c r="G37" i="36"/>
  <c r="H37" i="36" s="1"/>
  <c r="G38" i="36"/>
  <c r="H38" i="36" s="1"/>
  <c r="G39" i="36"/>
  <c r="H39" i="36" s="1"/>
  <c r="G40" i="36"/>
  <c r="H40" i="36" s="1"/>
  <c r="G41" i="36"/>
  <c r="H41" i="36" s="1"/>
  <c r="G42" i="36"/>
  <c r="H42" i="36" s="1"/>
  <c r="G43" i="36"/>
  <c r="H43" i="36" s="1"/>
  <c r="G44" i="36"/>
  <c r="H44" i="36" s="1"/>
  <c r="G45" i="36"/>
  <c r="H45" i="36" s="1"/>
  <c r="G46" i="36"/>
  <c r="H46" i="36" s="1"/>
  <c r="G47" i="36"/>
  <c r="H47" i="36" s="1"/>
  <c r="G49" i="36"/>
  <c r="H49" i="36" s="1"/>
  <c r="G51" i="36"/>
  <c r="H51" i="36" s="1"/>
  <c r="G52" i="36"/>
  <c r="H52" i="36" s="1"/>
  <c r="G54" i="36"/>
  <c r="H54" i="36" s="1"/>
  <c r="G55" i="36"/>
  <c r="H55" i="36" s="1"/>
  <c r="G58" i="36"/>
  <c r="H58" i="36" s="1"/>
  <c r="G4" i="36"/>
  <c r="H4" i="36" s="1"/>
  <c r="E59" i="36"/>
  <c r="F59" i="36"/>
  <c r="M15" i="37"/>
  <c r="M17" i="37" s="1"/>
  <c r="L15" i="37"/>
  <c r="L17" i="37" s="1"/>
  <c r="D53" i="36"/>
  <c r="G53" i="36" s="1"/>
  <c r="H53" i="36" s="1"/>
  <c r="D50" i="36" l="1"/>
  <c r="G50" i="36" s="1"/>
  <c r="H50" i="36" s="1"/>
  <c r="D48" i="36"/>
  <c r="G48" i="36" s="1"/>
  <c r="H48" i="36" s="1"/>
  <c r="D31" i="36" l="1"/>
  <c r="G31" i="36" s="1"/>
  <c r="H31" i="36" s="1"/>
  <c r="I4" i="36"/>
  <c r="I5" i="36"/>
  <c r="I6" i="36"/>
  <c r="I7" i="36"/>
  <c r="I13" i="36"/>
  <c r="I20" i="36"/>
  <c r="D63" i="36"/>
  <c r="D65" i="36"/>
  <c r="D28" i="36"/>
  <c r="G28" i="36" s="1"/>
  <c r="H28" i="36" s="1"/>
  <c r="D27" i="36"/>
  <c r="I27" i="36" l="1"/>
  <c r="D59" i="36"/>
  <c r="F60" i="36" s="1"/>
  <c r="G27" i="36"/>
  <c r="H27" i="36" s="1"/>
  <c r="D64" i="36"/>
  <c r="E67" i="36"/>
  <c r="F21" i="35"/>
  <c r="F13" i="35"/>
  <c r="F10" i="35"/>
  <c r="F7" i="35"/>
  <c r="F6" i="35"/>
  <c r="F5" i="35"/>
  <c r="F4" i="35"/>
  <c r="D67" i="36" l="1"/>
  <c r="D61" i="36"/>
  <c r="D62" i="36" s="1"/>
  <c r="D53" i="35"/>
  <c r="D64" i="35"/>
  <c r="D62" i="35"/>
  <c r="D30" i="35"/>
  <c r="D29" i="35"/>
  <c r="F29" i="35" s="1"/>
  <c r="D27" i="35"/>
  <c r="D63" i="35" s="1"/>
  <c r="D59" i="35" l="1"/>
  <c r="E66" i="35" s="1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4" i="34"/>
  <c r="F23" i="34"/>
  <c r="H23" i="34" s="1"/>
  <c r="G23" i="34"/>
  <c r="E23" i="34"/>
  <c r="D23" i="34"/>
  <c r="D60" i="35" l="1"/>
  <c r="D61" i="35" s="1"/>
  <c r="D66" i="35"/>
  <c r="F65" i="33"/>
  <c r="F63" i="33"/>
  <c r="E60" i="33"/>
  <c r="D60" i="33"/>
  <c r="F31" i="33"/>
  <c r="F30" i="33"/>
  <c r="F28" i="33"/>
  <c r="F60" i="33" s="1"/>
  <c r="F61" i="33" s="1"/>
  <c r="F64" i="33" l="1"/>
  <c r="F62" i="33"/>
  <c r="F59" i="32"/>
  <c r="F63" i="32" l="1"/>
  <c r="F61" i="32"/>
  <c r="E58" i="32"/>
  <c r="D58" i="32"/>
  <c r="F32" i="32"/>
  <c r="F31" i="32"/>
  <c r="F30" i="32"/>
  <c r="F28" i="32"/>
  <c r="F25" i="32"/>
  <c r="F62" i="32" s="1"/>
  <c r="F58" i="32" l="1"/>
  <c r="I54" i="31"/>
  <c r="F60" i="32" l="1"/>
  <c r="H60" i="32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8" i="31"/>
  <c r="J29" i="31"/>
  <c r="J31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4" i="31"/>
  <c r="F57" i="31" l="1"/>
  <c r="F55" i="31"/>
  <c r="E53" i="31"/>
  <c r="D53" i="31"/>
  <c r="F34" i="31"/>
  <c r="J34" i="31" s="1"/>
  <c r="F33" i="31"/>
  <c r="J33" i="31" s="1"/>
  <c r="F32" i="31"/>
  <c r="J32" i="31" s="1"/>
  <c r="F30" i="31"/>
  <c r="J30" i="31" s="1"/>
  <c r="F27" i="31"/>
  <c r="J27" i="31" s="1"/>
  <c r="F24" i="30"/>
  <c r="F40" i="30"/>
  <c r="F41" i="30"/>
  <c r="F59" i="30" s="1"/>
  <c r="F43" i="30"/>
  <c r="F9" i="30"/>
  <c r="F44" i="30"/>
  <c r="E55" i="30"/>
  <c r="D55" i="30"/>
  <c r="F37" i="30"/>
  <c r="F36" i="30"/>
  <c r="F35" i="30"/>
  <c r="F33" i="30"/>
  <c r="F30" i="30"/>
  <c r="F56" i="31" l="1"/>
  <c r="F53" i="31"/>
  <c r="F55" i="30"/>
  <c r="F57" i="30"/>
  <c r="F58" i="30"/>
  <c r="F54" i="31" l="1"/>
  <c r="F56" i="30"/>
  <c r="F13" i="22" l="1"/>
  <c r="E13" i="22" l="1"/>
  <c r="G18" i="20"/>
  <c r="I18" i="20"/>
</calcChain>
</file>

<file path=xl/comments1.xml><?xml version="1.0" encoding="utf-8"?>
<comments xmlns="http://schemas.openxmlformats.org/spreadsheetml/2006/main">
  <authors>
    <author>User</author>
  </authors>
  <commentList>
    <comment ref="E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Từ T6.22 hưởng PC hạ tầng 500ngđ thay Xuân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Lương tăng pc 1 tr từ T4.2023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số tk nhận tiền lấy số tk của bố Trinh Quang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Giữ 100k tiền vé, khi nào hcns thu được thẻ vé xe thì chi cả 100k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Từ T6.22 hưởng PC hạ tầng 500ngđ thay Xuân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Lương tăng pc 1 tr từ T4.2023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Giữ 100k tiền vé, khi nào hcns thu được thẻ vé xe thì chi cả 100k
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số tk nhận tiền lấy số tk của bố Trinh Quang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Từ T6.22 hưởng PC hạ tầng 500ngđ thay Xuân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Lương tăng pc 1 tr từ T4.2023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số tk nhận tiền lấy số tk của bố Trinh Quang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K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số tk nhận tiền lấy số tk của bố Trinh Quang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Từ T6.22 hưởng PC hạ tầng 500ngđ thay Xuân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Lương tăng pc 1 tr từ T4.2023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số tk nhận tiền lấy số tk của bố Trinh Quang</t>
        </r>
      </text>
    </comment>
  </commentList>
</comments>
</file>

<file path=xl/sharedStrings.xml><?xml version="1.0" encoding="utf-8"?>
<sst xmlns="http://schemas.openxmlformats.org/spreadsheetml/2006/main" count="4000" uniqueCount="387">
  <si>
    <t>Tổng</t>
  </si>
  <si>
    <t xml:space="preserve"> Phạm Quốc Đạt</t>
  </si>
  <si>
    <t>Trần Thị Len</t>
  </si>
  <si>
    <t>Phạm Thị Hoa</t>
  </si>
  <si>
    <t xml:space="preserve"> Trần Ngọc Xuân Hà</t>
  </si>
  <si>
    <t xml:space="preserve"> Nguyễn Huy Toàn</t>
  </si>
  <si>
    <t>Mai Thị Nhâm</t>
  </si>
  <si>
    <t>Đỗ Thị Ánh Hồng</t>
  </si>
  <si>
    <t>Trần Vĩnh Hoàng</t>
  </si>
  <si>
    <t>Nguyễn Đình Dũng</t>
  </si>
  <si>
    <t xml:space="preserve">Nguyễn Văn Hương </t>
  </si>
  <si>
    <t>Bùi Anh Tuyến</t>
  </si>
  <si>
    <t>SỐ TIỀN</t>
  </si>
  <si>
    <t>DANH SÁCH</t>
  </si>
  <si>
    <t>BẢNG LƯƠNG NHÂN VIÊN</t>
  </si>
  <si>
    <t>Lê Hồng Sơn</t>
  </si>
  <si>
    <t xml:space="preserve"> Tạ Thị Thu Hương</t>
  </si>
  <si>
    <t>Hoàng Thị Hồng Thắm</t>
  </si>
  <si>
    <t>GIÁM ĐỐC</t>
  </si>
  <si>
    <t>LÊ ANH ĐỨC</t>
  </si>
  <si>
    <t>Stt</t>
  </si>
  <si>
    <t>Trong đó:</t>
  </si>
  <si>
    <t>Idocnet</t>
  </si>
  <si>
    <t>Sáng tạo idocNet</t>
  </si>
  <si>
    <t>Long Quang</t>
  </si>
  <si>
    <t>Trần Quý Đôn</t>
  </si>
  <si>
    <t>Tạ Hồng Khang</t>
  </si>
  <si>
    <t>Phạm Vũ Ngân Hà</t>
  </si>
  <si>
    <t>Nguyễn Văn Phan</t>
  </si>
  <si>
    <t>idocNet</t>
  </si>
  <si>
    <t>idocST</t>
  </si>
  <si>
    <t>Nguyễn Thị Đông</t>
  </si>
  <si>
    <t>Nguyễn Thị Thu Thuận</t>
  </si>
  <si>
    <t>Trịnh thị Minh Anh</t>
  </si>
  <si>
    <t>Vũ Thị Út</t>
  </si>
  <si>
    <t>Vũ Thị Quỳnh</t>
  </si>
  <si>
    <t>Vũ Xuân Trường</t>
  </si>
  <si>
    <t>Nguyễn Thùy Linh</t>
  </si>
  <si>
    <t>Phạm Thị Thanh Tâm</t>
  </si>
  <si>
    <t>Nguyễn Thị Như Quỳnh</t>
  </si>
  <si>
    <t>Nguyễn Thị Thu Huyền</t>
  </si>
  <si>
    <t>Hoàng Thị Thủy</t>
  </si>
  <si>
    <t>Nguyễn Thị Hường</t>
  </si>
  <si>
    <t>Bùi Thị Mỹ Văn</t>
  </si>
  <si>
    <t>Lê Duy Hùng</t>
  </si>
  <si>
    <t>Đỗ Thị Hòa</t>
  </si>
  <si>
    <t>TM</t>
  </si>
  <si>
    <t>Số TK</t>
  </si>
  <si>
    <t>ngân hàng</t>
  </si>
  <si>
    <t>Người thụ hưởng</t>
  </si>
  <si>
    <t>19021534111019</t>
  </si>
  <si>
    <t>Techombank</t>
  </si>
  <si>
    <t>Nguyễn Thị Phượng</t>
  </si>
  <si>
    <t>19029528815676</t>
  </si>
  <si>
    <t>vietinbank</t>
  </si>
  <si>
    <t>165482255</t>
  </si>
  <si>
    <t>Vpbank</t>
  </si>
  <si>
    <t>TP bank</t>
  </si>
  <si>
    <t>161158038</t>
  </si>
  <si>
    <t>21610000571085</t>
  </si>
  <si>
    <t>bidv</t>
  </si>
  <si>
    <t>103867613163</t>
  </si>
  <si>
    <t>19032624742011</t>
  </si>
  <si>
    <t>vietcombank</t>
  </si>
  <si>
    <t>MB</t>
  </si>
  <si>
    <t>1701199086789</t>
  </si>
  <si>
    <t>19033154214018</t>
  </si>
  <si>
    <t>2007199869999</t>
  </si>
  <si>
    <t>213822985</t>
  </si>
  <si>
    <t>19036909474014</t>
  </si>
  <si>
    <t>19033538549017</t>
  </si>
  <si>
    <t>6330110686666</t>
  </si>
  <si>
    <t>108006925013</t>
  </si>
  <si>
    <t>9970197767942</t>
  </si>
  <si>
    <t>ACB</t>
  </si>
  <si>
    <t>Nguyễn Huy Hoàng</t>
  </si>
  <si>
    <t>0491000107859</t>
  </si>
  <si>
    <t>135275344</t>
  </si>
  <si>
    <t>Hoàng Thị Thúy</t>
  </si>
  <si>
    <t>0011004138496</t>
  </si>
  <si>
    <t>19027467935956</t>
  </si>
  <si>
    <t>28910000203991</t>
  </si>
  <si>
    <t>19033688219015</t>
  </si>
  <si>
    <t>0780188091984</t>
  </si>
  <si>
    <t>52817056</t>
  </si>
  <si>
    <t>Nguyễn Thị Hồng Nhung</t>
  </si>
  <si>
    <t>28910000276319</t>
  </si>
  <si>
    <t>0926398398</t>
  </si>
  <si>
    <t>28910000199814</t>
  </si>
  <si>
    <t>19035801868011</t>
  </si>
  <si>
    <t>PHÒNG BAN</t>
  </si>
  <si>
    <t>CÔNG TY</t>
  </si>
  <si>
    <t>GHI CHÚ</t>
  </si>
  <si>
    <t>CSC Cloud</t>
  </si>
  <si>
    <t>CSC ( DA)</t>
  </si>
  <si>
    <t>Dev.Biz</t>
  </si>
  <si>
    <t>Dev.FrontEnd</t>
  </si>
  <si>
    <t>Kế toán</t>
  </si>
  <si>
    <t>Dev.Mobile</t>
  </si>
  <si>
    <t>GPS</t>
  </si>
  <si>
    <t>MKT</t>
  </si>
  <si>
    <t>Sales</t>
  </si>
  <si>
    <t>HCNS</t>
  </si>
  <si>
    <t>Nguyễn Hoàng Lam</t>
  </si>
  <si>
    <t>2819231</t>
  </si>
  <si>
    <t>Phạm Quốc Đạt</t>
  </si>
  <si>
    <t>ngày bắt đầu làm việc</t>
  </si>
  <si>
    <t xml:space="preserve">DANH SÁCH NHÂN VIÊN ĐƯỢC HƯỞNG TIỀN CỐNG HIẾN </t>
  </si>
  <si>
    <t>Điều kiện áp dụng: NV làm đủ 2 năm kể từ ngày ký hợp đồng chính thức</t>
  </si>
  <si>
    <t>Ngày ký hợp đồng chính thức</t>
  </si>
  <si>
    <t>SỐ TIỀN ĐƯỢC HƯỞNG</t>
  </si>
  <si>
    <t>Ngày ký áp dụng</t>
  </si>
  <si>
    <t>Tạ Thị Thu Hương</t>
  </si>
  <si>
    <t>THỜI GIAN NHẬN TIỀN</t>
  </si>
  <si>
    <t>TỔNG TIỀN</t>
  </si>
  <si>
    <t>DS NHÂN VIÊN CHƯA THAM GIA BHXH</t>
  </si>
  <si>
    <t>HĐLĐ ký có ghi rõ tiền cống hiến</t>
  </si>
  <si>
    <t>Mức lương trước 01/07/22</t>
  </si>
  <si>
    <t>LƯƠNG AD TỪ 01/07/22</t>
  </si>
  <si>
    <t>Mức tăng</t>
  </si>
  <si>
    <t>Nguyễn Huy Toàn</t>
  </si>
  <si>
    <t>Vũ Anh Dũng</t>
  </si>
  <si>
    <t>Đào Đức Toàn</t>
  </si>
  <si>
    <t>0382756598</t>
  </si>
  <si>
    <t>04535901801</t>
  </si>
  <si>
    <t>Nguyễn Tiến Đức</t>
  </si>
  <si>
    <t>Phạm Tuấn Hải</t>
  </si>
  <si>
    <t>Lê Mạnh Dũng</t>
  </si>
  <si>
    <t>Nguyễn Long Quyền</t>
  </si>
  <si>
    <t>Chu Tiến Anh</t>
  </si>
  <si>
    <t>Phạm Huy Thắng</t>
  </si>
  <si>
    <t>238008379</t>
  </si>
  <si>
    <t>12910000369683</t>
  </si>
  <si>
    <t>BIDV</t>
  </si>
  <si>
    <t>Khuất Văn Hiệp</t>
  </si>
  <si>
    <t>HĐ LĐ ký mới duy trì cống hiến</t>
  </si>
  <si>
    <t>etem</t>
  </si>
  <si>
    <t xml:space="preserve">Đề xuất 28/09/22 sau khi ký HĐ LĐ </t>
  </si>
  <si>
    <t>Vietinbank</t>
  </si>
  <si>
    <t>103868958102</t>
  </si>
  <si>
    <t>Nguyen Long Quyen</t>
  </si>
  <si>
    <t>108867563284</t>
  </si>
  <si>
    <t>viettinbank</t>
  </si>
  <si>
    <t>12010006189789</t>
  </si>
  <si>
    <t>Nguyễn Hoàng Nam</t>
  </si>
  <si>
    <t>04330111801</t>
  </si>
  <si>
    <t>Trần Thị Thu Phương</t>
  </si>
  <si>
    <t>Vũ Minh Đức</t>
  </si>
  <si>
    <t>Nguyễn Bá Khánh</t>
  </si>
  <si>
    <t>Bùi Thiện Tú</t>
  </si>
  <si>
    <t>Vũ Mạnh Long</t>
  </si>
  <si>
    <t>Lv từ ngày 28/07/22
Đã tạm ứng 10tr, thống nhất lương sau khi có BC</t>
  </si>
  <si>
    <t>20978857231</t>
  </si>
  <si>
    <t>04394220501</t>
  </si>
  <si>
    <t>Lv từ 03/10/22 - Chính thức theo đề xuất của Mr Hương đã thông qua chỉ đạo của Sếp Tùng</t>
  </si>
  <si>
    <t>Mobile</t>
  </si>
  <si>
    <t>Ngày 10/11/22 Mr Trường đề xuất AD từ 01/04/22</t>
  </si>
  <si>
    <t xml:space="preserve">102867562457 </t>
  </si>
  <si>
    <t>6969 8501 055</t>
  </si>
  <si>
    <t>9704229201839869309</t>
  </si>
  <si>
    <t>MB bank</t>
  </si>
  <si>
    <t>Trần Ngọc Xuân Hà</t>
  </si>
  <si>
    <t>1032859711</t>
  </si>
  <si>
    <t>Nguyễn Văn Quảng</t>
  </si>
  <si>
    <t>Tv từ 07/11/22, theo chấm công của trưởng nhóm</t>
  </si>
  <si>
    <t>0387250887</t>
  </si>
  <si>
    <t>Trần Đức Lực</t>
  </si>
  <si>
    <t>Tv từ 01/12/22-31/01/23</t>
  </si>
  <si>
    <t>Nghỉ việc từ 01/02/23</t>
  </si>
  <si>
    <t>Từ T6.22 hưởng PC hạ tầng 500ngđ thay Xuân</t>
  </si>
  <si>
    <t xml:space="preserve">Tv từ19/11/22- 18/01/23
Nghỉ việc từ </t>
  </si>
  <si>
    <t>Tháng 01 năm 2023</t>
  </si>
  <si>
    <t>0711000285981</t>
  </si>
  <si>
    <t>nghỉ sinh từ 06/01/23</t>
  </si>
  <si>
    <t>Nghỉ việc từ 10/02/23
Tính lương hết 06/02/23</t>
  </si>
  <si>
    <t>nghỉ việc từ 01/2/23</t>
  </si>
  <si>
    <t>nghỉ việc từ 07/2/23</t>
  </si>
  <si>
    <t>Nghỉ việc từ 28/01/23</t>
  </si>
  <si>
    <t>Hà Việt Dũng</t>
  </si>
  <si>
    <t>Đồng Thị Tâm</t>
  </si>
  <si>
    <t>Nguyễn Huy Tâm</t>
  </si>
  <si>
    <t>Học việc 13 ngày  từ 13/2 = 3,5 tr/30 x 13 ngày. Từ  T3 = 6,5 triệu cho đến khi có thông báo mới</t>
  </si>
  <si>
    <t>Học việc 13 ngày  từ 13/2 = 3,5 tr/30 x 13 ngày. Từ  T3 =  6,5tr cho đến khi có thông báo mới</t>
  </si>
  <si>
    <t>học việc từ 08/2/2023 hưởng 3,5 triệu/30*ngày công thực tế, cho đến khi có thông báo mới</t>
  </si>
  <si>
    <t>bắt đầu chính thức từ t2</t>
  </si>
  <si>
    <t>từ tháng 3 cố định 7 triệu</t>
  </si>
  <si>
    <t>truy thu tháng 1</t>
  </si>
  <si>
    <t>nghỉ làm hết tháng 2</t>
  </si>
  <si>
    <t>30885678</t>
  </si>
  <si>
    <t xml:space="preserve">155907948 </t>
  </si>
  <si>
    <t>Phạm Thị Hoa VP Bank</t>
  </si>
  <si>
    <t>học việc từ 06/3 = 3,5/30x thực tế. 13/3/23 chính thức = 6,5tr/tháng. Sau 2 tháng thi rank sẽ có kết quả sau
Theo đề xuất của Mr Hoàng</t>
  </si>
  <si>
    <t>Đỗ Xuân Lộc</t>
  </si>
  <si>
    <t>Lê Thị Xuân</t>
  </si>
  <si>
    <t>Nguyễn Thị Phương Ánh</t>
  </si>
  <si>
    <r>
      <t xml:space="preserve">Học việc từ 20/2 --&gt; 09/3 = 100K/ngày. Từ 10/3 thử việc = 85% của 6,5tr cho đến khi có thông báo mới. 
</t>
    </r>
    <r>
      <rPr>
        <sz val="11"/>
        <color rgb="FFFF0000"/>
        <rFont val="Times New Roman"/>
        <family val="1"/>
      </rPr>
      <t>Theo đề xuất của Mr Hương</t>
    </r>
  </si>
  <si>
    <t>đào thị Thơm</t>
  </si>
  <si>
    <r>
      <t xml:space="preserve">Học việc từ 13/3 --&gt; 27/3 = 3,5tr/tháng. Từ 27/3 = 6,5 tr/tháng cho đến khi có thông báo mới
</t>
    </r>
    <r>
      <rPr>
        <sz val="11"/>
        <color rgb="FFFF0000"/>
        <rFont val="Times New Roman"/>
        <family val="1"/>
      </rPr>
      <t>Theo đề xuất của Mr Hoàng</t>
    </r>
  </si>
  <si>
    <t>Học việc từ 20/3 --&gt; 31/3 = 3,5tr/tháng. Từ 01/4 = 6,5 tr/tháng cho đến khi có thông báo mới
Theo đề xuất của Mr Hoàng</t>
  </si>
  <si>
    <t>Đỗ Thị NGọc Ly</t>
  </si>
  <si>
    <t>mobile</t>
  </si>
  <si>
    <t>01/03/223</t>
  </si>
  <si>
    <t>Nguyễn Văn Đông</t>
  </si>
  <si>
    <t>Từ 08/3 --&gt; hết 07/4 học việc = 3tr/tháng /30 ngày x thực tế</t>
  </si>
  <si>
    <t>Từ 08/4/2023 thử việc = 85% của 7 triệu cho đến khi có thông báo mới</t>
  </si>
  <si>
    <t>Phan VĂn Thăng</t>
  </si>
  <si>
    <t>Trịnh Quang</t>
  </si>
  <si>
    <t>Từ 13/3 --&gt; hết 07/4 học việc = 3tr/tháng /30 ngày x thực tế
Từ 08/4/2023 thử việc = 85% của 7 triệu, cho đến khi có thông báo mới</t>
  </si>
  <si>
    <t>Nguyễn Minh Chiến</t>
  </si>
  <si>
    <t>Từ 08/3 --&gt; hết 04/4 học việc = 3tr/tháng /30 ngày x thực tế
Từ 05/4/2023 thử việc = 85% của 7 triệu, cho đến khi có thông báo mới</t>
  </si>
  <si>
    <t>từ tháng 3 cố định 8 triệu</t>
  </si>
  <si>
    <t>CK</t>
  </si>
  <si>
    <t>học việc từ 01/3 = 3,5/30x thực tế. 13/3/23 chính thức = 6,5tr/tháng. Sau 2 tháng thi rank sẽ có kết quả sau
Theo đề xuất của Mr Hoàng</t>
  </si>
  <si>
    <t>105873067286</t>
  </si>
  <si>
    <t>102868876060</t>
  </si>
  <si>
    <t>Đào Thị Thơm</t>
  </si>
  <si>
    <t>19037007032015</t>
  </si>
  <si>
    <t>9890104121999</t>
  </si>
  <si>
    <t>mb</t>
  </si>
  <si>
    <t>Đỗ Thị Ngọc Ly</t>
  </si>
  <si>
    <t>103876564497</t>
  </si>
  <si>
    <t>DO XUAN LOC</t>
  </si>
  <si>
    <t>1024886476</t>
  </si>
  <si>
    <t xml:space="preserve">Hà Việt Dũng </t>
  </si>
  <si>
    <t>2000.000 tiền mặt</t>
  </si>
  <si>
    <t>Cao Thị Hoa</t>
  </si>
  <si>
    <t>Nguyễn Thị Bích Tuệ</t>
  </si>
  <si>
    <t>Tháng 3</t>
  </si>
  <si>
    <t>Tháng 4</t>
  </si>
  <si>
    <t>chênh lệch</t>
  </si>
  <si>
    <t>csc</t>
  </si>
  <si>
    <t>FRNOT END</t>
  </si>
  <si>
    <t>19037129510015</t>
  </si>
  <si>
    <t>0945881345</t>
  </si>
  <si>
    <t>21510002966769</t>
  </si>
  <si>
    <t>8880124010302</t>
  </si>
  <si>
    <t>Nguyen Van Dong</t>
  </si>
  <si>
    <t>6.000.000 lấy tiền mặt</t>
  </si>
  <si>
    <t>làm hết tháng 5  nghỉ</t>
  </si>
  <si>
    <t>đã trả lương 5.9 tr giữ lại 100k vé xe cho c Hồng</t>
  </si>
  <si>
    <t>CT</t>
  </si>
  <si>
    <t>làm hết tháng 5  nghỉ - trả lương</t>
  </si>
  <si>
    <t>ct</t>
  </si>
  <si>
    <t>đã nghỉ từ tháng 5- trả lương</t>
  </si>
  <si>
    <t>9394086707</t>
  </si>
  <si>
    <t>vcb</t>
  </si>
  <si>
    <t xml:space="preserve">9704229201245788978 </t>
  </si>
  <si>
    <t>Trịnh Quang chat</t>
  </si>
  <si>
    <t>03401019027308</t>
  </si>
  <si>
    <t>Ngân hàng TMCP Hàng Hải Việt Nam</t>
  </si>
  <si>
    <t>51810000957446</t>
  </si>
  <si>
    <t>181119989999</t>
  </si>
  <si>
    <t>nợ lương tháng 5</t>
  </si>
  <si>
    <t>Truy thu</t>
  </si>
  <si>
    <t>Tống thị Phương</t>
  </si>
  <si>
    <t>đã nghỉ việc</t>
  </si>
  <si>
    <t>Trần Thị thu trang</t>
  </si>
  <si>
    <t>Chu Quang Hưng</t>
  </si>
  <si>
    <t>NGọc Sơn</t>
  </si>
  <si>
    <t>Lĩnh</t>
  </si>
  <si>
    <t>lương</t>
  </si>
  <si>
    <t>ngày làm tiêu chuẩn</t>
  </si>
  <si>
    <t>lương 1 ngày</t>
  </si>
  <si>
    <t>ngày làm thực tế</t>
  </si>
  <si>
    <t>lương nhận</t>
  </si>
  <si>
    <t>Tổng lương phải trả tháng 6</t>
  </si>
  <si>
    <t>Tháng 06 năm 2023</t>
  </si>
  <si>
    <t>1068669128268</t>
  </si>
  <si>
    <t>vietin</t>
  </si>
  <si>
    <t>Hoàng Ngọc Sơn</t>
  </si>
  <si>
    <t>22010006405624</t>
  </si>
  <si>
    <t>hết tháng 6 nghỉ</t>
  </si>
  <si>
    <t>hỏi anh Hương</t>
  </si>
  <si>
    <t>hỏi c Đông</t>
  </si>
  <si>
    <t>hỏi Phan</t>
  </si>
  <si>
    <t>Nguyễn Thị Hà</t>
  </si>
  <si>
    <t>PTKT</t>
  </si>
  <si>
    <t>TV: 17/7</t>
  </si>
  <si>
    <t xml:space="preserve">LƯƠNG AD </t>
  </si>
  <si>
    <t>GHI CHÚ
/Mã phê duyệt Igoss</t>
  </si>
  <si>
    <t>Trịnh Quang Chat</t>
  </si>
  <si>
    <t>Lương chưa TT
tháng 5: đội Ql 50%</t>
  </si>
  <si>
    <t>CT - Tmặt</t>
  </si>
  <si>
    <t>CT 19/6</t>
  </si>
  <si>
    <t>Phạm Văn Lĩnh</t>
  </si>
  <si>
    <t>PHỤ CẤP</t>
  </si>
  <si>
    <t>TRUY THU</t>
  </si>
  <si>
    <t>TỔNG LƯƠNG</t>
  </si>
  <si>
    <t>VIB</t>
  </si>
  <si>
    <t>998186666</t>
  </si>
  <si>
    <t>CT1/7</t>
  </si>
  <si>
    <t>Hoàng Thị thu trang</t>
  </si>
  <si>
    <t>CT - Nghỉ hẳn 1/8/2023</t>
  </si>
  <si>
    <t>CT - nghỉ sinh từ 1/8/2023</t>
  </si>
  <si>
    <t>CT20/3 APCD5H056 - nghỉ hẳn từ 1/9/2023</t>
  </si>
  <si>
    <t>Đã duyệt - partime Từ 1/7/2023</t>
  </si>
  <si>
    <t>Phan Văn Thăng</t>
  </si>
  <si>
    <t>Tổng lương phải trả tháng 7</t>
  </si>
  <si>
    <t>Đào thị Thơm</t>
  </si>
  <si>
    <t>TỔNG CỘNG</t>
  </si>
  <si>
    <t>Tháng 07 năm 2023</t>
  </si>
  <si>
    <t>Ban GĐ</t>
  </si>
  <si>
    <t>CSC</t>
  </si>
  <si>
    <t>Cloud service</t>
  </si>
  <si>
    <t>Frontend</t>
  </si>
  <si>
    <t>TV26/5-2/6:APCD6H094: đã báo Phan,
a Đức chưa duyệt igoss</t>
  </si>
  <si>
    <t>Giữ lương do a Đức chưa duyệt trên igoss</t>
  </si>
  <si>
    <t>CT4/7</t>
  </si>
  <si>
    <t>CÔNG
TY</t>
  </si>
  <si>
    <t>NGƯỜI LẬP</t>
  </si>
  <si>
    <t>P.TCKT</t>
  </si>
  <si>
    <t>BAN GIÁM ĐỐC</t>
  </si>
  <si>
    <t>TV1/7-31/8 -check kết quả đánh giá thử việc</t>
  </si>
  <si>
    <t xml:space="preserve">TV6/6-5/8 - ck nhầm lương, đã tính lại và ck lại 1.190.000 </t>
  </si>
  <si>
    <t>sơn ck hà</t>
  </si>
  <si>
    <t>quỳnh cầm chi lương</t>
  </si>
  <si>
    <t>đã thu hồi lương T7 của sơn, tính lại chi tiền lương cho sơn 1.190.000</t>
  </si>
  <si>
    <t>tiền mặt của Hiệp và Thu trang</t>
  </si>
  <si>
    <t>Tổng lương đã chi
(còn Hoàng Thị Thu Trang chưa chi)</t>
  </si>
  <si>
    <t>CT - làm lại sau sinh 1/8/2023</t>
  </si>
  <si>
    <t>0780117545388</t>
  </si>
  <si>
    <t>19034861493019</t>
  </si>
  <si>
    <t>Lê Anh Đức</t>
  </si>
  <si>
    <t>CEO</t>
  </si>
  <si>
    <t>0780108022006</t>
  </si>
  <si>
    <t>TỔNG THƯỞNG</t>
  </si>
  <si>
    <t>Thiếu Khanh, Xuân Hà</t>
  </si>
  <si>
    <t>Lê Thanh Tùng</t>
  </si>
  <si>
    <t>PMLQ</t>
  </si>
  <si>
    <t>BẢNG THƯỞNG 2.9</t>
  </si>
  <si>
    <t>CT-1/9-c Huyền duyệt</t>
  </si>
  <si>
    <t>CT-nghỉ 1/9, giữ lương chỉ chi khi có đủ bbbg có chữ ký của trưởng nhóm</t>
  </si>
  <si>
    <t>Tổng lương phải trả tháng 8</t>
  </si>
  <si>
    <t>Tháng 08 năm 2023</t>
  </si>
  <si>
    <t>CT-Tmặt 19.027.000, CK 10tr</t>
  </si>
  <si>
    <t>170119986789</t>
  </si>
  <si>
    <t>CT 1/9</t>
  </si>
  <si>
    <t>CT - T8 làm online</t>
  </si>
  <si>
    <t>19036405970010</t>
  </si>
  <si>
    <t>TCB</t>
  </si>
  <si>
    <t>01966489601</t>
  </si>
  <si>
    <t>TPB</t>
  </si>
  <si>
    <t>Bổ sung 8.5 tr Ngân Hà đi làm lại sau sinh</t>
  </si>
  <si>
    <t>CT: Truy lĩnh 250k do chi thiếu 50% lương T5 lần 2</t>
  </si>
  <si>
    <t>Tháng 09 năm 2023</t>
  </si>
  <si>
    <t>CT - đi làm lại sau thai sản 1/8/23-chi bổ sung</t>
  </si>
  <si>
    <t xml:space="preserve">CT </t>
  </si>
  <si>
    <t>CT - T9 làm online</t>
  </si>
  <si>
    <t>LƯƠNG AD Cũ</t>
  </si>
  <si>
    <t>KT</t>
  </si>
  <si>
    <t>IdocNet</t>
  </si>
  <si>
    <t>CT-1/8-nghỉ sinh</t>
  </si>
  <si>
    <t>Mức lương đóng BHXH</t>
  </si>
  <si>
    <t>TỔNG LƯƠNG GROSS</t>
  </si>
  <si>
    <t>Trích Thuế TNCN</t>
  </si>
  <si>
    <t xml:space="preserve">Đỗ Thị Hoà </t>
  </si>
  <si>
    <t>THAI SẢN</t>
  </si>
  <si>
    <t>CT - BHXH đóng ngoài</t>
  </si>
  <si>
    <t>NGƯỜI
PHỤ THUỘC</t>
  </si>
  <si>
    <t>CÔNG TY IDOCNET</t>
  </si>
  <si>
    <t>I</t>
  </si>
  <si>
    <t>CÔNG TY IDOCST</t>
  </si>
  <si>
    <t>II</t>
  </si>
  <si>
    <t>III</t>
  </si>
  <si>
    <t>CÔNG TY LONG QUANG</t>
  </si>
  <si>
    <t>IIII</t>
  </si>
  <si>
    <t>CÔNG TY PM LONG QUANG</t>
  </si>
  <si>
    <t>Trích 10.5%
BHXH NLĐ</t>
  </si>
  <si>
    <t>Trích 21.5%
BHXH DN</t>
  </si>
  <si>
    <t>Nghỉ sinh 1/8</t>
  </si>
  <si>
    <t>Trần Hồng Nhung</t>
  </si>
  <si>
    <t>Sinh Nhật</t>
  </si>
  <si>
    <t>Ngày 07/12</t>
  </si>
  <si>
    <t>Ngày 27/11</t>
  </si>
  <si>
    <t>Ngày 06/12</t>
  </si>
  <si>
    <t>,11/12</t>
  </si>
  <si>
    <t>,09/11</t>
  </si>
  <si>
    <t>,23/10</t>
  </si>
  <si>
    <t>,19/11</t>
  </si>
  <si>
    <t>,25/11</t>
  </si>
  <si>
    <t>,30/10</t>
  </si>
  <si>
    <t>,05/11</t>
  </si>
  <si>
    <t>,25/10</t>
  </si>
  <si>
    <t>Vũ Minh Châu</t>
  </si>
  <si>
    <t>kế toán</t>
  </si>
  <si>
    <t>,31/10</t>
  </si>
  <si>
    <t>DANH SÁCH SINH NHẬT QUÝ 4 - 2024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</si>
</sst>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color rgb="FF0070C0"/>
      <name val="Times New Roman"/>
      <family val="1"/>
    </font>
    <font>
      <sz val="12"/>
      <color rgb="FFC00000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rgb="FF212529"/>
      <name val="SourceSansPro-Regular"/>
    </font>
    <font>
      <b/>
      <i/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484">
    <xf numFmtId="0" fontId="0" fillId="0" borderId="0" xfId="0"/>
    <xf numFmtId="0" fontId="2" fillId="0" borderId="0" xfId="0" applyFont="1" applyFill="1"/>
    <xf numFmtId="164" fontId="2" fillId="0" borderId="0" xfId="1" applyNumberFormat="1" applyFont="1" applyFill="1"/>
    <xf numFmtId="0" fontId="3" fillId="0" borderId="0" xfId="0" applyFont="1" applyFill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2" fillId="0" borderId="1" xfId="2" applyFont="1" applyFill="1" applyBorder="1"/>
    <xf numFmtId="164" fontId="3" fillId="0" borderId="0" xfId="1" applyNumberFormat="1" applyFont="1" applyFill="1"/>
    <xf numFmtId="0" fontId="5" fillId="0" borderId="0" xfId="0" applyFont="1" applyFill="1"/>
    <xf numFmtId="0" fontId="2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3" xfId="2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/>
    <xf numFmtId="0" fontId="8" fillId="2" borderId="3" xfId="0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64" fontId="10" fillId="0" borderId="4" xfId="1" applyNumberFormat="1" applyFont="1" applyFill="1" applyBorder="1" applyAlignment="1"/>
    <xf numFmtId="0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/>
    </xf>
    <xf numFmtId="164" fontId="11" fillId="2" borderId="3" xfId="1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8" fillId="2" borderId="3" xfId="1" applyNumberFormat="1" applyFont="1" applyFill="1" applyBorder="1" applyAlignment="1">
      <alignment vertical="center"/>
    </xf>
    <xf numFmtId="164" fontId="11" fillId="0" borderId="0" xfId="1" applyNumberFormat="1" applyFont="1" applyFill="1"/>
    <xf numFmtId="0" fontId="8" fillId="0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49" fontId="5" fillId="2" borderId="0" xfId="0" applyNumberFormat="1" applyFont="1" applyFill="1" applyAlignment="1">
      <alignment horizontal="center" vertical="center"/>
    </xf>
    <xf numFmtId="164" fontId="2" fillId="3" borderId="3" xfId="1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vertical="center" wrapText="1"/>
    </xf>
    <xf numFmtId="0" fontId="15" fillId="0" borderId="3" xfId="2" applyFont="1" applyFill="1" applyBorder="1" applyAlignment="1">
      <alignment vertical="center" wrapText="1"/>
    </xf>
    <xf numFmtId="0" fontId="16" fillId="0" borderId="3" xfId="2" applyFont="1" applyFill="1" applyBorder="1" applyAlignment="1">
      <alignment vertical="center" wrapText="1"/>
    </xf>
    <xf numFmtId="0" fontId="16" fillId="0" borderId="3" xfId="0" applyFont="1" applyFill="1" applyBorder="1" applyAlignment="1">
      <alignment horizontal="left" vertical="center"/>
    </xf>
    <xf numFmtId="0" fontId="17" fillId="0" borderId="3" xfId="2" applyFont="1" applyFill="1" applyBorder="1" applyAlignment="1">
      <alignment vertical="center" wrapText="1"/>
    </xf>
    <xf numFmtId="0" fontId="18" fillId="0" borderId="1" xfId="0" applyFont="1" applyFill="1" applyBorder="1"/>
    <xf numFmtId="0" fontId="19" fillId="0" borderId="0" xfId="0" applyFont="1" applyFill="1"/>
    <xf numFmtId="0" fontId="20" fillId="0" borderId="1" xfId="2" applyFont="1" applyFill="1" applyBorder="1" applyAlignment="1">
      <alignment horizontal="center" vertical="center" wrapText="1"/>
    </xf>
    <xf numFmtId="14" fontId="17" fillId="0" borderId="3" xfId="0" applyNumberFormat="1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/>
    <xf numFmtId="164" fontId="17" fillId="0" borderId="5" xfId="1" applyNumberFormat="1" applyFont="1" applyFill="1" applyBorder="1" applyAlignment="1">
      <alignment vertical="center" wrapText="1"/>
    </xf>
    <xf numFmtId="164" fontId="17" fillId="0" borderId="3" xfId="1" applyNumberFormat="1" applyFont="1" applyFill="1" applyBorder="1" applyAlignment="1">
      <alignment vertical="center" wrapText="1"/>
    </xf>
    <xf numFmtId="164" fontId="17" fillId="0" borderId="3" xfId="1" applyNumberFormat="1" applyFont="1" applyFill="1" applyBorder="1" applyAlignment="1">
      <alignment horizontal="right" vertical="center"/>
    </xf>
    <xf numFmtId="164" fontId="13" fillId="0" borderId="1" xfId="1" applyNumberFormat="1" applyFont="1" applyFill="1" applyBorder="1"/>
    <xf numFmtId="164" fontId="21" fillId="0" borderId="0" xfId="1" applyNumberFormat="1" applyFont="1" applyFill="1" applyBorder="1" applyAlignment="1">
      <alignment horizontal="center"/>
    </xf>
    <xf numFmtId="0" fontId="9" fillId="0" borderId="3" xfId="2" applyFont="1" applyFill="1" applyBorder="1" applyAlignment="1">
      <alignment vertical="center" wrapText="1"/>
    </xf>
    <xf numFmtId="14" fontId="2" fillId="2" borderId="3" xfId="1" applyNumberFormat="1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vertical="center" wrapText="1"/>
    </xf>
    <xf numFmtId="0" fontId="14" fillId="4" borderId="3" xfId="2" applyFont="1" applyFill="1" applyBorder="1" applyAlignment="1">
      <alignment vertical="center" wrapText="1"/>
    </xf>
    <xf numFmtId="14" fontId="17" fillId="4" borderId="3" xfId="2" applyNumberFormat="1" applyFont="1" applyFill="1" applyBorder="1" applyAlignment="1">
      <alignment vertical="center" wrapText="1"/>
    </xf>
    <xf numFmtId="164" fontId="2" fillId="4" borderId="3" xfId="1" applyNumberFormat="1" applyFont="1" applyFill="1" applyBorder="1" applyAlignment="1">
      <alignment vertical="center"/>
    </xf>
    <xf numFmtId="14" fontId="2" fillId="4" borderId="3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3" xfId="2" applyFont="1" applyFill="1" applyBorder="1" applyAlignment="1">
      <alignment vertical="center" wrapText="1"/>
    </xf>
    <xf numFmtId="0" fontId="14" fillId="5" borderId="3" xfId="2" applyFont="1" applyFill="1" applyBorder="1" applyAlignment="1">
      <alignment vertical="center" wrapText="1"/>
    </xf>
    <xf numFmtId="14" fontId="17" fillId="5" borderId="3" xfId="2" applyNumberFormat="1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vertical="center"/>
    </xf>
    <xf numFmtId="14" fontId="2" fillId="5" borderId="3" xfId="1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14" fontId="17" fillId="6" borderId="3" xfId="2" applyNumberFormat="1" applyFont="1" applyFill="1" applyBorder="1" applyAlignment="1">
      <alignment vertical="center" wrapText="1"/>
    </xf>
    <xf numFmtId="164" fontId="2" fillId="6" borderId="3" xfId="1" applyNumberFormat="1" applyFont="1" applyFill="1" applyBorder="1" applyAlignment="1">
      <alignment vertical="center"/>
    </xf>
    <xf numFmtId="14" fontId="2" fillId="6" borderId="3" xfId="1" applyNumberFormat="1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5" borderId="3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3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vertical="center" wrapText="1"/>
    </xf>
    <xf numFmtId="0" fontId="14" fillId="3" borderId="3" xfId="2" applyFont="1" applyFill="1" applyBorder="1" applyAlignment="1">
      <alignment vertical="center" wrapText="1"/>
    </xf>
    <xf numFmtId="14" fontId="17" fillId="3" borderId="3" xfId="2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6" borderId="5" xfId="2" applyFont="1" applyFill="1" applyBorder="1" applyAlignment="1">
      <alignment horizontal="center" vertical="center"/>
    </xf>
    <xf numFmtId="0" fontId="14" fillId="6" borderId="5" xfId="2" applyFont="1" applyFill="1" applyBorder="1" applyAlignment="1">
      <alignment horizontal="left" vertical="center" wrapText="1"/>
    </xf>
    <xf numFmtId="0" fontId="5" fillId="4" borderId="3" xfId="2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12" fillId="4" borderId="3" xfId="2" applyFont="1" applyFill="1" applyBorder="1" applyAlignment="1">
      <alignment vertical="center" wrapText="1"/>
    </xf>
    <xf numFmtId="164" fontId="17" fillId="4" borderId="3" xfId="1" applyNumberFormat="1" applyFont="1" applyFill="1" applyBorder="1" applyAlignment="1">
      <alignment vertical="center" wrapText="1"/>
    </xf>
    <xf numFmtId="164" fontId="17" fillId="4" borderId="5" xfId="1" applyNumberFormat="1" applyFont="1" applyFill="1" applyBorder="1" applyAlignment="1">
      <alignment vertical="center" wrapText="1"/>
    </xf>
    <xf numFmtId="164" fontId="5" fillId="4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2" fillId="4" borderId="3" xfId="2" applyFont="1" applyFill="1" applyBorder="1" applyAlignment="1">
      <alignment vertical="center"/>
    </xf>
    <xf numFmtId="0" fontId="12" fillId="4" borderId="3" xfId="0" applyFont="1" applyFill="1" applyBorder="1" applyAlignment="1">
      <alignment horizontal="left" vertical="center"/>
    </xf>
    <xf numFmtId="164" fontId="17" fillId="4" borderId="3" xfId="1" applyNumberFormat="1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6" borderId="6" xfId="2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2" fillId="3" borderId="3" xfId="2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9" fillId="3" borderId="3" xfId="2" applyFont="1" applyFill="1" applyBorder="1" applyAlignment="1">
      <alignment vertical="center" wrapText="1"/>
    </xf>
    <xf numFmtId="164" fontId="17" fillId="3" borderId="3" xfId="1" applyNumberFormat="1" applyFont="1" applyFill="1" applyBorder="1" applyAlignment="1">
      <alignment vertical="center" wrapText="1"/>
    </xf>
    <xf numFmtId="164" fontId="17" fillId="3" borderId="5" xfId="1" applyNumberFormat="1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0" fontId="8" fillId="3" borderId="0" xfId="0" applyFont="1" applyFill="1"/>
    <xf numFmtId="4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3" fillId="0" borderId="0" xfId="1" applyNumberFormat="1" applyFont="1" applyFill="1" applyBorder="1"/>
    <xf numFmtId="164" fontId="6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vertical="center" wrapText="1"/>
    </xf>
    <xf numFmtId="164" fontId="8" fillId="0" borderId="3" xfId="1" applyNumberFormat="1" applyFont="1" applyFill="1" applyBorder="1" applyAlignment="1">
      <alignment vertical="center" wrapText="1"/>
    </xf>
    <xf numFmtId="164" fontId="8" fillId="3" borderId="3" xfId="1" applyNumberFormat="1" applyFont="1" applyFill="1" applyBorder="1" applyAlignment="1">
      <alignment vertical="center" wrapText="1"/>
    </xf>
    <xf numFmtId="164" fontId="8" fillId="0" borderId="3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164" fontId="5" fillId="0" borderId="0" xfId="1" applyNumberFormat="1" applyFont="1" applyFill="1" applyBorder="1" applyAlignment="1">
      <alignment vertical="center"/>
    </xf>
    <xf numFmtId="0" fontId="5" fillId="0" borderId="3" xfId="2" applyFont="1" applyFill="1" applyBorder="1" applyAlignment="1">
      <alignment vertical="center"/>
    </xf>
    <xf numFmtId="0" fontId="12" fillId="0" borderId="3" xfId="2" applyFont="1" applyFill="1" applyBorder="1" applyAlignment="1">
      <alignment vertical="center" wrapText="1"/>
    </xf>
    <xf numFmtId="164" fontId="5" fillId="0" borderId="3" xfId="1" applyNumberFormat="1" applyFont="1" applyFill="1" applyBorder="1" applyAlignment="1">
      <alignment vertical="center" wrapText="1"/>
    </xf>
    <xf numFmtId="164" fontId="8" fillId="3" borderId="0" xfId="1" applyNumberFormat="1" applyFont="1" applyFill="1" applyBorder="1" applyAlignment="1">
      <alignment vertical="center" wrapText="1"/>
    </xf>
    <xf numFmtId="0" fontId="5" fillId="3" borderId="3" xfId="2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164" fontId="17" fillId="3" borderId="3" xfId="1" applyNumberFormat="1" applyFont="1" applyFill="1" applyBorder="1" applyAlignment="1">
      <alignment horizontal="right" vertical="center"/>
    </xf>
    <xf numFmtId="164" fontId="5" fillId="3" borderId="3" xfId="1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vertical="center" wrapText="1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164" fontId="5" fillId="3" borderId="0" xfId="1" applyNumberFormat="1" applyFont="1" applyFill="1" applyBorder="1" applyAlignment="1">
      <alignment horizontal="left" vertical="center" wrapText="1"/>
    </xf>
    <xf numFmtId="164" fontId="2" fillId="0" borderId="3" xfId="1" applyNumberFormat="1" applyFont="1" applyFill="1" applyBorder="1" applyAlignment="1">
      <alignment vertical="center"/>
    </xf>
    <xf numFmtId="0" fontId="22" fillId="0" borderId="3" xfId="2" applyFont="1" applyFill="1" applyBorder="1" applyAlignment="1">
      <alignment vertical="center" wrapText="1"/>
    </xf>
    <xf numFmtId="164" fontId="14" fillId="0" borderId="3" xfId="1" applyNumberFormat="1" applyFont="1" applyFill="1" applyBorder="1" applyAlignment="1">
      <alignment vertical="center" wrapText="1"/>
    </xf>
    <xf numFmtId="164" fontId="14" fillId="0" borderId="5" xfId="1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3" fillId="0" borderId="1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left" vertical="center"/>
    </xf>
    <xf numFmtId="164" fontId="14" fillId="0" borderId="3" xfId="1" applyNumberFormat="1" applyFont="1" applyFill="1" applyBorder="1" applyAlignment="1">
      <alignment horizontal="right" vertical="center"/>
    </xf>
    <xf numFmtId="164" fontId="2" fillId="0" borderId="4" xfId="1" applyNumberFormat="1" applyFont="1" applyFill="1" applyBorder="1" applyAlignment="1"/>
    <xf numFmtId="164" fontId="22" fillId="0" borderId="0" xfId="0" applyNumberFormat="1" applyFont="1" applyFill="1"/>
    <xf numFmtId="164" fontId="2" fillId="0" borderId="0" xfId="1" applyNumberFormat="1" applyFont="1" applyFill="1" applyBorder="1" applyAlignment="1"/>
    <xf numFmtId="0" fontId="2" fillId="0" borderId="5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6" xfId="2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164" fontId="14" fillId="0" borderId="6" xfId="1" applyNumberFormat="1" applyFont="1" applyFill="1" applyBorder="1" applyAlignment="1">
      <alignment horizontal="right" vertical="center"/>
    </xf>
    <xf numFmtId="164" fontId="14" fillId="0" borderId="8" xfId="1" applyNumberFormat="1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164" fontId="14" fillId="0" borderId="1" xfId="1" applyNumberFormat="1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164" fontId="14" fillId="3" borderId="5" xfId="1" applyNumberFormat="1" applyFont="1" applyFill="1" applyBorder="1" applyAlignment="1">
      <alignment vertical="center" wrapText="1"/>
    </xf>
    <xf numFmtId="0" fontId="2" fillId="3" borderId="0" xfId="0" applyFont="1" applyFill="1"/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2" fillId="3" borderId="3" xfId="2" applyFont="1" applyFill="1" applyBorder="1" applyAlignment="1">
      <alignment vertical="center" wrapText="1"/>
    </xf>
    <xf numFmtId="164" fontId="14" fillId="3" borderId="3" xfId="1" applyNumberFormat="1" applyFont="1" applyFill="1" applyBorder="1" applyAlignment="1">
      <alignment vertical="center" wrapText="1"/>
    </xf>
    <xf numFmtId="164" fontId="2" fillId="0" borderId="6" xfId="1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left" vertical="center"/>
    </xf>
    <xf numFmtId="164" fontId="2" fillId="0" borderId="0" xfId="0" applyNumberFormat="1" applyFont="1" applyFill="1"/>
    <xf numFmtId="164" fontId="2" fillId="0" borderId="1" xfId="0" applyNumberFormat="1" applyFont="1" applyFill="1" applyBorder="1"/>
    <xf numFmtId="0" fontId="6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2" fillId="3" borderId="1" xfId="1" applyNumberFormat="1" applyFont="1" applyFill="1" applyBorder="1" applyAlignment="1">
      <alignment vertical="center"/>
    </xf>
    <xf numFmtId="164" fontId="2" fillId="7" borderId="3" xfId="1" applyNumberFormat="1" applyFont="1" applyFill="1" applyBorder="1" applyAlignment="1">
      <alignment vertical="center"/>
    </xf>
    <xf numFmtId="164" fontId="2" fillId="7" borderId="6" xfId="1" applyNumberFormat="1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vertical="center"/>
    </xf>
    <xf numFmtId="0" fontId="8" fillId="3" borderId="3" xfId="2" applyFont="1" applyFill="1" applyBorder="1" applyAlignment="1">
      <alignment vertical="center"/>
    </xf>
    <xf numFmtId="0" fontId="9" fillId="3" borderId="3" xfId="0" applyFont="1" applyFill="1" applyBorder="1" applyAlignment="1">
      <alignment horizontal="left" vertical="center"/>
    </xf>
    <xf numFmtId="164" fontId="16" fillId="3" borderId="3" xfId="1" applyNumberFormat="1" applyFont="1" applyFill="1" applyBorder="1" applyAlignment="1">
      <alignment horizontal="right" vertical="center"/>
    </xf>
    <xf numFmtId="164" fontId="16" fillId="3" borderId="5" xfId="1" applyNumberFormat="1" applyFont="1" applyFill="1" applyBorder="1" applyAlignment="1">
      <alignment vertical="center" wrapText="1"/>
    </xf>
    <xf numFmtId="164" fontId="8" fillId="3" borderId="3" xfId="1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164" fontId="14" fillId="3" borderId="1" xfId="1" applyNumberFormat="1" applyFont="1" applyFill="1" applyBorder="1" applyAlignment="1">
      <alignment horizontal="right" vertical="center"/>
    </xf>
    <xf numFmtId="164" fontId="14" fillId="3" borderId="1" xfId="1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4" fontId="3" fillId="3" borderId="0" xfId="1" applyNumberFormat="1" applyFont="1" applyFill="1"/>
    <xf numFmtId="164" fontId="3" fillId="0" borderId="0" xfId="0" applyNumberFormat="1" applyFont="1" applyFill="1"/>
    <xf numFmtId="0" fontId="2" fillId="0" borderId="8" xfId="2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2" fillId="0" borderId="8" xfId="2" applyFont="1" applyFill="1" applyBorder="1" applyAlignment="1">
      <alignment vertical="center" wrapText="1"/>
    </xf>
    <xf numFmtId="164" fontId="2" fillId="0" borderId="8" xfId="1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vertical="center" wrapText="1"/>
    </xf>
    <xf numFmtId="0" fontId="2" fillId="0" borderId="1" xfId="0" applyFont="1" applyFill="1" applyBorder="1"/>
    <xf numFmtId="0" fontId="5" fillId="0" borderId="1" xfId="2" applyFont="1" applyFill="1" applyBorder="1" applyAlignment="1">
      <alignment vertical="center"/>
    </xf>
    <xf numFmtId="0" fontId="12" fillId="0" borderId="1" xfId="2" applyFont="1" applyFill="1" applyBorder="1" applyAlignment="1">
      <alignment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8" fillId="3" borderId="1" xfId="1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164" fontId="2" fillId="0" borderId="5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vertic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NumberFormat="1" applyFont="1" applyBorder="1"/>
    <xf numFmtId="0" fontId="2" fillId="0" borderId="0" xfId="2" applyFont="1" applyFill="1" applyBorder="1"/>
    <xf numFmtId="0" fontId="3" fillId="0" borderId="0" xfId="0" applyFont="1" applyFill="1" applyBorder="1"/>
    <xf numFmtId="164" fontId="13" fillId="0" borderId="0" xfId="1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3" borderId="8" xfId="2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2" fillId="3" borderId="8" xfId="2" applyFont="1" applyFill="1" applyBorder="1" applyAlignment="1">
      <alignment vertical="center" wrapText="1"/>
    </xf>
    <xf numFmtId="164" fontId="2" fillId="3" borderId="8" xfId="1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4" fontId="2" fillId="3" borderId="5" xfId="0" applyNumberFormat="1" applyFont="1" applyFill="1" applyBorder="1" applyAlignment="1">
      <alignment vertical="center"/>
    </xf>
    <xf numFmtId="49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/>
    <xf numFmtId="0" fontId="26" fillId="0" borderId="1" xfId="2" applyFont="1" applyFill="1" applyBorder="1" applyAlignment="1">
      <alignment horizontal="center" vertical="center"/>
    </xf>
    <xf numFmtId="0" fontId="26" fillId="0" borderId="1" xfId="2" applyFont="1" applyFill="1" applyBorder="1" applyAlignment="1">
      <alignment horizontal="center" vertical="center" wrapText="1"/>
    </xf>
    <xf numFmtId="164" fontId="26" fillId="0" borderId="1" xfId="1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164" fontId="26" fillId="0" borderId="1" xfId="1" applyNumberFormat="1" applyFont="1" applyFill="1" applyBorder="1" applyAlignment="1">
      <alignment horizontal="center" vertical="center"/>
    </xf>
    <xf numFmtId="164" fontId="26" fillId="3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" xfId="2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/>
    </xf>
    <xf numFmtId="164" fontId="27" fillId="0" borderId="1" xfId="1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164" fontId="27" fillId="3" borderId="1" xfId="1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2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7" fillId="0" borderId="8" xfId="2" applyFont="1" applyFill="1" applyBorder="1" applyAlignment="1">
      <alignment horizontal="left" vertical="center" wrapText="1"/>
    </xf>
    <xf numFmtId="164" fontId="27" fillId="0" borderId="8" xfId="1" applyNumberFormat="1" applyFont="1" applyFill="1" applyBorder="1" applyAlignment="1">
      <alignment vertical="center"/>
    </xf>
    <xf numFmtId="0" fontId="27" fillId="0" borderId="8" xfId="0" applyFont="1" applyFill="1" applyBorder="1" applyAlignment="1">
      <alignment vertical="center"/>
    </xf>
    <xf numFmtId="164" fontId="27" fillId="0" borderId="5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164" fontId="28" fillId="0" borderId="1" xfId="1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49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/>
    <xf numFmtId="49" fontId="27" fillId="0" borderId="1" xfId="0" quotePrefix="1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/>
    </xf>
    <xf numFmtId="0" fontId="2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/>
    </xf>
    <xf numFmtId="164" fontId="26" fillId="0" borderId="1" xfId="1" applyNumberFormat="1" applyFont="1" applyFill="1" applyBorder="1"/>
    <xf numFmtId="164" fontId="26" fillId="3" borderId="1" xfId="1" applyNumberFormat="1" applyFont="1" applyFill="1" applyBorder="1" applyAlignment="1">
      <alignment vertical="center"/>
    </xf>
    <xf numFmtId="164" fontId="26" fillId="0" borderId="1" xfId="1" applyNumberFormat="1" applyFont="1" applyFill="1" applyBorder="1" applyAlignment="1">
      <alignment vertical="center"/>
    </xf>
    <xf numFmtId="164" fontId="26" fillId="0" borderId="1" xfId="1" applyNumberFormat="1" applyFont="1" applyFill="1" applyBorder="1" applyAlignment="1">
      <alignment horizontal="left"/>
    </xf>
    <xf numFmtId="49" fontId="26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/>
    <xf numFmtId="0" fontId="27" fillId="0" borderId="0" xfId="2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left"/>
    </xf>
    <xf numFmtId="164" fontId="26" fillId="0" borderId="0" xfId="1" applyNumberFormat="1" applyFont="1" applyFill="1" applyBorder="1"/>
    <xf numFmtId="164" fontId="26" fillId="0" borderId="0" xfId="1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/>
    </xf>
    <xf numFmtId="164" fontId="27" fillId="0" borderId="0" xfId="1" applyNumberFormat="1" applyFont="1" applyFill="1" applyBorder="1" applyAlignment="1"/>
    <xf numFmtId="164" fontId="27" fillId="0" borderId="0" xfId="1" applyNumberFormat="1" applyFont="1" applyFill="1"/>
    <xf numFmtId="0" fontId="30" fillId="0" borderId="0" xfId="0" applyFont="1" applyFill="1"/>
    <xf numFmtId="0" fontId="30" fillId="0" borderId="0" xfId="0" applyFont="1" applyFill="1" applyAlignment="1">
      <alignment horizontal="left"/>
    </xf>
    <xf numFmtId="164" fontId="30" fillId="0" borderId="0" xfId="1" applyNumberFormat="1" applyFont="1" applyFill="1" applyBorder="1" applyAlignment="1">
      <alignment horizontal="center"/>
    </xf>
    <xf numFmtId="164" fontId="27" fillId="0" borderId="0" xfId="1" applyNumberFormat="1" applyFont="1" applyFill="1" applyBorder="1" applyAlignment="1">
      <alignment horizontal="center"/>
    </xf>
    <xf numFmtId="164" fontId="27" fillId="0" borderId="0" xfId="1" applyNumberFormat="1" applyFont="1" applyFill="1" applyBorder="1" applyAlignment="1">
      <alignment horizontal="left"/>
    </xf>
    <xf numFmtId="0" fontId="27" fillId="3" borderId="1" xfId="2" applyFont="1" applyFill="1" applyBorder="1" applyAlignment="1">
      <alignment vertical="center"/>
    </xf>
    <xf numFmtId="0" fontId="27" fillId="3" borderId="1" xfId="0" applyFont="1" applyFill="1" applyBorder="1" applyAlignment="1">
      <alignment horizontal="left" vertical="center"/>
    </xf>
    <xf numFmtId="0" fontId="27" fillId="3" borderId="1" xfId="2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vertical="center"/>
    </xf>
    <xf numFmtId="0" fontId="27" fillId="3" borderId="0" xfId="0" applyFont="1" applyFill="1"/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9" fillId="3" borderId="0" xfId="0" applyFont="1" applyFill="1" applyAlignment="1">
      <alignment horizontal="left"/>
    </xf>
    <xf numFmtId="0" fontId="29" fillId="0" borderId="0" xfId="0" applyFont="1" applyFill="1" applyAlignment="1">
      <alignment vertical="center" wrapText="1"/>
    </xf>
    <xf numFmtId="0" fontId="2" fillId="8" borderId="1" xfId="2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22" fillId="8" borderId="1" xfId="2" applyFont="1" applyFill="1" applyBorder="1" applyAlignment="1">
      <alignment vertical="center" wrapText="1"/>
    </xf>
    <xf numFmtId="164" fontId="2" fillId="8" borderId="1" xfId="1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/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/>
    <xf numFmtId="164" fontId="27" fillId="0" borderId="0" xfId="0" applyNumberFormat="1" applyFont="1" applyFill="1"/>
    <xf numFmtId="164" fontId="27" fillId="3" borderId="0" xfId="1" applyNumberFormat="1" applyFont="1" applyFill="1" applyBorder="1" applyAlignment="1">
      <alignment horizontal="center"/>
    </xf>
    <xf numFmtId="164" fontId="27" fillId="3" borderId="0" xfId="1" applyNumberFormat="1" applyFont="1" applyFill="1"/>
    <xf numFmtId="164" fontId="27" fillId="0" borderId="0" xfId="1" applyNumberFormat="1" applyFont="1" applyFill="1" applyAlignment="1">
      <alignment horizontal="center"/>
    </xf>
    <xf numFmtId="49" fontId="27" fillId="0" borderId="0" xfId="0" applyNumberFormat="1" applyFont="1" applyFill="1" applyAlignment="1">
      <alignment horizontal="center" vertical="center" wrapText="1"/>
    </xf>
    <xf numFmtId="0" fontId="27" fillId="3" borderId="1" xfId="0" applyFont="1" applyFill="1" applyBorder="1" applyAlignment="1">
      <alignment horizontal="left" vertical="center" wrapText="1"/>
    </xf>
    <xf numFmtId="49" fontId="27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vertical="center"/>
    </xf>
    <xf numFmtId="0" fontId="27" fillId="8" borderId="1" xfId="2" applyFont="1" applyFill="1" applyBorder="1" applyAlignment="1">
      <alignment vertical="center"/>
    </xf>
    <xf numFmtId="0" fontId="27" fillId="8" borderId="1" xfId="0" applyFont="1" applyFill="1" applyBorder="1" applyAlignment="1">
      <alignment horizontal="left" vertical="center"/>
    </xf>
    <xf numFmtId="0" fontId="27" fillId="8" borderId="1" xfId="2" applyFont="1" applyFill="1" applyBorder="1" applyAlignment="1">
      <alignment horizontal="left" vertical="center" wrapText="1"/>
    </xf>
    <xf numFmtId="164" fontId="27" fillId="8" borderId="1" xfId="1" applyNumberFormat="1" applyFont="1" applyFill="1" applyBorder="1" applyAlignment="1">
      <alignment vertical="center"/>
    </xf>
    <xf numFmtId="0" fontId="27" fillId="8" borderId="1" xfId="0" applyFont="1" applyFill="1" applyBorder="1" applyAlignment="1">
      <alignment vertical="center"/>
    </xf>
    <xf numFmtId="0" fontId="27" fillId="8" borderId="1" xfId="0" applyFont="1" applyFill="1" applyBorder="1" applyAlignment="1">
      <alignment horizontal="left" vertical="center" wrapText="1"/>
    </xf>
    <xf numFmtId="49" fontId="27" fillId="8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8" borderId="0" xfId="0" applyFont="1" applyFill="1"/>
    <xf numFmtId="0" fontId="27" fillId="8" borderId="1" xfId="0" applyFont="1" applyFill="1" applyBorder="1" applyAlignment="1">
      <alignment horizontal="left"/>
    </xf>
    <xf numFmtId="49" fontId="27" fillId="3" borderId="1" xfId="0" quotePrefix="1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left" vertical="center" wrapText="1"/>
    </xf>
    <xf numFmtId="0" fontId="27" fillId="9" borderId="1" xfId="2" applyFont="1" applyFill="1" applyBorder="1" applyAlignment="1">
      <alignment vertical="center"/>
    </xf>
    <xf numFmtId="0" fontId="27" fillId="9" borderId="1" xfId="0" applyFont="1" applyFill="1" applyBorder="1" applyAlignment="1">
      <alignment horizontal="left" vertical="center"/>
    </xf>
    <xf numFmtId="0" fontId="27" fillId="9" borderId="1" xfId="2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vertical="center"/>
    </xf>
    <xf numFmtId="164" fontId="27" fillId="9" borderId="1" xfId="1" applyNumberFormat="1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0" xfId="0" applyFont="1" applyFill="1"/>
    <xf numFmtId="0" fontId="28" fillId="8" borderId="1" xfId="0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left" vertical="center" wrapText="1"/>
    </xf>
    <xf numFmtId="49" fontId="27" fillId="9" borderId="1" xfId="0" applyNumberFormat="1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left"/>
    </xf>
    <xf numFmtId="0" fontId="28" fillId="9" borderId="1" xfId="0" applyFont="1" applyFill="1" applyBorder="1" applyAlignment="1">
      <alignment horizontal="left" vertical="center" wrapText="1"/>
    </xf>
    <xf numFmtId="0" fontId="27" fillId="10" borderId="1" xfId="2" applyFont="1" applyFill="1" applyBorder="1" applyAlignment="1">
      <alignment vertical="center"/>
    </xf>
    <xf numFmtId="0" fontId="27" fillId="10" borderId="1" xfId="0" applyFont="1" applyFill="1" applyBorder="1" applyAlignment="1">
      <alignment horizontal="left" vertical="center"/>
    </xf>
    <xf numFmtId="0" fontId="27" fillId="10" borderId="1" xfId="0" applyFont="1" applyFill="1" applyBorder="1" applyAlignment="1">
      <alignment vertical="center"/>
    </xf>
    <xf numFmtId="164" fontId="27" fillId="10" borderId="1" xfId="1" applyNumberFormat="1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 wrapText="1"/>
    </xf>
    <xf numFmtId="49" fontId="27" fillId="10" borderId="1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vertical="center"/>
    </xf>
    <xf numFmtId="164" fontId="28" fillId="9" borderId="1" xfId="1" applyNumberFormat="1" applyFont="1" applyFill="1" applyBorder="1" applyAlignment="1">
      <alignment vertical="center"/>
    </xf>
    <xf numFmtId="49" fontId="28" fillId="9" borderId="1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0" xfId="0" applyFont="1" applyFill="1"/>
    <xf numFmtId="0" fontId="26" fillId="0" borderId="1" xfId="0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7" fillId="3" borderId="8" xfId="0" applyFont="1" applyFill="1" applyBorder="1" applyAlignment="1">
      <alignment horizontal="left" vertical="center"/>
    </xf>
    <xf numFmtId="0" fontId="27" fillId="3" borderId="8" xfId="2" applyFont="1" applyFill="1" applyBorder="1" applyAlignment="1">
      <alignment horizontal="left" vertical="center" wrapText="1"/>
    </xf>
    <xf numFmtId="0" fontId="27" fillId="3" borderId="8" xfId="0" applyFont="1" applyFill="1" applyBorder="1" applyAlignment="1">
      <alignment vertical="center"/>
    </xf>
    <xf numFmtId="164" fontId="27" fillId="3" borderId="8" xfId="1" applyNumberFormat="1" applyFont="1" applyFill="1" applyBorder="1" applyAlignment="1">
      <alignment vertical="center"/>
    </xf>
    <xf numFmtId="164" fontId="27" fillId="9" borderId="0" xfId="1" applyNumberFormat="1" applyFont="1" applyFill="1" applyBorder="1" applyAlignment="1">
      <alignment vertical="center"/>
    </xf>
    <xf numFmtId="0" fontId="28" fillId="9" borderId="0" xfId="0" applyFont="1" applyFill="1" applyBorder="1" applyAlignment="1">
      <alignment horizontal="left" vertical="center" wrapText="1"/>
    </xf>
    <xf numFmtId="49" fontId="27" fillId="3" borderId="0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9" borderId="1" xfId="0" applyFont="1" applyFill="1" applyBorder="1"/>
    <xf numFmtId="0" fontId="27" fillId="10" borderId="1" xfId="0" applyFont="1" applyFill="1" applyBorder="1"/>
    <xf numFmtId="164" fontId="27" fillId="8" borderId="0" xfId="1" applyNumberFormat="1" applyFont="1" applyFill="1" applyBorder="1" applyAlignment="1">
      <alignment vertical="center"/>
    </xf>
    <xf numFmtId="0" fontId="27" fillId="0" borderId="0" xfId="0" applyFont="1" applyFill="1" applyAlignment="1">
      <alignment horizontal="right" vertical="center"/>
    </xf>
    <xf numFmtId="49" fontId="27" fillId="8" borderId="1" xfId="0" quotePrefix="1" applyNumberFormat="1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left"/>
    </xf>
    <xf numFmtId="0" fontId="27" fillId="9" borderId="1" xfId="0" applyFont="1" applyFill="1" applyBorder="1" applyAlignment="1">
      <alignment horizontal="center" vertical="center" wrapText="1"/>
    </xf>
    <xf numFmtId="0" fontId="26" fillId="8" borderId="1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164" fontId="26" fillId="8" borderId="1" xfId="1" applyNumberFormat="1" applyFont="1" applyFill="1" applyBorder="1" applyAlignment="1">
      <alignment horizontal="center" vertical="center" wrapText="1"/>
    </xf>
    <xf numFmtId="164" fontId="26" fillId="8" borderId="1" xfId="1" applyNumberFormat="1" applyFont="1" applyFill="1" applyBorder="1" applyAlignment="1">
      <alignment horizontal="center" vertical="center"/>
    </xf>
    <xf numFmtId="0" fontId="27" fillId="8" borderId="0" xfId="0" applyFont="1" applyFill="1" applyAlignment="1">
      <alignment vertical="center"/>
    </xf>
    <xf numFmtId="0" fontId="26" fillId="0" borderId="9" xfId="0" applyFont="1" applyFill="1" applyBorder="1" applyAlignment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/>
    <xf numFmtId="164" fontId="26" fillId="0" borderId="0" xfId="1" applyNumberFormat="1" applyFont="1" applyFill="1" applyBorder="1" applyAlignment="1">
      <alignment vertical="center"/>
    </xf>
    <xf numFmtId="164" fontId="26" fillId="0" borderId="0" xfId="1" applyNumberFormat="1" applyFont="1" applyFill="1" applyAlignment="1">
      <alignment horizontal="center"/>
    </xf>
    <xf numFmtId="49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27" fillId="11" borderId="0" xfId="0" applyFont="1" applyFill="1"/>
    <xf numFmtId="0" fontId="31" fillId="11" borderId="0" xfId="0" applyFont="1" applyFill="1"/>
    <xf numFmtId="0" fontId="28" fillId="11" borderId="0" xfId="0" applyFont="1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2" borderId="0" xfId="0" applyFont="1" applyFill="1"/>
    <xf numFmtId="0" fontId="31" fillId="2" borderId="0" xfId="0" applyFont="1" applyFill="1"/>
    <xf numFmtId="0" fontId="28" fillId="2" borderId="0" xfId="0" applyFont="1" applyFill="1"/>
    <xf numFmtId="0" fontId="3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/>
    </xf>
    <xf numFmtId="0" fontId="27" fillId="0" borderId="0" xfId="2" applyFont="1" applyFill="1" applyBorder="1" applyAlignment="1">
      <alignment horizontal="center"/>
    </xf>
    <xf numFmtId="0" fontId="34" fillId="0" borderId="1" xfId="2" applyFont="1" applyFill="1" applyBorder="1" applyAlignment="1">
      <alignment horizontal="center" vertical="center"/>
    </xf>
    <xf numFmtId="0" fontId="34" fillId="0" borderId="1" xfId="2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3" fillId="2" borderId="1" xfId="2" applyFont="1" applyFill="1" applyBorder="1" applyAlignment="1">
      <alignment horizontal="center" vertical="center"/>
    </xf>
    <xf numFmtId="0" fontId="33" fillId="2" borderId="1" xfId="2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/>
    </xf>
    <xf numFmtId="164" fontId="34" fillId="2" borderId="1" xfId="1" applyNumberFormat="1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26" fillId="0" borderId="9" xfId="2" applyFont="1" applyFill="1" applyBorder="1" applyAlignment="1">
      <alignment horizontal="left" vertical="center"/>
    </xf>
    <xf numFmtId="0" fontId="26" fillId="0" borderId="11" xfId="2" applyFont="1" applyFill="1" applyBorder="1" applyAlignment="1">
      <alignment horizontal="left" vertical="center"/>
    </xf>
    <xf numFmtId="0" fontId="26" fillId="0" borderId="10" xfId="2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32" fillId="0" borderId="2" xfId="2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4" fontId="27" fillId="0" borderId="0" xfId="1" applyNumberFormat="1" applyFont="1" applyFill="1" applyAlignment="1">
      <alignment horizontal="center"/>
    </xf>
    <xf numFmtId="49" fontId="27" fillId="0" borderId="9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246529</xdr:colOff>
      <xdr:row>37</xdr:row>
      <xdr:rowOff>170160</xdr:rowOff>
    </xdr:from>
    <xdr:to>
      <xdr:col>15</xdr:col>
      <xdr:colOff>193861</xdr:colOff>
      <xdr:row>42</xdr:row>
      <xdr:rowOff>124386</xdr:rowOff>
    </xdr:to>
    <xdr:pic>
      <xdr:nvPicPr>
        <xdr:cNvPr id="256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12705" y="11723425"/>
          <a:ext cx="1762685" cy="1993696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246529</xdr:colOff>
      <xdr:row>29</xdr:row>
      <xdr:rowOff>170160</xdr:rowOff>
    </xdr:from>
    <xdr:to>
      <xdr:col>17</xdr:col>
      <xdr:colOff>3361</xdr:colOff>
      <xdr:row>34</xdr:row>
      <xdr:rowOff>137584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04754" y="9723735"/>
          <a:ext cx="1776132" cy="198080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246529</xdr:colOff>
      <xdr:row>34</xdr:row>
      <xdr:rowOff>170160</xdr:rowOff>
    </xdr:from>
    <xdr:to>
      <xdr:col>17</xdr:col>
      <xdr:colOff>193861</xdr:colOff>
      <xdr:row>39</xdr:row>
      <xdr:rowOff>45944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95629" y="11685885"/>
          <a:ext cx="1776132" cy="198305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246529</xdr:colOff>
      <xdr:row>32</xdr:row>
      <xdr:rowOff>170160</xdr:rowOff>
    </xdr:from>
    <xdr:to>
      <xdr:col>15</xdr:col>
      <xdr:colOff>193861</xdr:colOff>
      <xdr:row>37</xdr:row>
      <xdr:rowOff>45944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00454" y="10619085"/>
          <a:ext cx="1776132" cy="1980809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246529</xdr:colOff>
      <xdr:row>32</xdr:row>
      <xdr:rowOff>170160</xdr:rowOff>
    </xdr:from>
    <xdr:to>
      <xdr:col>16</xdr:col>
      <xdr:colOff>193861</xdr:colOff>
      <xdr:row>37</xdr:row>
      <xdr:rowOff>45944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48254" y="10028535"/>
          <a:ext cx="1776132" cy="1980809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320612</xdr:colOff>
      <xdr:row>0</xdr:row>
      <xdr:rowOff>0</xdr:rowOff>
    </xdr:from>
    <xdr:to>
      <xdr:col>21</xdr:col>
      <xdr:colOff>267944</xdr:colOff>
      <xdr:row>4</xdr:row>
      <xdr:rowOff>285750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9262" y="0"/>
          <a:ext cx="1776132" cy="1971907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320612</xdr:colOff>
      <xdr:row>0</xdr:row>
      <xdr:rowOff>0</xdr:rowOff>
    </xdr:from>
    <xdr:to>
      <xdr:col>21</xdr:col>
      <xdr:colOff>267944</xdr:colOff>
      <xdr:row>78</xdr:row>
      <xdr:rowOff>9757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5029" y="0"/>
          <a:ext cx="1788832" cy="1978257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320612</xdr:colOff>
      <xdr:row>0</xdr:row>
      <xdr:rowOff>0</xdr:rowOff>
    </xdr:from>
    <xdr:to>
      <xdr:col>18</xdr:col>
      <xdr:colOff>267944</xdr:colOff>
      <xdr:row>4</xdr:row>
      <xdr:rowOff>285750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9262" y="0"/>
          <a:ext cx="1776132" cy="1971907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320612</xdr:colOff>
      <xdr:row>0</xdr:row>
      <xdr:rowOff>0</xdr:rowOff>
    </xdr:from>
    <xdr:to>
      <xdr:col>21</xdr:col>
      <xdr:colOff>267944</xdr:colOff>
      <xdr:row>4</xdr:row>
      <xdr:rowOff>295507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9262" y="0"/>
          <a:ext cx="1776132" cy="1971907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246529</xdr:colOff>
      <xdr:row>31</xdr:row>
      <xdr:rowOff>170160</xdr:rowOff>
    </xdr:from>
    <xdr:to>
      <xdr:col>15</xdr:col>
      <xdr:colOff>193861</xdr:colOff>
      <xdr:row>36</xdr:row>
      <xdr:rowOff>45944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67279" y="10028535"/>
          <a:ext cx="1776132" cy="198080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&#7918;%20LI&#7878;U%20-%20H&#192;\K&#7870;%20TO&#193;N%20N&#7896;I%20B&#7896;%20-H&#210;A\4.L&#431;&#416;NG%20NB\T7.2023\Chuyenkhoantheobangke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&#7918;%20LI&#7878;U%20-%20H&#192;\K&#7870;%20TO&#193;N%20N&#7896;I%20B&#7896;%20-H&#210;A\4.L&#431;&#416;NG%20NB\Th&#432;&#7903;ng%202.9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E5">
            <v>12000000</v>
          </cell>
        </row>
        <row r="6">
          <cell r="E6">
            <v>10800000</v>
          </cell>
        </row>
        <row r="7">
          <cell r="E7">
            <v>14000000</v>
          </cell>
        </row>
        <row r="8">
          <cell r="E8">
            <v>10000000</v>
          </cell>
        </row>
        <row r="9">
          <cell r="E9">
            <v>14000000</v>
          </cell>
        </row>
        <row r="10">
          <cell r="E10">
            <v>8000000</v>
          </cell>
        </row>
        <row r="11">
          <cell r="E11">
            <v>8000000</v>
          </cell>
        </row>
        <row r="12">
          <cell r="E12">
            <v>10000000</v>
          </cell>
        </row>
        <row r="13">
          <cell r="E13">
            <v>8000000</v>
          </cell>
        </row>
        <row r="14">
          <cell r="E14">
            <v>19000000</v>
          </cell>
        </row>
        <row r="15">
          <cell r="E15">
            <v>19000000</v>
          </cell>
        </row>
        <row r="16">
          <cell r="E16">
            <v>12000000</v>
          </cell>
        </row>
        <row r="17">
          <cell r="E17">
            <v>12000000</v>
          </cell>
        </row>
        <row r="18">
          <cell r="E18">
            <v>12000000</v>
          </cell>
        </row>
        <row r="19">
          <cell r="E19">
            <v>9000000</v>
          </cell>
        </row>
        <row r="20">
          <cell r="E20">
            <v>24000000</v>
          </cell>
        </row>
        <row r="21">
          <cell r="E21">
            <v>12000000</v>
          </cell>
        </row>
        <row r="22">
          <cell r="E22">
            <v>8000000</v>
          </cell>
        </row>
        <row r="23">
          <cell r="E23">
            <v>8000000</v>
          </cell>
        </row>
        <row r="24">
          <cell r="E24">
            <v>9000000</v>
          </cell>
        </row>
        <row r="25">
          <cell r="E25">
            <v>12000000</v>
          </cell>
        </row>
        <row r="26">
          <cell r="E26">
            <v>15000000</v>
          </cell>
        </row>
        <row r="27">
          <cell r="E27">
            <v>16500000</v>
          </cell>
        </row>
        <row r="28">
          <cell r="E28">
            <v>5000000</v>
          </cell>
        </row>
        <row r="29">
          <cell r="E29">
            <v>6500000</v>
          </cell>
        </row>
        <row r="30">
          <cell r="E30">
            <v>8000000</v>
          </cell>
        </row>
        <row r="31">
          <cell r="E31">
            <v>6500000</v>
          </cell>
        </row>
        <row r="32">
          <cell r="E32">
            <v>6500000</v>
          </cell>
        </row>
        <row r="33">
          <cell r="E33">
            <v>6500000</v>
          </cell>
        </row>
        <row r="34">
          <cell r="E34">
            <v>6500000</v>
          </cell>
        </row>
        <row r="35">
          <cell r="E35">
            <v>6402500</v>
          </cell>
        </row>
        <row r="36">
          <cell r="E36">
            <v>7000000</v>
          </cell>
        </row>
        <row r="37">
          <cell r="E37">
            <v>7000000</v>
          </cell>
        </row>
        <row r="38">
          <cell r="E38">
            <v>7000000</v>
          </cell>
        </row>
        <row r="39">
          <cell r="E39">
            <v>7000000</v>
          </cell>
        </row>
        <row r="40">
          <cell r="E40">
            <v>5950000</v>
          </cell>
        </row>
        <row r="41">
          <cell r="E41">
            <v>45178000</v>
          </cell>
        </row>
        <row r="42">
          <cell r="E42">
            <v>42960000</v>
          </cell>
        </row>
        <row r="43">
          <cell r="E43">
            <v>20913000</v>
          </cell>
        </row>
        <row r="44">
          <cell r="E44">
            <v>28753000</v>
          </cell>
        </row>
        <row r="45">
          <cell r="E45">
            <v>29027000</v>
          </cell>
        </row>
        <row r="46">
          <cell r="E46">
            <v>35126000</v>
          </cell>
        </row>
        <row r="47">
          <cell r="E47">
            <v>27178000</v>
          </cell>
        </row>
        <row r="48">
          <cell r="E48">
            <v>6000000</v>
          </cell>
        </row>
        <row r="49">
          <cell r="E49">
            <v>4000000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ocNet"/>
      <sheetName val="ST"/>
      <sheetName val="LQ"/>
      <sheetName val="PM LQ"/>
      <sheetName val="Sheet2"/>
    </sheetNames>
    <sheetDataSet>
      <sheetData sheetId="0"/>
      <sheetData sheetId="1"/>
      <sheetData sheetId="2"/>
      <sheetData sheetId="3"/>
      <sheetData sheetId="4">
        <row r="4">
          <cell r="B4" t="str">
            <v>Lê Anh Đức</v>
          </cell>
          <cell r="C4" t="str">
            <v>GĐ</v>
          </cell>
          <cell r="D4" t="str">
            <v>,15/5</v>
          </cell>
          <cell r="F4">
            <v>1000000</v>
          </cell>
        </row>
        <row r="5">
          <cell r="B5" t="str">
            <v>Đỗ Thị Ánh Hồng</v>
          </cell>
          <cell r="C5" t="str">
            <v>HCNS</v>
          </cell>
          <cell r="D5" t="str">
            <v>,23/3</v>
          </cell>
          <cell r="F5">
            <v>1000000</v>
          </cell>
        </row>
        <row r="6">
          <cell r="B6" t="str">
            <v>Đỗ Thị Hòa</v>
          </cell>
          <cell r="C6" t="str">
            <v>KT</v>
          </cell>
          <cell r="D6" t="str">
            <v>,17/1</v>
          </cell>
          <cell r="E6">
            <v>41955</v>
          </cell>
          <cell r="F6">
            <v>1000000</v>
          </cell>
        </row>
        <row r="7">
          <cell r="B7" t="str">
            <v>Hoàng Thị Hồng Thắm</v>
          </cell>
          <cell r="C7" t="str">
            <v>KD</v>
          </cell>
          <cell r="D7" t="str">
            <v>,9/9</v>
          </cell>
          <cell r="E7">
            <v>42758</v>
          </cell>
          <cell r="F7">
            <v>1000000</v>
          </cell>
        </row>
        <row r="8">
          <cell r="B8" t="str">
            <v>Phạm Vũ Ngân Hà</v>
          </cell>
          <cell r="C8" t="str">
            <v>KD</v>
          </cell>
          <cell r="D8" t="str">
            <v>,9/3</v>
          </cell>
          <cell r="E8" t="str">
            <v>,8/1/2020</v>
          </cell>
          <cell r="F8">
            <v>1000000</v>
          </cell>
        </row>
        <row r="9">
          <cell r="B9" t="str">
            <v>Tổng</v>
          </cell>
          <cell r="F9">
            <v>5000000</v>
          </cell>
        </row>
        <row r="11">
          <cell r="B11" t="str">
            <v>HỌ VÀ TÊN</v>
          </cell>
          <cell r="C11" t="str">
            <v>NHÓM</v>
          </cell>
          <cell r="D11" t="str">
            <v>NGÀY SINH</v>
          </cell>
          <cell r="E11" t="str">
            <v>NGÀY VÀO LÀM</v>
          </cell>
          <cell r="F11" t="str">
            <v>TIỀN</v>
          </cell>
        </row>
        <row r="12">
          <cell r="B12" t="str">
            <v>Nguyễn Đình Dũng</v>
          </cell>
          <cell r="C12" t="str">
            <v>Back end</v>
          </cell>
          <cell r="D12" t="str">
            <v>,12/1</v>
          </cell>
          <cell r="F12">
            <v>1000000</v>
          </cell>
        </row>
        <row r="13">
          <cell r="B13" t="str">
            <v>Vũ Anh Dũng</v>
          </cell>
          <cell r="C13" t="str">
            <v>Front end</v>
          </cell>
          <cell r="D13" t="str">
            <v>,30/10</v>
          </cell>
          <cell r="F13">
            <v>1000000</v>
          </cell>
        </row>
        <row r="14">
          <cell r="B14" t="str">
            <v>Nguyễn Huy Toàn</v>
          </cell>
          <cell r="C14" t="str">
            <v>Front end</v>
          </cell>
          <cell r="D14" t="str">
            <v>,29/2</v>
          </cell>
          <cell r="E14" t="str">
            <v>,08/1/2018</v>
          </cell>
          <cell r="F14">
            <v>1000000</v>
          </cell>
        </row>
        <row r="15">
          <cell r="B15" t="str">
            <v>Tạ Thị Thu Hương</v>
          </cell>
          <cell r="C15" t="str">
            <v>Back end</v>
          </cell>
          <cell r="D15" t="str">
            <v>,2/3</v>
          </cell>
          <cell r="E15" t="str">
            <v>,16/9/2019</v>
          </cell>
          <cell r="F15">
            <v>1000000</v>
          </cell>
        </row>
        <row r="16">
          <cell r="B16" t="str">
            <v>Trần Quý Đôn</v>
          </cell>
          <cell r="C16" t="str">
            <v>GPS</v>
          </cell>
          <cell r="D16" t="str">
            <v>,28/9</v>
          </cell>
          <cell r="E16" t="str">
            <v>,15/10/2018</v>
          </cell>
          <cell r="F16">
            <v>1000000</v>
          </cell>
        </row>
        <row r="17">
          <cell r="B17" t="str">
            <v>Tạ Hồng Khang</v>
          </cell>
          <cell r="C17" t="str">
            <v>Back end</v>
          </cell>
          <cell r="D17" t="str">
            <v>,2/8</v>
          </cell>
          <cell r="E17" t="str">
            <v>T6/2020</v>
          </cell>
          <cell r="F17">
            <v>1000000</v>
          </cell>
        </row>
        <row r="18">
          <cell r="B18" t="str">
            <v>Nguyễn Văn Phan</v>
          </cell>
          <cell r="C18" t="str">
            <v>CSC</v>
          </cell>
          <cell r="D18" t="str">
            <v>,14/5</v>
          </cell>
          <cell r="E18" t="str">
            <v>,07/8/2020</v>
          </cell>
          <cell r="F18">
            <v>1000000</v>
          </cell>
        </row>
        <row r="19">
          <cell r="B19" t="str">
            <v>Nguyễn Thị Thu Thuận</v>
          </cell>
          <cell r="C19" t="str">
            <v>Back end</v>
          </cell>
          <cell r="D19" t="str">
            <v>,19/2</v>
          </cell>
          <cell r="E19" t="str">
            <v>,23/7/2020</v>
          </cell>
          <cell r="F19">
            <v>1000000</v>
          </cell>
        </row>
        <row r="20">
          <cell r="B20" t="str">
            <v>Nguyễn Thị Như Quỳnh</v>
          </cell>
          <cell r="C20" t="str">
            <v>Back end</v>
          </cell>
          <cell r="D20" t="str">
            <v>,10/7</v>
          </cell>
          <cell r="E20" t="str">
            <v>T8/2021</v>
          </cell>
          <cell r="F20">
            <v>500000</v>
          </cell>
        </row>
        <row r="21">
          <cell r="B21" t="str">
            <v>Bùi Thị Mỹ Văn</v>
          </cell>
          <cell r="C21" t="str">
            <v>Front end</v>
          </cell>
          <cell r="D21" t="str">
            <v>,6/11</v>
          </cell>
          <cell r="E21" t="str">
            <v>học việc từ 24/11/2021. Fulltime từ 21/12/2021</v>
          </cell>
          <cell r="F21">
            <v>500000</v>
          </cell>
        </row>
        <row r="22">
          <cell r="B22" t="str">
            <v>Vũ Thị Quỳnh</v>
          </cell>
          <cell r="C22" t="str">
            <v>Kế tOán</v>
          </cell>
          <cell r="D22" t="str">
            <v>,18/11</v>
          </cell>
          <cell r="E22" t="str">
            <v>thử việc từ 01/4/2021</v>
          </cell>
          <cell r="F22">
            <v>500000</v>
          </cell>
        </row>
        <row r="23">
          <cell r="B23" t="str">
            <v>Trịnh Thị Minh Anh</v>
          </cell>
          <cell r="C23" t="str">
            <v>CSC</v>
          </cell>
          <cell r="D23" t="str">
            <v>,17/1</v>
          </cell>
          <cell r="E23" t="str">
            <v>T5/2021</v>
          </cell>
          <cell r="F23">
            <v>500000</v>
          </cell>
        </row>
        <row r="24">
          <cell r="B24" t="str">
            <v>Lê Duy Hùng</v>
          </cell>
          <cell r="C24" t="str">
            <v>Back end</v>
          </cell>
          <cell r="D24" t="str">
            <v>,11/12</v>
          </cell>
          <cell r="E24" t="str">
            <v>T12/2021</v>
          </cell>
          <cell r="F24">
            <v>500000</v>
          </cell>
        </row>
        <row r="25">
          <cell r="B25" t="str">
            <v>Trần Đức Lực</v>
          </cell>
          <cell r="C25" t="str">
            <v>Mobie</v>
          </cell>
          <cell r="D25" t="str">
            <v>,27/6/1999</v>
          </cell>
          <cell r="E25" t="str">
            <v>thử việc từ 08/12/2022</v>
          </cell>
          <cell r="F25">
            <v>200000</v>
          </cell>
        </row>
        <row r="26">
          <cell r="B26" t="str">
            <v>Nguyễn Minh Chiến</v>
          </cell>
          <cell r="C26" t="str">
            <v>Frontend</v>
          </cell>
          <cell r="D26" t="str">
            <v>,28/8/2001</v>
          </cell>
          <cell r="E26" t="str">
            <v>,08/3 bắt đầu học việc</v>
          </cell>
          <cell r="F26">
            <v>200000</v>
          </cell>
        </row>
        <row r="27">
          <cell r="B27" t="str">
            <v>Nguyễn Thị Bích Tuệ</v>
          </cell>
          <cell r="C27" t="str">
            <v>Frontend</v>
          </cell>
          <cell r="D27" t="str">
            <v>,08/11/2002</v>
          </cell>
          <cell r="E27" t="str">
            <v>,04/4/2023 bắt đầu học việc</v>
          </cell>
          <cell r="F27">
            <v>200000</v>
          </cell>
        </row>
        <row r="28">
          <cell r="B28" t="str">
            <v>Cao Thị Hoa</v>
          </cell>
          <cell r="C28" t="str">
            <v>CSC</v>
          </cell>
          <cell r="D28" t="str">
            <v>,ngày 07/01/1994</v>
          </cell>
          <cell r="E28" t="str">
            <v>,10/4/23 học việc</v>
          </cell>
          <cell r="F28">
            <v>200000</v>
          </cell>
        </row>
        <row r="29">
          <cell r="B29" t="str">
            <v>Phạm văn Lĩnh</v>
          </cell>
          <cell r="C29" t="str">
            <v>Frontend</v>
          </cell>
          <cell r="D29" t="str">
            <v>, ngày 05/11/1999</v>
          </cell>
          <cell r="E29" t="str">
            <v>học việc từ 22/5/2023. thử việc 02 tháng từ 01/7/2023</v>
          </cell>
          <cell r="F29">
            <v>200000</v>
          </cell>
        </row>
        <row r="30">
          <cell r="B30" t="str">
            <v>Tổng</v>
          </cell>
          <cell r="F30">
            <v>11500000</v>
          </cell>
        </row>
        <row r="32">
          <cell r="B32" t="str">
            <v>HỌ VÀ TÊN</v>
          </cell>
          <cell r="C32" t="str">
            <v>NHÓM</v>
          </cell>
          <cell r="D32" t="str">
            <v>NGÀY SINH</v>
          </cell>
          <cell r="E32" t="str">
            <v>NGÀY VÀO LÀM</v>
          </cell>
          <cell r="F32" t="str">
            <v>TIỀN</v>
          </cell>
        </row>
        <row r="33">
          <cell r="B33" t="str">
            <v>Lê Thanh Tùng</v>
          </cell>
          <cell r="C33" t="str">
            <v>Ban GĐ</v>
          </cell>
          <cell r="D33" t="str">
            <v>,10/1</v>
          </cell>
          <cell r="F33">
            <v>1000000</v>
          </cell>
        </row>
        <row r="34">
          <cell r="B34" t="str">
            <v>Trần Vĩnh Hoàng</v>
          </cell>
          <cell r="C34" t="str">
            <v>Ban GĐ</v>
          </cell>
          <cell r="D34" t="str">
            <v>,7/12</v>
          </cell>
          <cell r="F34">
            <v>1000000</v>
          </cell>
        </row>
        <row r="35">
          <cell r="B35" t="str">
            <v>Bùi Anh Tuyến</v>
          </cell>
          <cell r="C35" t="str">
            <v>Ban GĐ</v>
          </cell>
          <cell r="D35" t="str">
            <v>,2/3</v>
          </cell>
          <cell r="F35">
            <v>1000000</v>
          </cell>
        </row>
        <row r="36">
          <cell r="B36" t="str">
            <v>Nguyễn Thị Đông</v>
          </cell>
          <cell r="C36" t="str">
            <v>CSC</v>
          </cell>
          <cell r="D36" t="str">
            <v>,1/4</v>
          </cell>
          <cell r="F36">
            <v>1000000</v>
          </cell>
        </row>
        <row r="37">
          <cell r="B37" t="str">
            <v xml:space="preserve">Nguyễn Văn Hương </v>
          </cell>
          <cell r="C37" t="str">
            <v xml:space="preserve">BA </v>
          </cell>
          <cell r="D37" t="str">
            <v>,27/11</v>
          </cell>
          <cell r="E37">
            <v>43199</v>
          </cell>
          <cell r="F37">
            <v>1000000</v>
          </cell>
        </row>
        <row r="38">
          <cell r="B38" t="str">
            <v>Mai Thị Nhâm</v>
          </cell>
          <cell r="C38" t="str">
            <v>Maketing</v>
          </cell>
          <cell r="D38" t="str">
            <v>,26/3</v>
          </cell>
          <cell r="E38" t="str">
            <v>ngày 8/5/2018</v>
          </cell>
          <cell r="F38">
            <v>1000000</v>
          </cell>
        </row>
        <row r="39">
          <cell r="B39" t="str">
            <v>Nguyễn Thùy Linh</v>
          </cell>
          <cell r="C39" t="str">
            <v>CSC</v>
          </cell>
          <cell r="D39" t="str">
            <v>,17/11</v>
          </cell>
          <cell r="E39" t="str">
            <v>T7/2021</v>
          </cell>
          <cell r="F39">
            <v>500000</v>
          </cell>
        </row>
        <row r="40">
          <cell r="B40" t="str">
            <v>Phạm Thị Thanh Tâm</v>
          </cell>
          <cell r="C40" t="str">
            <v>CSC</v>
          </cell>
          <cell r="D40" t="str">
            <v>,23/10</v>
          </cell>
          <cell r="E40" t="str">
            <v>T5/2021</v>
          </cell>
          <cell r="F40">
            <v>500000</v>
          </cell>
        </row>
        <row r="41">
          <cell r="B41" t="str">
            <v>Nguyễn Thị Thu Huyền</v>
          </cell>
          <cell r="C41" t="str">
            <v>CSC</v>
          </cell>
          <cell r="D41" t="str">
            <v>,19/11</v>
          </cell>
          <cell r="E41" t="str">
            <v>T11/2021</v>
          </cell>
          <cell r="F41">
            <v>500000</v>
          </cell>
        </row>
        <row r="42">
          <cell r="B42" t="str">
            <v>Hoàng Thị Thủy</v>
          </cell>
          <cell r="C42" t="str">
            <v>CSC</v>
          </cell>
          <cell r="D42" t="str">
            <v>,29/7</v>
          </cell>
          <cell r="E42" t="str">
            <v>T11/2022</v>
          </cell>
          <cell r="F42">
            <v>200000</v>
          </cell>
        </row>
        <row r="43">
          <cell r="B43" t="str">
            <v>Nguyễn Thị Hường</v>
          </cell>
          <cell r="C43" t="str">
            <v>CSC</v>
          </cell>
          <cell r="D43" t="str">
            <v>,1/4</v>
          </cell>
          <cell r="E43" t="str">
            <v>thử việc T12/2021, chính thức T1/2022</v>
          </cell>
          <cell r="F43">
            <v>500000</v>
          </cell>
        </row>
        <row r="44">
          <cell r="B44" t="str">
            <v>Phạm Thị Hoa</v>
          </cell>
          <cell r="C44" t="str">
            <v>CSC</v>
          </cell>
          <cell r="D44" t="str">
            <v>,24/1</v>
          </cell>
          <cell r="E44" t="str">
            <v>T5/2020</v>
          </cell>
          <cell r="F44">
            <v>1000000</v>
          </cell>
        </row>
        <row r="45">
          <cell r="B45" t="str">
            <v>Lê Mạnh Dũng</v>
          </cell>
          <cell r="C45" t="str">
            <v>CSC</v>
          </cell>
          <cell r="D45" t="str">
            <v>,17/9/2001</v>
          </cell>
          <cell r="E45" t="str">
            <v>,08/8/2022</v>
          </cell>
          <cell r="F45">
            <v>500000</v>
          </cell>
        </row>
        <row r="46">
          <cell r="B46" t="str">
            <v>Khuất Văn Hiệp</v>
          </cell>
          <cell r="C46" t="str">
            <v>Cloud service</v>
          </cell>
          <cell r="D46" t="str">
            <v>,12/2001</v>
          </cell>
          <cell r="E46" t="str">
            <v>,08/8/2022</v>
          </cell>
          <cell r="F46">
            <v>500000</v>
          </cell>
        </row>
        <row r="47">
          <cell r="B47" t="str">
            <v>Nguyễn Long Quyền</v>
          </cell>
          <cell r="C47" t="str">
            <v>back end</v>
          </cell>
          <cell r="D47" t="str">
            <v>,25/11/2000</v>
          </cell>
          <cell r="E47" t="str">
            <v>,20/8/2022</v>
          </cell>
          <cell r="F47">
            <v>500000</v>
          </cell>
        </row>
        <row r="48">
          <cell r="B48" t="str">
            <v>Chu Tiến Anh</v>
          </cell>
          <cell r="C48" t="str">
            <v>Front end</v>
          </cell>
          <cell r="D48" t="str">
            <v>,17/8/2001</v>
          </cell>
          <cell r="E48" t="str">
            <v>,08/8/2022</v>
          </cell>
          <cell r="F48">
            <v>500000</v>
          </cell>
        </row>
        <row r="49">
          <cell r="B49" t="str">
            <v>Nguyễn Bá Khánh</v>
          </cell>
          <cell r="C49" t="str">
            <v>Frontend</v>
          </cell>
          <cell r="D49" t="str">
            <v>,10/3/2002</v>
          </cell>
          <cell r="E49" t="str">
            <v>,21/9/2022</v>
          </cell>
          <cell r="F49">
            <v>200000</v>
          </cell>
        </row>
        <row r="50">
          <cell r="B50" t="str">
            <v>Đỗ Xuân Lộc</v>
          </cell>
          <cell r="C50" t="str">
            <v>etem</v>
          </cell>
          <cell r="D50" t="str">
            <v>,25/2/1999</v>
          </cell>
          <cell r="E50" t="str">
            <v>06/3/23 bắt đầu</v>
          </cell>
          <cell r="F50">
            <v>200000</v>
          </cell>
        </row>
        <row r="51">
          <cell r="B51" t="str">
            <v>Lê thị Xuân</v>
          </cell>
          <cell r="C51" t="str">
            <v>CSC</v>
          </cell>
          <cell r="D51" t="str">
            <v>,23/5/2001</v>
          </cell>
          <cell r="E51" t="str">
            <v>07/3/23 bắt đầu</v>
          </cell>
          <cell r="F51">
            <v>200000</v>
          </cell>
        </row>
        <row r="52">
          <cell r="B52" t="str">
            <v>Đào Thị Thơm</v>
          </cell>
          <cell r="C52" t="str">
            <v>CSC</v>
          </cell>
          <cell r="D52" t="str">
            <v>,09/10/2000</v>
          </cell>
          <cell r="E52" t="str">
            <v>,13/3/23 bắt đầu</v>
          </cell>
          <cell r="F52">
            <v>200000</v>
          </cell>
        </row>
        <row r="53">
          <cell r="B53" t="str">
            <v>Vũ Mạnh Long</v>
          </cell>
          <cell r="C53" t="str">
            <v>Mobie</v>
          </cell>
          <cell r="D53" t="str">
            <v>,15/5/1998</v>
          </cell>
          <cell r="E53" t="str">
            <v>,01/11/2022 thử việc</v>
          </cell>
          <cell r="F53">
            <v>200000</v>
          </cell>
        </row>
        <row r="54">
          <cell r="B54" t="str">
            <v>Nguyễn Văn Đông</v>
          </cell>
          <cell r="C54" t="str">
            <v>Frontend</v>
          </cell>
          <cell r="D54" t="str">
            <v>,01/3/2002</v>
          </cell>
          <cell r="E54" t="str">
            <v>,08/3/23 bắt đầu học việc</v>
          </cell>
          <cell r="F54">
            <v>200000</v>
          </cell>
        </row>
        <row r="55">
          <cell r="B55" t="str">
            <v>Phan Văn Thăng</v>
          </cell>
          <cell r="C55" t="str">
            <v>Frontend</v>
          </cell>
          <cell r="D55" t="str">
            <v>,09/7/2002</v>
          </cell>
          <cell r="E55" t="str">
            <v>,08/3/23 bắt đầu học việc</v>
          </cell>
          <cell r="F55">
            <v>200000</v>
          </cell>
        </row>
        <row r="56">
          <cell r="B56" t="str">
            <v>Trịnh Quang</v>
          </cell>
          <cell r="C56" t="str">
            <v>Frontend</v>
          </cell>
          <cell r="D56" t="str">
            <v>,05/9/2002</v>
          </cell>
          <cell r="E56" t="str">
            <v>,08/3/23 bắt đầu học việc</v>
          </cell>
          <cell r="F56">
            <v>200000</v>
          </cell>
        </row>
        <row r="57">
          <cell r="B57" t="str">
            <v>Chu Quang Hưng</v>
          </cell>
          <cell r="C57" t="str">
            <v>etem</v>
          </cell>
          <cell r="D57" t="str">
            <v>,09/1/1996</v>
          </cell>
          <cell r="E57" t="str">
            <v>học việc từ 05/6/23 đến 15/6/23</v>
          </cell>
          <cell r="F57">
            <v>200000</v>
          </cell>
        </row>
        <row r="58">
          <cell r="B58" t="str">
            <v>Nguyễn Thị Hà</v>
          </cell>
          <cell r="C58" t="str">
            <v>kế toán</v>
          </cell>
          <cell r="D58" t="str">
            <v>,20/2/1986</v>
          </cell>
          <cell r="E58" t="str">
            <v>Chính thức từ 01/8/2023</v>
          </cell>
          <cell r="F58">
            <v>200000</v>
          </cell>
        </row>
        <row r="59">
          <cell r="B59" t="str">
            <v>Tổng</v>
          </cell>
          <cell r="F59">
            <v>13200000</v>
          </cell>
        </row>
        <row r="61">
          <cell r="B61" t="str">
            <v>HỌ VÀ TÊN</v>
          </cell>
          <cell r="C61" t="str">
            <v>NHÓM</v>
          </cell>
          <cell r="D61" t="str">
            <v>NGÀY SINH</v>
          </cell>
          <cell r="E61" t="str">
            <v>NGÀY VÀO LÀM</v>
          </cell>
          <cell r="F61" t="str">
            <v>TIỀN</v>
          </cell>
        </row>
        <row r="62">
          <cell r="B62" t="str">
            <v>Lê Thanh Tùng</v>
          </cell>
          <cell r="C62" t="str">
            <v>Ban GĐ</v>
          </cell>
          <cell r="D62" t="str">
            <v>,10/1</v>
          </cell>
        </row>
        <row r="63">
          <cell r="B63" t="str">
            <v>Đồng Thị Tâm</v>
          </cell>
          <cell r="C63" t="str">
            <v>etem</v>
          </cell>
          <cell r="D63" t="str">
            <v>, 25/3/1999</v>
          </cell>
          <cell r="E63" t="str">
            <v>13/2/23 bắt đầu học việc</v>
          </cell>
          <cell r="F63">
            <v>200000</v>
          </cell>
        </row>
        <row r="64">
          <cell r="B64" t="str">
            <v>Nguyễn Thị Phương Ánh</v>
          </cell>
          <cell r="C64" t="str">
            <v>Cloud service</v>
          </cell>
          <cell r="D64" t="str">
            <v>,20/1/2002</v>
          </cell>
          <cell r="E64" t="str">
            <v>,20/2 bắt đầu</v>
          </cell>
          <cell r="F64">
            <v>200000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="85" zoomScaleNormal="85" workbookViewId="0">
      <selection activeCell="J9" sqref="J9:L9"/>
    </sheetView>
  </sheetViews>
  <sheetFormatPr defaultRowHeight="22.5" customHeight="1"/>
  <cols>
    <col min="1" max="1" width="4.28515625" style="1" customWidth="1"/>
    <col min="2" max="2" width="25.5703125" style="1" customWidth="1"/>
    <col min="3" max="3" width="12" style="1" customWidth="1"/>
    <col min="4" max="4" width="12.85546875" style="8" hidden="1" customWidth="1"/>
    <col min="5" max="5" width="11.28515625" style="8" hidden="1" customWidth="1"/>
    <col min="6" max="6" width="17.140625" style="2" customWidth="1"/>
    <col min="7" max="7" width="13.140625" style="1" customWidth="1"/>
    <col min="8" max="8" width="27.7109375" style="1" customWidth="1"/>
    <col min="9" max="9" width="11" style="1" customWidth="1"/>
    <col min="10" max="10" width="23" style="32" customWidth="1"/>
    <col min="11" max="11" width="17.5703125" style="33" customWidth="1"/>
    <col min="12" max="12" width="26.28515625" style="33" customWidth="1"/>
    <col min="13" max="13" width="9.140625" style="1" customWidth="1"/>
    <col min="14" max="16384" width="9.140625" style="1"/>
  </cols>
  <sheetData>
    <row r="1" spans="1:12" ht="22.5" customHeight="1">
      <c r="A1" s="460" t="s">
        <v>14</v>
      </c>
      <c r="B1" s="460"/>
      <c r="C1" s="460"/>
      <c r="D1" s="460"/>
      <c r="E1" s="460"/>
      <c r="F1" s="460"/>
      <c r="G1" s="460"/>
      <c r="H1" s="460"/>
    </row>
    <row r="2" spans="1:12" ht="22.5" customHeight="1">
      <c r="A2" s="461" t="s">
        <v>171</v>
      </c>
      <c r="B2" s="461"/>
      <c r="C2" s="461"/>
      <c r="D2" s="461"/>
      <c r="E2" s="461"/>
      <c r="F2" s="461"/>
      <c r="G2" s="461"/>
      <c r="H2" s="461"/>
    </row>
    <row r="3" spans="1:12" s="26" customFormat="1" ht="33" customHeight="1">
      <c r="A3" s="23" t="s">
        <v>20</v>
      </c>
      <c r="B3" s="23" t="s">
        <v>13</v>
      </c>
      <c r="C3" s="61" t="s">
        <v>90</v>
      </c>
      <c r="D3" s="50" t="s">
        <v>117</v>
      </c>
      <c r="E3" s="50" t="s">
        <v>119</v>
      </c>
      <c r="F3" s="52" t="s">
        <v>118</v>
      </c>
      <c r="G3" s="25" t="s">
        <v>91</v>
      </c>
      <c r="H3" s="25" t="s">
        <v>92</v>
      </c>
      <c r="J3" s="32" t="s">
        <v>47</v>
      </c>
      <c r="K3" s="33" t="s">
        <v>48</v>
      </c>
      <c r="L3" s="33" t="s">
        <v>49</v>
      </c>
    </row>
    <row r="4" spans="1:12" s="19" customFormat="1" ht="24" customHeight="1">
      <c r="A4" s="13">
        <v>1</v>
      </c>
      <c r="B4" s="17" t="s">
        <v>11</v>
      </c>
      <c r="C4" s="59"/>
      <c r="D4" s="55"/>
      <c r="E4" s="54"/>
      <c r="F4" s="16">
        <v>45178000</v>
      </c>
      <c r="G4" s="20" t="s">
        <v>24</v>
      </c>
      <c r="H4" s="39"/>
      <c r="J4" s="34" t="s">
        <v>50</v>
      </c>
      <c r="K4" s="35" t="s">
        <v>51</v>
      </c>
      <c r="L4" s="35" t="s">
        <v>52</v>
      </c>
    </row>
    <row r="5" spans="1:12" s="19" customFormat="1" ht="24" customHeight="1">
      <c r="A5" s="13">
        <v>2</v>
      </c>
      <c r="B5" s="17" t="s">
        <v>8</v>
      </c>
      <c r="C5" s="59"/>
      <c r="D5" s="55"/>
      <c r="E5" s="54"/>
      <c r="F5" s="16">
        <v>42960000</v>
      </c>
      <c r="G5" s="20" t="s">
        <v>29</v>
      </c>
      <c r="H5" s="39"/>
      <c r="J5" s="34" t="s">
        <v>84</v>
      </c>
      <c r="K5" s="35" t="s">
        <v>56</v>
      </c>
      <c r="L5" s="35" t="s">
        <v>8</v>
      </c>
    </row>
    <row r="6" spans="1:12" s="19" customFormat="1" ht="24" customHeight="1">
      <c r="A6" s="13">
        <v>3</v>
      </c>
      <c r="B6" s="17" t="s">
        <v>7</v>
      </c>
      <c r="C6" s="59" t="s">
        <v>102</v>
      </c>
      <c r="D6" s="55"/>
      <c r="E6" s="54"/>
      <c r="F6" s="16">
        <v>20913000</v>
      </c>
      <c r="G6" s="20" t="s">
        <v>29</v>
      </c>
      <c r="H6" s="39"/>
      <c r="J6" s="34" t="s">
        <v>89</v>
      </c>
      <c r="K6" s="35" t="s">
        <v>51</v>
      </c>
      <c r="L6" s="35" t="s">
        <v>7</v>
      </c>
    </row>
    <row r="7" spans="1:12" s="19" customFormat="1" ht="24" customHeight="1">
      <c r="A7" s="13">
        <v>4</v>
      </c>
      <c r="B7" s="17" t="s">
        <v>10</v>
      </c>
      <c r="C7" s="59" t="s">
        <v>93</v>
      </c>
      <c r="D7" s="55"/>
      <c r="E7" s="54"/>
      <c r="F7" s="16">
        <v>28753000</v>
      </c>
      <c r="G7" s="20" t="s">
        <v>24</v>
      </c>
      <c r="H7" s="39"/>
      <c r="J7" s="34" t="s">
        <v>87</v>
      </c>
      <c r="K7" s="35" t="s">
        <v>64</v>
      </c>
      <c r="L7" s="35" t="s">
        <v>10</v>
      </c>
    </row>
    <row r="8" spans="1:12" s="19" customFormat="1" ht="24" customHeight="1">
      <c r="A8" s="13">
        <v>5</v>
      </c>
      <c r="B8" s="17" t="s">
        <v>161</v>
      </c>
      <c r="C8" s="59" t="s">
        <v>93</v>
      </c>
      <c r="D8" s="55"/>
      <c r="E8" s="54"/>
      <c r="F8" s="16">
        <v>10500000</v>
      </c>
      <c r="G8" s="20" t="s">
        <v>29</v>
      </c>
      <c r="H8" s="39"/>
      <c r="J8" s="34" t="s">
        <v>80</v>
      </c>
      <c r="K8" s="35" t="s">
        <v>51</v>
      </c>
      <c r="L8" s="35" t="s">
        <v>4</v>
      </c>
    </row>
    <row r="9" spans="1:12" s="8" customFormat="1" ht="24" customHeight="1">
      <c r="A9" s="95">
        <v>6</v>
      </c>
      <c r="B9" s="96" t="s">
        <v>27</v>
      </c>
      <c r="C9" s="97" t="s">
        <v>93</v>
      </c>
      <c r="D9" s="98"/>
      <c r="E9" s="99"/>
      <c r="F9" s="100">
        <f>ROUND(8500000/30*5,-3)</f>
        <v>1417000</v>
      </c>
      <c r="G9" s="101" t="s">
        <v>29</v>
      </c>
      <c r="H9" s="102" t="s">
        <v>173</v>
      </c>
      <c r="J9" s="41" t="s">
        <v>71</v>
      </c>
      <c r="K9" s="36" t="s">
        <v>64</v>
      </c>
      <c r="L9" s="36" t="s">
        <v>27</v>
      </c>
    </row>
    <row r="10" spans="1:12" s="19" customFormat="1" ht="24" customHeight="1">
      <c r="A10" s="13">
        <v>7</v>
      </c>
      <c r="B10" s="17" t="s">
        <v>33</v>
      </c>
      <c r="C10" s="59" t="s">
        <v>93</v>
      </c>
      <c r="D10" s="55"/>
      <c r="E10" s="54"/>
      <c r="F10" s="16">
        <v>10800000</v>
      </c>
      <c r="G10" s="20" t="s">
        <v>24</v>
      </c>
      <c r="H10" s="39"/>
      <c r="J10" s="34" t="s">
        <v>65</v>
      </c>
      <c r="K10" s="35" t="s">
        <v>64</v>
      </c>
      <c r="L10" s="35" t="s">
        <v>33</v>
      </c>
    </row>
    <row r="11" spans="1:12" s="19" customFormat="1" ht="24" customHeight="1">
      <c r="A11" s="13">
        <v>8</v>
      </c>
      <c r="B11" s="17" t="s">
        <v>134</v>
      </c>
      <c r="C11" s="59" t="s">
        <v>93</v>
      </c>
      <c r="D11" s="55"/>
      <c r="E11" s="54"/>
      <c r="F11" s="16">
        <v>6000000</v>
      </c>
      <c r="G11" s="20" t="s">
        <v>24</v>
      </c>
      <c r="H11" s="39"/>
      <c r="I11" s="19" t="s">
        <v>46</v>
      </c>
      <c r="J11" s="34"/>
      <c r="K11" s="35"/>
      <c r="L11" s="35"/>
    </row>
    <row r="12" spans="1:12" s="19" customFormat="1" ht="24" customHeight="1">
      <c r="A12" s="13">
        <v>9</v>
      </c>
      <c r="B12" s="17" t="s">
        <v>28</v>
      </c>
      <c r="C12" s="59" t="s">
        <v>93</v>
      </c>
      <c r="D12" s="55"/>
      <c r="E12" s="54"/>
      <c r="F12" s="16">
        <v>10000000</v>
      </c>
      <c r="G12" s="20" t="s">
        <v>30</v>
      </c>
      <c r="H12" s="39"/>
      <c r="J12" s="34" t="s">
        <v>70</v>
      </c>
      <c r="K12" s="35" t="s">
        <v>51</v>
      </c>
      <c r="L12" s="35" t="s">
        <v>28</v>
      </c>
    </row>
    <row r="13" spans="1:12" s="19" customFormat="1" ht="24" customHeight="1">
      <c r="A13" s="13">
        <v>10</v>
      </c>
      <c r="B13" s="17" t="s">
        <v>42</v>
      </c>
      <c r="C13" s="59" t="s">
        <v>93</v>
      </c>
      <c r="D13" s="55"/>
      <c r="E13" s="54"/>
      <c r="F13" s="16">
        <v>8000000</v>
      </c>
      <c r="G13" s="20" t="s">
        <v>24</v>
      </c>
      <c r="H13" s="39"/>
      <c r="J13" s="34" t="s">
        <v>123</v>
      </c>
      <c r="K13" s="35" t="s">
        <v>64</v>
      </c>
      <c r="L13" s="35" t="s">
        <v>42</v>
      </c>
    </row>
    <row r="14" spans="1:12" s="8" customFormat="1" ht="33" customHeight="1">
      <c r="A14" s="95">
        <v>11</v>
      </c>
      <c r="B14" s="96" t="s">
        <v>122</v>
      </c>
      <c r="C14" s="97" t="s">
        <v>93</v>
      </c>
      <c r="D14" s="98"/>
      <c r="E14" s="99"/>
      <c r="F14" s="100">
        <v>8000000</v>
      </c>
      <c r="G14" s="101" t="s">
        <v>24</v>
      </c>
      <c r="H14" s="102" t="s">
        <v>168</v>
      </c>
      <c r="J14" s="41" t="s">
        <v>124</v>
      </c>
      <c r="K14" s="36" t="s">
        <v>57</v>
      </c>
      <c r="L14" s="36" t="s">
        <v>122</v>
      </c>
    </row>
    <row r="15" spans="1:12" s="19" customFormat="1" ht="24" customHeight="1">
      <c r="A15" s="13">
        <v>12</v>
      </c>
      <c r="B15" s="17" t="s">
        <v>125</v>
      </c>
      <c r="C15" s="59" t="s">
        <v>93</v>
      </c>
      <c r="D15" s="55"/>
      <c r="E15" s="54"/>
      <c r="F15" s="16">
        <v>6000000</v>
      </c>
      <c r="G15" s="20" t="s">
        <v>24</v>
      </c>
      <c r="H15" s="39"/>
      <c r="J15" s="34" t="s">
        <v>141</v>
      </c>
      <c r="K15" s="35" t="s">
        <v>142</v>
      </c>
      <c r="L15" s="35" t="s">
        <v>125</v>
      </c>
    </row>
    <row r="16" spans="1:12" s="19" customFormat="1" ht="24" customHeight="1">
      <c r="A16" s="13">
        <v>13</v>
      </c>
      <c r="B16" s="17" t="s">
        <v>31</v>
      </c>
      <c r="C16" s="59" t="s">
        <v>94</v>
      </c>
      <c r="D16" s="55"/>
      <c r="E16" s="54"/>
      <c r="F16" s="16">
        <v>29027000</v>
      </c>
      <c r="G16" s="20" t="s">
        <v>24</v>
      </c>
      <c r="H16" s="39"/>
      <c r="J16" s="34" t="s">
        <v>88</v>
      </c>
      <c r="K16" s="35" t="s">
        <v>60</v>
      </c>
      <c r="L16" s="35" t="s">
        <v>31</v>
      </c>
    </row>
    <row r="17" spans="1:12" s="19" customFormat="1" ht="24" customHeight="1">
      <c r="A17" s="13">
        <v>14</v>
      </c>
      <c r="B17" s="17" t="s">
        <v>3</v>
      </c>
      <c r="C17" s="59" t="s">
        <v>94</v>
      </c>
      <c r="D17" s="55"/>
      <c r="E17" s="54"/>
      <c r="F17" s="16">
        <v>14000000</v>
      </c>
      <c r="G17" s="20" t="s">
        <v>24</v>
      </c>
      <c r="H17" s="39"/>
      <c r="I17" s="19" t="s">
        <v>46</v>
      </c>
      <c r="J17" s="34" t="s">
        <v>76</v>
      </c>
      <c r="K17" s="35" t="s">
        <v>63</v>
      </c>
      <c r="L17" s="35" t="s">
        <v>75</v>
      </c>
    </row>
    <row r="18" spans="1:12" s="19" customFormat="1" ht="24" customHeight="1">
      <c r="A18" s="13">
        <v>15</v>
      </c>
      <c r="B18" s="17" t="s">
        <v>2</v>
      </c>
      <c r="C18" s="59" t="s">
        <v>94</v>
      </c>
      <c r="D18" s="55"/>
      <c r="E18" s="54"/>
      <c r="F18" s="16">
        <v>8000000</v>
      </c>
      <c r="G18" s="20" t="s">
        <v>30</v>
      </c>
      <c r="H18" s="39"/>
      <c r="J18" s="34" t="s">
        <v>69</v>
      </c>
      <c r="K18" s="35" t="s">
        <v>51</v>
      </c>
      <c r="L18" s="35" t="s">
        <v>2</v>
      </c>
    </row>
    <row r="19" spans="1:12" s="19" customFormat="1" ht="24" customHeight="1">
      <c r="A19" s="13">
        <v>16</v>
      </c>
      <c r="B19" s="17" t="s">
        <v>37</v>
      </c>
      <c r="C19" s="59" t="s">
        <v>94</v>
      </c>
      <c r="D19" s="55"/>
      <c r="E19" s="54"/>
      <c r="F19" s="16">
        <v>8000000</v>
      </c>
      <c r="G19" s="20" t="s">
        <v>30</v>
      </c>
      <c r="H19" s="39"/>
      <c r="J19" s="34" t="s">
        <v>62</v>
      </c>
      <c r="K19" s="35" t="s">
        <v>51</v>
      </c>
      <c r="L19" s="35" t="s">
        <v>37</v>
      </c>
    </row>
    <row r="20" spans="1:12" s="19" customFormat="1" ht="24" customHeight="1">
      <c r="A20" s="13">
        <v>17</v>
      </c>
      <c r="B20" s="17" t="s">
        <v>38</v>
      </c>
      <c r="C20" s="59" t="s">
        <v>94</v>
      </c>
      <c r="D20" s="55"/>
      <c r="E20" s="54"/>
      <c r="F20" s="16">
        <v>8000000</v>
      </c>
      <c r="G20" s="20" t="s">
        <v>30</v>
      </c>
      <c r="H20" s="39"/>
      <c r="J20" s="34" t="s">
        <v>61</v>
      </c>
      <c r="K20" s="35" t="s">
        <v>54</v>
      </c>
      <c r="L20" s="35" t="s">
        <v>38</v>
      </c>
    </row>
    <row r="21" spans="1:12" s="19" customFormat="1" ht="24" customHeight="1">
      <c r="A21" s="13">
        <v>18</v>
      </c>
      <c r="B21" s="17" t="s">
        <v>105</v>
      </c>
      <c r="C21" s="59" t="s">
        <v>94</v>
      </c>
      <c r="D21" s="55"/>
      <c r="E21" s="54"/>
      <c r="F21" s="16">
        <v>10000000</v>
      </c>
      <c r="G21" s="20" t="s">
        <v>30</v>
      </c>
      <c r="H21" s="39"/>
      <c r="J21" s="34" t="s">
        <v>67</v>
      </c>
      <c r="K21" s="35" t="s">
        <v>64</v>
      </c>
      <c r="L21" s="35" t="s">
        <v>1</v>
      </c>
    </row>
    <row r="22" spans="1:12" s="19" customFormat="1" ht="24" customHeight="1">
      <c r="A22" s="13">
        <v>19</v>
      </c>
      <c r="B22" s="17" t="s">
        <v>40</v>
      </c>
      <c r="C22" s="59" t="s">
        <v>94</v>
      </c>
      <c r="D22" s="55"/>
      <c r="E22" s="54"/>
      <c r="F22" s="16">
        <v>8000000</v>
      </c>
      <c r="G22" s="20" t="s">
        <v>30</v>
      </c>
      <c r="H22" s="39"/>
      <c r="J22" s="34" t="s">
        <v>145</v>
      </c>
      <c r="K22" s="35" t="s">
        <v>57</v>
      </c>
      <c r="L22" s="35" t="s">
        <v>40</v>
      </c>
    </row>
    <row r="23" spans="1:12" s="19" customFormat="1" ht="25.5" customHeight="1">
      <c r="A23" s="13">
        <v>20</v>
      </c>
      <c r="B23" s="17" t="s">
        <v>41</v>
      </c>
      <c r="C23" s="59" t="s">
        <v>94</v>
      </c>
      <c r="D23" s="55"/>
      <c r="E23" s="54"/>
      <c r="F23" s="16">
        <v>10000000</v>
      </c>
      <c r="G23" s="20" t="s">
        <v>30</v>
      </c>
      <c r="H23" s="39"/>
      <c r="J23" s="34" t="s">
        <v>58</v>
      </c>
      <c r="K23" s="35" t="s">
        <v>56</v>
      </c>
      <c r="L23" s="35" t="s">
        <v>41</v>
      </c>
    </row>
    <row r="24" spans="1:12" s="8" customFormat="1" ht="27" customHeight="1">
      <c r="A24" s="95">
        <v>21</v>
      </c>
      <c r="B24" s="96" t="s">
        <v>126</v>
      </c>
      <c r="C24" s="97" t="s">
        <v>94</v>
      </c>
      <c r="D24" s="98"/>
      <c r="E24" s="99"/>
      <c r="F24" s="100">
        <f>6000000/30*27</f>
        <v>5400000</v>
      </c>
      <c r="G24" s="101" t="s">
        <v>30</v>
      </c>
      <c r="H24" s="102" t="s">
        <v>177</v>
      </c>
      <c r="J24" s="41" t="s">
        <v>132</v>
      </c>
      <c r="K24" s="36" t="s">
        <v>133</v>
      </c>
      <c r="L24" s="36" t="s">
        <v>126</v>
      </c>
    </row>
    <row r="25" spans="1:12" s="19" customFormat="1" ht="22.5" customHeight="1">
      <c r="A25" s="13">
        <v>22</v>
      </c>
      <c r="B25" s="17" t="s">
        <v>127</v>
      </c>
      <c r="C25" s="59" t="s">
        <v>94</v>
      </c>
      <c r="D25" s="55"/>
      <c r="E25" s="54"/>
      <c r="F25" s="16">
        <v>6000000</v>
      </c>
      <c r="G25" s="20" t="s">
        <v>30</v>
      </c>
      <c r="H25" s="18"/>
      <c r="J25" s="34" t="s">
        <v>131</v>
      </c>
      <c r="K25" s="35" t="s">
        <v>56</v>
      </c>
      <c r="L25" s="35" t="s">
        <v>127</v>
      </c>
    </row>
    <row r="26" spans="1:12" s="19" customFormat="1" ht="22.5" customHeight="1">
      <c r="A26" s="13">
        <v>23</v>
      </c>
      <c r="B26" s="17" t="s">
        <v>149</v>
      </c>
      <c r="C26" s="59" t="s">
        <v>94</v>
      </c>
      <c r="D26" s="55"/>
      <c r="E26" s="54"/>
      <c r="F26" s="16">
        <v>6000000</v>
      </c>
      <c r="G26" s="20" t="s">
        <v>30</v>
      </c>
      <c r="H26" s="18"/>
      <c r="J26" s="34" t="s">
        <v>157</v>
      </c>
      <c r="K26" s="35" t="s">
        <v>54</v>
      </c>
      <c r="L26" s="35"/>
    </row>
    <row r="27" spans="1:12" s="19" customFormat="1" ht="22.5" customHeight="1">
      <c r="A27" s="13">
        <v>24</v>
      </c>
      <c r="B27" s="17" t="s">
        <v>9</v>
      </c>
      <c r="C27" s="59" t="s">
        <v>95</v>
      </c>
      <c r="D27" s="55"/>
      <c r="E27" s="54"/>
      <c r="F27" s="16">
        <v>35126000</v>
      </c>
      <c r="G27" s="20" t="s">
        <v>30</v>
      </c>
      <c r="H27" s="18"/>
      <c r="J27" s="34" t="s">
        <v>53</v>
      </c>
      <c r="K27" s="35" t="s">
        <v>51</v>
      </c>
      <c r="L27" s="35" t="s">
        <v>9</v>
      </c>
    </row>
    <row r="28" spans="1:12" s="19" customFormat="1" ht="22.5" customHeight="1">
      <c r="A28" s="13">
        <v>25</v>
      </c>
      <c r="B28" s="17" t="s">
        <v>112</v>
      </c>
      <c r="C28" s="59" t="s">
        <v>95</v>
      </c>
      <c r="D28" s="55"/>
      <c r="E28" s="54"/>
      <c r="F28" s="16">
        <v>15000000</v>
      </c>
      <c r="G28" s="20" t="s">
        <v>30</v>
      </c>
      <c r="H28" s="18"/>
      <c r="J28" s="34" t="s">
        <v>77</v>
      </c>
      <c r="K28" s="35" t="s">
        <v>56</v>
      </c>
      <c r="L28" s="35" t="s">
        <v>16</v>
      </c>
    </row>
    <row r="29" spans="1:12" s="19" customFormat="1" ht="22.5" customHeight="1">
      <c r="A29" s="13">
        <v>26</v>
      </c>
      <c r="B29" s="17" t="s">
        <v>26</v>
      </c>
      <c r="C29" s="59" t="s">
        <v>95</v>
      </c>
      <c r="D29" s="55"/>
      <c r="E29" s="54"/>
      <c r="F29" s="16">
        <v>15000000</v>
      </c>
      <c r="G29" s="20" t="s">
        <v>30</v>
      </c>
      <c r="H29" s="18"/>
      <c r="J29" s="34" t="s">
        <v>72</v>
      </c>
      <c r="K29" s="35" t="s">
        <v>54</v>
      </c>
      <c r="L29" s="35" t="s">
        <v>26</v>
      </c>
    </row>
    <row r="30" spans="1:12" s="19" customFormat="1" ht="22.5" customHeight="1">
      <c r="A30" s="13">
        <v>27</v>
      </c>
      <c r="B30" s="17" t="s">
        <v>32</v>
      </c>
      <c r="C30" s="59" t="s">
        <v>95</v>
      </c>
      <c r="D30" s="55"/>
      <c r="E30" s="54"/>
      <c r="F30" s="16">
        <f>7500000+2000000</f>
        <v>9500000</v>
      </c>
      <c r="G30" s="20" t="s">
        <v>30</v>
      </c>
      <c r="H30" s="18"/>
      <c r="J30" s="34" t="s">
        <v>68</v>
      </c>
      <c r="K30" s="35" t="s">
        <v>56</v>
      </c>
      <c r="L30" s="35" t="s">
        <v>32</v>
      </c>
    </row>
    <row r="31" spans="1:12" s="19" customFormat="1" ht="22.5" customHeight="1">
      <c r="A31" s="13">
        <v>28</v>
      </c>
      <c r="B31" s="17" t="s">
        <v>39</v>
      </c>
      <c r="C31" s="59" t="s">
        <v>95</v>
      </c>
      <c r="D31" s="55"/>
      <c r="E31" s="54"/>
      <c r="F31" s="16">
        <v>8500000</v>
      </c>
      <c r="G31" s="20" t="s">
        <v>24</v>
      </c>
      <c r="H31" s="18"/>
      <c r="J31" s="34" t="s">
        <v>59</v>
      </c>
      <c r="K31" s="35" t="s">
        <v>60</v>
      </c>
      <c r="L31" s="35" t="s">
        <v>39</v>
      </c>
    </row>
    <row r="32" spans="1:12" s="19" customFormat="1" ht="22.5" customHeight="1">
      <c r="A32" s="13">
        <v>29</v>
      </c>
      <c r="B32" s="17" t="s">
        <v>44</v>
      </c>
      <c r="C32" s="59" t="s">
        <v>95</v>
      </c>
      <c r="D32" s="55"/>
      <c r="E32" s="54"/>
      <c r="F32" s="16">
        <v>8000000</v>
      </c>
      <c r="G32" s="20" t="s">
        <v>30</v>
      </c>
      <c r="H32" s="18"/>
      <c r="J32" s="34" t="s">
        <v>55</v>
      </c>
      <c r="K32" s="35" t="s">
        <v>56</v>
      </c>
      <c r="L32" s="35" t="s">
        <v>44</v>
      </c>
    </row>
    <row r="33" spans="1:12" s="8" customFormat="1" ht="27" customHeight="1">
      <c r="A33" s="13">
        <v>30</v>
      </c>
      <c r="B33" s="10" t="s">
        <v>103</v>
      </c>
      <c r="C33" s="62" t="s">
        <v>95</v>
      </c>
      <c r="D33" s="56"/>
      <c r="E33" s="54"/>
      <c r="F33" s="21">
        <f>7000000</f>
        <v>7000000</v>
      </c>
      <c r="G33" s="40" t="s">
        <v>30</v>
      </c>
      <c r="H33" s="92"/>
      <c r="J33" s="41" t="s">
        <v>104</v>
      </c>
      <c r="K33" s="36" t="s">
        <v>74</v>
      </c>
      <c r="L33" s="36" t="s">
        <v>144</v>
      </c>
    </row>
    <row r="34" spans="1:12" s="8" customFormat="1" ht="27" customHeight="1">
      <c r="A34" s="13">
        <v>31</v>
      </c>
      <c r="B34" s="10" t="s">
        <v>128</v>
      </c>
      <c r="C34" s="62" t="s">
        <v>95</v>
      </c>
      <c r="D34" s="56"/>
      <c r="E34" s="54"/>
      <c r="F34" s="21">
        <v>8000000</v>
      </c>
      <c r="G34" s="40" t="s">
        <v>24</v>
      </c>
      <c r="H34" s="92"/>
      <c r="J34" s="41" t="s">
        <v>139</v>
      </c>
      <c r="K34" s="36" t="s">
        <v>138</v>
      </c>
      <c r="L34" s="36" t="s">
        <v>140</v>
      </c>
    </row>
    <row r="35" spans="1:12" s="19" customFormat="1" ht="32.25" customHeight="1">
      <c r="A35" s="13">
        <v>32</v>
      </c>
      <c r="B35" s="17" t="s">
        <v>121</v>
      </c>
      <c r="C35" s="59" t="s">
        <v>96</v>
      </c>
      <c r="D35" s="55"/>
      <c r="E35" s="54"/>
      <c r="F35" s="16">
        <f>26678000+500000</f>
        <v>27178000</v>
      </c>
      <c r="G35" s="20" t="s">
        <v>30</v>
      </c>
      <c r="H35" s="39" t="s">
        <v>169</v>
      </c>
      <c r="J35" s="34" t="s">
        <v>86</v>
      </c>
      <c r="K35" s="35" t="s">
        <v>60</v>
      </c>
      <c r="L35" s="35" t="s">
        <v>85</v>
      </c>
    </row>
    <row r="36" spans="1:12" s="19" customFormat="1" ht="22.5" customHeight="1">
      <c r="A36" s="13">
        <v>33</v>
      </c>
      <c r="B36" s="17" t="s">
        <v>120</v>
      </c>
      <c r="C36" s="59" t="s">
        <v>96</v>
      </c>
      <c r="D36" s="55"/>
      <c r="E36" s="54"/>
      <c r="F36" s="16">
        <f>16000000+8000000</f>
        <v>24000000</v>
      </c>
      <c r="G36" s="20" t="s">
        <v>30</v>
      </c>
      <c r="H36" s="18"/>
      <c r="J36" s="34" t="s">
        <v>81</v>
      </c>
      <c r="K36" s="35" t="s">
        <v>60</v>
      </c>
      <c r="L36" s="35" t="s">
        <v>5</v>
      </c>
    </row>
    <row r="37" spans="1:12" s="19" customFormat="1" ht="22.5" customHeight="1">
      <c r="A37" s="13">
        <v>34</v>
      </c>
      <c r="B37" s="17" t="s">
        <v>43</v>
      </c>
      <c r="C37" s="59" t="s">
        <v>96</v>
      </c>
      <c r="D37" s="55"/>
      <c r="E37" s="54"/>
      <c r="F37" s="16">
        <f>7000000+1000000</f>
        <v>8000000</v>
      </c>
      <c r="G37" s="20" t="s">
        <v>30</v>
      </c>
      <c r="H37" s="18"/>
      <c r="J37" s="34" t="s">
        <v>162</v>
      </c>
      <c r="K37" s="35" t="s">
        <v>63</v>
      </c>
      <c r="L37" s="35" t="s">
        <v>43</v>
      </c>
    </row>
    <row r="38" spans="1:12" s="8" customFormat="1" ht="27" customHeight="1">
      <c r="A38" s="13">
        <v>35</v>
      </c>
      <c r="B38" s="10" t="s">
        <v>129</v>
      </c>
      <c r="C38" s="62" t="s">
        <v>96</v>
      </c>
      <c r="D38" s="56"/>
      <c r="E38" s="54"/>
      <c r="F38" s="21">
        <v>7000000</v>
      </c>
      <c r="G38" s="40" t="s">
        <v>30</v>
      </c>
      <c r="H38" s="92"/>
      <c r="J38" s="41" t="s">
        <v>165</v>
      </c>
      <c r="K38" s="36" t="s">
        <v>56</v>
      </c>
      <c r="L38" s="36" t="s">
        <v>129</v>
      </c>
    </row>
    <row r="39" spans="1:12" s="8" customFormat="1" ht="27" customHeight="1">
      <c r="A39" s="13">
        <v>36</v>
      </c>
      <c r="B39" s="10" t="s">
        <v>148</v>
      </c>
      <c r="C39" s="62" t="s">
        <v>96</v>
      </c>
      <c r="D39" s="56"/>
      <c r="E39" s="54"/>
      <c r="F39" s="21">
        <v>7000000</v>
      </c>
      <c r="G39" s="40" t="s">
        <v>30</v>
      </c>
      <c r="H39" s="92"/>
      <c r="J39" s="41" t="s">
        <v>158</v>
      </c>
      <c r="K39" s="36" t="s">
        <v>57</v>
      </c>
      <c r="L39" s="36" t="s">
        <v>148</v>
      </c>
    </row>
    <row r="40" spans="1:12" s="8" customFormat="1" ht="37.5" customHeight="1">
      <c r="A40" s="103">
        <v>37</v>
      </c>
      <c r="B40" s="96" t="s">
        <v>163</v>
      </c>
      <c r="C40" s="104" t="s">
        <v>96</v>
      </c>
      <c r="D40" s="105"/>
      <c r="E40" s="99"/>
      <c r="F40" s="100">
        <f>ROUND(7000000/30*8,-3)</f>
        <v>1867000</v>
      </c>
      <c r="G40" s="101" t="s">
        <v>30</v>
      </c>
      <c r="H40" s="106" t="s">
        <v>170</v>
      </c>
      <c r="J40" s="41"/>
      <c r="K40" s="36"/>
      <c r="L40" s="36"/>
    </row>
    <row r="41" spans="1:12" s="19" customFormat="1" ht="39" customHeight="1">
      <c r="A41" s="95">
        <v>38</v>
      </c>
      <c r="B41" s="96" t="s">
        <v>15</v>
      </c>
      <c r="C41" s="97" t="s">
        <v>98</v>
      </c>
      <c r="D41" s="98"/>
      <c r="E41" s="99"/>
      <c r="F41" s="100">
        <f>11000000+ROUND(11000000/30*6,-3)</f>
        <v>13200000</v>
      </c>
      <c r="G41" s="101" t="s">
        <v>24</v>
      </c>
      <c r="H41" s="102" t="s">
        <v>174</v>
      </c>
      <c r="J41" s="34" t="s">
        <v>73</v>
      </c>
      <c r="K41" s="35" t="s">
        <v>64</v>
      </c>
      <c r="L41" s="35" t="s">
        <v>15</v>
      </c>
    </row>
    <row r="42" spans="1:12" s="19" customFormat="1" ht="29.25" customHeight="1">
      <c r="A42" s="13">
        <v>39</v>
      </c>
      <c r="B42" s="17" t="s">
        <v>36</v>
      </c>
      <c r="C42" s="59" t="s">
        <v>98</v>
      </c>
      <c r="D42" s="55"/>
      <c r="E42" s="54"/>
      <c r="F42" s="16">
        <v>26850000</v>
      </c>
      <c r="G42" s="20" t="s">
        <v>30</v>
      </c>
      <c r="H42" s="18"/>
      <c r="J42" s="34" t="s">
        <v>66</v>
      </c>
      <c r="K42" s="35" t="s">
        <v>51</v>
      </c>
      <c r="L42" s="35" t="s">
        <v>36</v>
      </c>
    </row>
    <row r="43" spans="1:12" s="8" customFormat="1" ht="41.25" customHeight="1">
      <c r="A43" s="13">
        <v>40</v>
      </c>
      <c r="B43" s="10" t="s">
        <v>150</v>
      </c>
      <c r="C43" s="62" t="s">
        <v>98</v>
      </c>
      <c r="D43" s="56"/>
      <c r="E43" s="54"/>
      <c r="F43" s="21">
        <f>ROUND(7000000*85%/30*16,-3)</f>
        <v>3173000</v>
      </c>
      <c r="G43" s="40" t="s">
        <v>30</v>
      </c>
      <c r="H43" s="90" t="s">
        <v>164</v>
      </c>
      <c r="J43" s="41" t="s">
        <v>159</v>
      </c>
      <c r="K43" s="36" t="s">
        <v>160</v>
      </c>
      <c r="L43" s="36" t="s">
        <v>150</v>
      </c>
    </row>
    <row r="44" spans="1:12" s="8" customFormat="1" ht="41.25" customHeight="1">
      <c r="A44" s="13">
        <v>41</v>
      </c>
      <c r="B44" s="10" t="s">
        <v>166</v>
      </c>
      <c r="C44" s="62" t="s">
        <v>98</v>
      </c>
      <c r="D44" s="56"/>
      <c r="E44" s="54"/>
      <c r="F44" s="21">
        <f>7000000*85%</f>
        <v>5950000</v>
      </c>
      <c r="G44" s="40" t="s">
        <v>30</v>
      </c>
      <c r="H44" s="91" t="s">
        <v>167</v>
      </c>
      <c r="J44" s="41" t="s">
        <v>172</v>
      </c>
      <c r="K44" s="35" t="s">
        <v>63</v>
      </c>
      <c r="L44" s="36" t="s">
        <v>166</v>
      </c>
    </row>
    <row r="45" spans="1:12" s="19" customFormat="1" ht="22.5" customHeight="1">
      <c r="A45" s="13">
        <v>42</v>
      </c>
      <c r="B45" s="17" t="s">
        <v>25</v>
      </c>
      <c r="C45" s="59" t="s">
        <v>99</v>
      </c>
      <c r="D45" s="55"/>
      <c r="E45" s="54"/>
      <c r="F45" s="16">
        <v>12000000</v>
      </c>
      <c r="G45" s="20" t="s">
        <v>30</v>
      </c>
      <c r="H45" s="18"/>
      <c r="J45" s="34" t="s">
        <v>79</v>
      </c>
      <c r="K45" s="35" t="s">
        <v>63</v>
      </c>
      <c r="L45" s="35" t="s">
        <v>78</v>
      </c>
    </row>
    <row r="46" spans="1:12" s="19" customFormat="1" ht="22.5" customHeight="1">
      <c r="A46" s="13">
        <v>43</v>
      </c>
      <c r="B46" s="17" t="s">
        <v>6</v>
      </c>
      <c r="C46" s="59" t="s">
        <v>100</v>
      </c>
      <c r="D46" s="55"/>
      <c r="E46" s="54"/>
      <c r="F46" s="16">
        <v>15000000</v>
      </c>
      <c r="G46" s="20" t="s">
        <v>24</v>
      </c>
      <c r="H46" s="18"/>
      <c r="J46" s="34" t="s">
        <v>82</v>
      </c>
      <c r="K46" s="35" t="s">
        <v>51</v>
      </c>
      <c r="L46" s="35" t="s">
        <v>6</v>
      </c>
    </row>
    <row r="47" spans="1:12" s="19" customFormat="1" ht="22.5" customHeight="1">
      <c r="A47" s="13">
        <v>44</v>
      </c>
      <c r="B47" s="17" t="s">
        <v>45</v>
      </c>
      <c r="C47" s="59" t="s">
        <v>97</v>
      </c>
      <c r="D47" s="55"/>
      <c r="E47" s="54"/>
      <c r="F47" s="16">
        <v>13902000</v>
      </c>
      <c r="G47" s="20" t="s">
        <v>29</v>
      </c>
      <c r="H47" s="18"/>
      <c r="J47" s="34"/>
      <c r="K47" s="35"/>
      <c r="L47" s="35" t="s">
        <v>45</v>
      </c>
    </row>
    <row r="48" spans="1:12" s="19" customFormat="1" ht="22.5" customHeight="1">
      <c r="A48" s="13">
        <v>45</v>
      </c>
      <c r="B48" s="17" t="s">
        <v>34</v>
      </c>
      <c r="C48" s="59" t="s">
        <v>97</v>
      </c>
      <c r="D48" s="55"/>
      <c r="E48" s="54"/>
      <c r="F48" s="16">
        <v>17200000</v>
      </c>
      <c r="G48" s="20" t="s">
        <v>24</v>
      </c>
      <c r="H48" s="18"/>
      <c r="J48" s="34"/>
      <c r="K48" s="35"/>
      <c r="L48" s="35" t="s">
        <v>34</v>
      </c>
    </row>
    <row r="49" spans="1:13" s="19" customFormat="1" ht="22.5" customHeight="1">
      <c r="A49" s="13">
        <v>46</v>
      </c>
      <c r="B49" s="17" t="s">
        <v>35</v>
      </c>
      <c r="C49" s="59" t="s">
        <v>97</v>
      </c>
      <c r="D49" s="55"/>
      <c r="E49" s="54"/>
      <c r="F49" s="16">
        <v>8000000</v>
      </c>
      <c r="G49" s="20" t="s">
        <v>29</v>
      </c>
      <c r="H49" s="18"/>
      <c r="J49" s="34"/>
      <c r="K49" s="35"/>
      <c r="L49" s="35" t="s">
        <v>35</v>
      </c>
    </row>
    <row r="50" spans="1:13" s="19" customFormat="1" ht="22.5" customHeight="1">
      <c r="A50" s="13">
        <v>47</v>
      </c>
      <c r="B50" s="17" t="s">
        <v>17</v>
      </c>
      <c r="C50" s="59" t="s">
        <v>101</v>
      </c>
      <c r="D50" s="55"/>
      <c r="E50" s="54"/>
      <c r="F50" s="16">
        <v>16500000</v>
      </c>
      <c r="G50" s="20" t="s">
        <v>29</v>
      </c>
      <c r="H50" s="18"/>
      <c r="J50" s="34" t="s">
        <v>83</v>
      </c>
      <c r="K50" s="35" t="s">
        <v>64</v>
      </c>
      <c r="L50" s="35" t="s">
        <v>17</v>
      </c>
    </row>
    <row r="51" spans="1:13" s="8" customFormat="1" ht="49.5" customHeight="1">
      <c r="A51" s="13">
        <v>48</v>
      </c>
      <c r="B51" s="10" t="s">
        <v>130</v>
      </c>
      <c r="C51" s="62" t="s">
        <v>101</v>
      </c>
      <c r="D51" s="56"/>
      <c r="E51" s="54"/>
      <c r="F51" s="21"/>
      <c r="G51" s="40" t="s">
        <v>24</v>
      </c>
      <c r="H51" s="27" t="s">
        <v>151</v>
      </c>
      <c r="J51" s="41" t="s">
        <v>143</v>
      </c>
      <c r="K51" s="36" t="s">
        <v>133</v>
      </c>
      <c r="L51" s="36" t="s">
        <v>130</v>
      </c>
    </row>
    <row r="52" spans="1:13" s="8" customFormat="1" ht="31.5" customHeight="1">
      <c r="A52" s="13">
        <v>49</v>
      </c>
      <c r="B52" s="10" t="s">
        <v>146</v>
      </c>
      <c r="C52" s="62" t="s">
        <v>100</v>
      </c>
      <c r="D52" s="56"/>
      <c r="E52" s="54"/>
      <c r="F52" s="21">
        <v>9600000</v>
      </c>
      <c r="G52" s="40" t="s">
        <v>24</v>
      </c>
      <c r="H52" s="462" t="s">
        <v>154</v>
      </c>
      <c r="J52" s="41" t="s">
        <v>152</v>
      </c>
      <c r="K52" s="36" t="s">
        <v>57</v>
      </c>
      <c r="L52" s="36" t="s">
        <v>146</v>
      </c>
    </row>
    <row r="53" spans="1:13" s="8" customFormat="1" ht="31.5" customHeight="1">
      <c r="A53" s="13">
        <v>50</v>
      </c>
      <c r="B53" s="10" t="s">
        <v>147</v>
      </c>
      <c r="C53" s="62" t="s">
        <v>100</v>
      </c>
      <c r="D53" s="56"/>
      <c r="E53" s="54"/>
      <c r="F53" s="21">
        <v>9600000</v>
      </c>
      <c r="G53" s="40" t="s">
        <v>24</v>
      </c>
      <c r="H53" s="463"/>
      <c r="J53" s="41" t="s">
        <v>153</v>
      </c>
      <c r="K53" s="36" t="s">
        <v>57</v>
      </c>
      <c r="L53" s="36" t="s">
        <v>147</v>
      </c>
    </row>
    <row r="54" spans="1:13" s="8" customFormat="1" ht="7.5" customHeight="1">
      <c r="A54" s="13"/>
      <c r="B54" s="10"/>
      <c r="C54" s="10"/>
      <c r="D54" s="10"/>
      <c r="E54" s="10"/>
      <c r="F54" s="21"/>
      <c r="G54" s="15"/>
      <c r="H54" s="15"/>
      <c r="J54" s="32"/>
      <c r="K54" s="33"/>
      <c r="L54" s="33"/>
      <c r="M54" s="19"/>
    </row>
    <row r="55" spans="1:13" s="3" customFormat="1" ht="19.5" customHeight="1">
      <c r="A55" s="6"/>
      <c r="B55" s="4" t="s">
        <v>0</v>
      </c>
      <c r="C55" s="4"/>
      <c r="D55" s="57">
        <f>SUBTOTAL(9,D4:D54)</f>
        <v>0</v>
      </c>
      <c r="E55" s="57">
        <f>SUBTOTAL(9,E4:E54)</f>
        <v>0</v>
      </c>
      <c r="F55" s="57">
        <f>SUBTOTAL(9,F4:F54)</f>
        <v>643094000</v>
      </c>
      <c r="G55" s="5"/>
      <c r="H55" s="5"/>
      <c r="J55" s="32"/>
      <c r="K55" s="33"/>
      <c r="L55" s="33"/>
    </row>
    <row r="56" spans="1:13" ht="21" customHeight="1">
      <c r="B56" s="1" t="s">
        <v>21</v>
      </c>
      <c r="F56" s="22">
        <f>+F55-F57-F58-F59</f>
        <v>0</v>
      </c>
      <c r="G56" s="22"/>
    </row>
    <row r="57" spans="1:13" ht="19.5" customHeight="1">
      <c r="B57" s="12" t="s">
        <v>22</v>
      </c>
      <c r="C57" s="12"/>
      <c r="D57" s="49"/>
      <c r="E57" s="49"/>
      <c r="F57" s="58">
        <f>SUMIF($G$4:$G$54,"idocNet",($F$4:$F$54))</f>
        <v>114192000</v>
      </c>
      <c r="G57" s="11"/>
      <c r="H57" s="11"/>
    </row>
    <row r="58" spans="1:13" ht="19.5" customHeight="1">
      <c r="B58" s="12" t="s">
        <v>23</v>
      </c>
      <c r="C58" s="12"/>
      <c r="D58" s="49"/>
      <c r="E58" s="49"/>
      <c r="F58" s="58">
        <f>SUMIF($G$4:$G$54,"idocST",($F$4:$F$54))</f>
        <v>292044000</v>
      </c>
      <c r="G58" s="11"/>
      <c r="H58" s="11"/>
    </row>
    <row r="59" spans="1:13" ht="19.5" customHeight="1">
      <c r="B59" s="12" t="s">
        <v>24</v>
      </c>
      <c r="C59" s="12"/>
      <c r="D59" s="49"/>
      <c r="E59" s="49"/>
      <c r="F59" s="58">
        <f>SUMIF($G$4:$G$54,"Long Quang",($F$4:$F$54))</f>
        <v>236858000</v>
      </c>
      <c r="G59" s="11"/>
      <c r="H59" s="11"/>
    </row>
    <row r="60" spans="1:13" ht="22.5" customHeight="1">
      <c r="E60" s="464" t="s">
        <v>18</v>
      </c>
      <c r="F60" s="464"/>
      <c r="G60" s="464"/>
      <c r="H60" s="464"/>
    </row>
    <row r="61" spans="1:13" ht="22.5" customHeight="1">
      <c r="D61" s="53"/>
      <c r="E61" s="53"/>
      <c r="F61" s="7"/>
      <c r="G61" s="3"/>
      <c r="H61" s="11"/>
    </row>
    <row r="62" spans="1:13" ht="22.5" customHeight="1">
      <c r="F62" s="7"/>
      <c r="G62" s="3"/>
      <c r="H62" s="11"/>
    </row>
    <row r="63" spans="1:13" ht="22.5" customHeight="1">
      <c r="E63" s="464" t="s">
        <v>19</v>
      </c>
      <c r="F63" s="464"/>
      <c r="G63" s="464"/>
      <c r="H63" s="464"/>
    </row>
    <row r="64" spans="1:13" ht="22.5" customHeight="1">
      <c r="H64" s="11"/>
    </row>
    <row r="65" spans="6:8" ht="22.5" customHeight="1">
      <c r="H65" s="11"/>
    </row>
    <row r="66" spans="6:8" ht="22.5" customHeight="1">
      <c r="H66" s="11"/>
    </row>
    <row r="67" spans="6:8" ht="22.5" customHeight="1">
      <c r="H67" s="11"/>
    </row>
    <row r="68" spans="6:8" ht="22.5" customHeight="1">
      <c r="H68" s="11"/>
    </row>
    <row r="69" spans="6:8" ht="22.5" customHeight="1">
      <c r="F69" s="38"/>
      <c r="H69" s="11"/>
    </row>
    <row r="70" spans="6:8" ht="22.5" customHeight="1">
      <c r="H70" s="11"/>
    </row>
    <row r="71" spans="6:8" ht="22.5" customHeight="1">
      <c r="H71" s="11"/>
    </row>
    <row r="72" spans="6:8" ht="22.5" customHeight="1">
      <c r="H72" s="11"/>
    </row>
    <row r="73" spans="6:8" ht="22.5" customHeight="1">
      <c r="H73" s="11"/>
    </row>
    <row r="74" spans="6:8" ht="22.5" customHeight="1">
      <c r="H74" s="11"/>
    </row>
    <row r="75" spans="6:8" ht="22.5" customHeight="1">
      <c r="H75" s="11"/>
    </row>
    <row r="76" spans="6:8" ht="22.5" customHeight="1">
      <c r="H76" s="11"/>
    </row>
    <row r="77" spans="6:8" ht="22.5" customHeight="1">
      <c r="H77" s="11"/>
    </row>
  </sheetData>
  <autoFilter ref="A3:M68"/>
  <mergeCells count="5">
    <mergeCell ref="A1:H1"/>
    <mergeCell ref="A2:H2"/>
    <mergeCell ref="H52:H53"/>
    <mergeCell ref="E60:H60"/>
    <mergeCell ref="E63:H63"/>
  </mergeCells>
  <printOptions horizontalCentered="1"/>
  <pageMargins left="0.2" right="0" top="0.5" bottom="0.2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P72"/>
  <sheetViews>
    <sheetView zoomScale="90" zoomScaleNormal="90" workbookViewId="0">
      <pane ySplit="3" topLeftCell="A46" activePane="bottomLeft" state="frozen"/>
      <selection pane="bottomLeft" activeCell="H52" sqref="H52"/>
    </sheetView>
  </sheetViews>
  <sheetFormatPr defaultRowHeight="22.5" customHeight="1"/>
  <cols>
    <col min="1" max="1" width="5.85546875" style="285" customWidth="1"/>
    <col min="2" max="2" width="22.42578125" style="285" customWidth="1"/>
    <col min="3" max="3" width="11" style="334" customWidth="1"/>
    <col min="4" max="4" width="14.7109375" style="336" customWidth="1"/>
    <col min="5" max="5" width="9.28515625" style="336" customWidth="1"/>
    <col min="6" max="6" width="9.85546875" style="285" customWidth="1"/>
    <col min="7" max="7" width="13" style="336" customWidth="1"/>
    <col min="8" max="8" width="15.28515625" style="336" customWidth="1"/>
    <col min="9" max="9" width="15.28515625" style="285" customWidth="1"/>
    <col min="10" max="10" width="25.7109375" style="334" customWidth="1"/>
    <col min="11" max="11" width="26.5703125" style="283" customWidth="1"/>
    <col min="12" max="12" width="18.42578125" style="284" customWidth="1"/>
    <col min="13" max="13" width="27.28515625" style="284" customWidth="1"/>
    <col min="14" max="16" width="15.28515625" style="285" customWidth="1"/>
    <col min="17" max="16384" width="9.140625" style="285"/>
  </cols>
  <sheetData>
    <row r="1" spans="1:14" ht="22.5" customHeight="1">
      <c r="A1" s="468" t="s">
        <v>14</v>
      </c>
      <c r="B1" s="468"/>
      <c r="C1" s="468"/>
      <c r="D1" s="468"/>
      <c r="E1" s="468"/>
      <c r="F1" s="468"/>
      <c r="G1" s="468"/>
      <c r="H1" s="468"/>
      <c r="I1" s="468"/>
      <c r="J1" s="468"/>
    </row>
    <row r="2" spans="1:14" ht="22.5" customHeight="1">
      <c r="A2" s="469" t="s">
        <v>333</v>
      </c>
      <c r="B2" s="469"/>
      <c r="C2" s="469"/>
      <c r="D2" s="469"/>
      <c r="E2" s="469"/>
      <c r="F2" s="469"/>
      <c r="G2" s="469"/>
      <c r="H2" s="469"/>
      <c r="I2" s="469"/>
      <c r="J2" s="469"/>
    </row>
    <row r="3" spans="1:14" s="295" customFormat="1" ht="63" customHeight="1">
      <c r="A3" s="286" t="s">
        <v>20</v>
      </c>
      <c r="B3" s="286" t="s">
        <v>13</v>
      </c>
      <c r="C3" s="287" t="s">
        <v>90</v>
      </c>
      <c r="D3" s="288" t="s">
        <v>278</v>
      </c>
      <c r="E3" s="288" t="s">
        <v>285</v>
      </c>
      <c r="F3" s="292" t="s">
        <v>308</v>
      </c>
      <c r="G3" s="290" t="s">
        <v>286</v>
      </c>
      <c r="H3" s="291" t="s">
        <v>287</v>
      </c>
      <c r="I3" s="292" t="s">
        <v>281</v>
      </c>
      <c r="J3" s="292" t="s">
        <v>279</v>
      </c>
      <c r="K3" s="293" t="s">
        <v>47</v>
      </c>
      <c r="L3" s="294" t="s">
        <v>48</v>
      </c>
      <c r="M3" s="294" t="s">
        <v>49</v>
      </c>
    </row>
    <row r="4" spans="1:14" ht="24" customHeight="1">
      <c r="A4" s="296">
        <v>1</v>
      </c>
      <c r="B4" s="297" t="s">
        <v>11</v>
      </c>
      <c r="C4" s="298" t="s">
        <v>301</v>
      </c>
      <c r="D4" s="299">
        <v>45178000</v>
      </c>
      <c r="E4" s="299"/>
      <c r="F4" s="300" t="s">
        <v>24</v>
      </c>
      <c r="G4" s="299"/>
      <c r="H4" s="301">
        <f>D4-G4+E4</f>
        <v>45178000</v>
      </c>
      <c r="I4" s="302">
        <f>D4/2</f>
        <v>22589000</v>
      </c>
      <c r="J4" s="303" t="s">
        <v>240</v>
      </c>
      <c r="K4" s="293" t="s">
        <v>50</v>
      </c>
      <c r="L4" s="294" t="s">
        <v>51</v>
      </c>
      <c r="M4" s="294" t="s">
        <v>52</v>
      </c>
      <c r="N4" s="285" t="e">
        <f>+VLOOKUP(D4,[1]data!$E$5:$E$49,3,0)</f>
        <v>#REF!</v>
      </c>
    </row>
    <row r="5" spans="1:14" ht="24" customHeight="1">
      <c r="A5" s="296">
        <v>2</v>
      </c>
      <c r="B5" s="297" t="s">
        <v>8</v>
      </c>
      <c r="C5" s="298" t="s">
        <v>301</v>
      </c>
      <c r="D5" s="299">
        <v>42960000</v>
      </c>
      <c r="E5" s="299"/>
      <c r="F5" s="300" t="s">
        <v>29</v>
      </c>
      <c r="G5" s="299"/>
      <c r="H5" s="301">
        <f t="shared" ref="H5:H13" si="0">D5-G5+E5</f>
        <v>42960000</v>
      </c>
      <c r="I5" s="302">
        <f t="shared" ref="I5:I7" si="1">D5/2</f>
        <v>21480000</v>
      </c>
      <c r="J5" s="303" t="s">
        <v>240</v>
      </c>
      <c r="K5" s="293" t="s">
        <v>84</v>
      </c>
      <c r="L5" s="294" t="s">
        <v>56</v>
      </c>
      <c r="M5" s="294" t="s">
        <v>8</v>
      </c>
    </row>
    <row r="6" spans="1:14" ht="24" customHeight="1">
      <c r="A6" s="296">
        <v>3</v>
      </c>
      <c r="B6" s="297" t="s">
        <v>7</v>
      </c>
      <c r="C6" s="304" t="s">
        <v>102</v>
      </c>
      <c r="D6" s="299">
        <v>20913000</v>
      </c>
      <c r="E6" s="299"/>
      <c r="F6" s="300" t="s">
        <v>29</v>
      </c>
      <c r="G6" s="299"/>
      <c r="H6" s="301">
        <f t="shared" si="0"/>
        <v>20913000</v>
      </c>
      <c r="I6" s="302">
        <f t="shared" si="1"/>
        <v>10456500</v>
      </c>
      <c r="J6" s="303" t="s">
        <v>240</v>
      </c>
      <c r="K6" s="293" t="s">
        <v>89</v>
      </c>
      <c r="L6" s="294" t="s">
        <v>51</v>
      </c>
      <c r="M6" s="294" t="s">
        <v>7</v>
      </c>
    </row>
    <row r="7" spans="1:14" ht="24" customHeight="1">
      <c r="A7" s="296">
        <v>4</v>
      </c>
      <c r="B7" s="297" t="s">
        <v>10</v>
      </c>
      <c r="C7" s="304" t="s">
        <v>93</v>
      </c>
      <c r="D7" s="299">
        <v>28753000</v>
      </c>
      <c r="E7" s="299"/>
      <c r="F7" s="300" t="s">
        <v>24</v>
      </c>
      <c r="G7" s="299"/>
      <c r="H7" s="301">
        <f t="shared" si="0"/>
        <v>28753000</v>
      </c>
      <c r="I7" s="302">
        <f t="shared" si="1"/>
        <v>14376500</v>
      </c>
      <c r="J7" s="303" t="s">
        <v>240</v>
      </c>
      <c r="K7" s="293" t="s">
        <v>188</v>
      </c>
      <c r="L7" s="294" t="s">
        <v>56</v>
      </c>
      <c r="M7" s="294" t="s">
        <v>10</v>
      </c>
    </row>
    <row r="8" spans="1:14" ht="24" customHeight="1">
      <c r="A8" s="296">
        <v>5</v>
      </c>
      <c r="B8" s="297" t="s">
        <v>33</v>
      </c>
      <c r="C8" s="304" t="s">
        <v>93</v>
      </c>
      <c r="D8" s="299">
        <v>10800000</v>
      </c>
      <c r="E8" s="299"/>
      <c r="F8" s="300" t="s">
        <v>24</v>
      </c>
      <c r="G8" s="299"/>
      <c r="H8" s="301">
        <f t="shared" si="0"/>
        <v>10800000</v>
      </c>
      <c r="I8" s="300"/>
      <c r="J8" s="303" t="s">
        <v>240</v>
      </c>
      <c r="K8" s="293" t="s">
        <v>335</v>
      </c>
      <c r="L8" s="294" t="s">
        <v>64</v>
      </c>
      <c r="M8" s="294" t="s">
        <v>33</v>
      </c>
    </row>
    <row r="9" spans="1:14" ht="24" customHeight="1">
      <c r="A9" s="296">
        <v>6</v>
      </c>
      <c r="B9" s="305" t="s">
        <v>134</v>
      </c>
      <c r="C9" s="306" t="s">
        <v>93</v>
      </c>
      <c r="D9" s="307">
        <v>8000000</v>
      </c>
      <c r="E9" s="307"/>
      <c r="F9" s="308" t="s">
        <v>24</v>
      </c>
      <c r="G9" s="307"/>
      <c r="H9" s="301">
        <f t="shared" si="0"/>
        <v>8000000</v>
      </c>
      <c r="I9" s="309"/>
      <c r="J9" s="303" t="s">
        <v>282</v>
      </c>
    </row>
    <row r="10" spans="1:14" ht="24" customHeight="1">
      <c r="A10" s="296">
        <v>7</v>
      </c>
      <c r="B10" s="297" t="s">
        <v>28</v>
      </c>
      <c r="C10" s="304" t="s">
        <v>93</v>
      </c>
      <c r="D10" s="299">
        <v>14000000</v>
      </c>
      <c r="E10" s="299"/>
      <c r="F10" s="300" t="s">
        <v>30</v>
      </c>
      <c r="G10" s="299"/>
      <c r="H10" s="301">
        <f t="shared" si="0"/>
        <v>14000000</v>
      </c>
      <c r="I10" s="300"/>
      <c r="J10" s="303" t="s">
        <v>240</v>
      </c>
      <c r="K10" s="293" t="s">
        <v>70</v>
      </c>
      <c r="L10" s="294" t="s">
        <v>51</v>
      </c>
      <c r="M10" s="294" t="s">
        <v>28</v>
      </c>
    </row>
    <row r="11" spans="1:14" ht="24" customHeight="1">
      <c r="A11" s="296">
        <v>8</v>
      </c>
      <c r="B11" s="297" t="s">
        <v>42</v>
      </c>
      <c r="C11" s="304" t="s">
        <v>93</v>
      </c>
      <c r="D11" s="299">
        <v>10000000</v>
      </c>
      <c r="E11" s="299"/>
      <c r="F11" s="300" t="s">
        <v>24</v>
      </c>
      <c r="G11" s="299"/>
      <c r="H11" s="301">
        <f t="shared" si="0"/>
        <v>10000000</v>
      </c>
      <c r="I11" s="300"/>
      <c r="J11" s="303" t="s">
        <v>240</v>
      </c>
      <c r="K11" s="293" t="s">
        <v>123</v>
      </c>
      <c r="L11" s="294" t="s">
        <v>64</v>
      </c>
      <c r="M11" s="294" t="s">
        <v>42</v>
      </c>
    </row>
    <row r="12" spans="1:14" s="346" customFormat="1" ht="24" customHeight="1">
      <c r="A12" s="342">
        <v>9</v>
      </c>
      <c r="B12" s="343" t="s">
        <v>27</v>
      </c>
      <c r="C12" s="344" t="s">
        <v>93</v>
      </c>
      <c r="D12" s="301">
        <v>8500000</v>
      </c>
      <c r="E12" s="301"/>
      <c r="F12" s="345" t="s">
        <v>24</v>
      </c>
      <c r="G12" s="301"/>
      <c r="H12" s="301">
        <f t="shared" si="0"/>
        <v>8500000</v>
      </c>
      <c r="I12" s="345"/>
      <c r="J12" s="367" t="s">
        <v>345</v>
      </c>
      <c r="K12" s="368" t="s">
        <v>71</v>
      </c>
      <c r="L12" s="369" t="s">
        <v>64</v>
      </c>
      <c r="M12" s="369" t="s">
        <v>27</v>
      </c>
    </row>
    <row r="13" spans="1:14" ht="24" customHeight="1">
      <c r="A13" s="296">
        <v>10</v>
      </c>
      <c r="B13" s="297" t="s">
        <v>31</v>
      </c>
      <c r="C13" s="304" t="s">
        <v>94</v>
      </c>
      <c r="D13" s="299">
        <v>29027000</v>
      </c>
      <c r="E13" s="299"/>
      <c r="F13" s="300" t="s">
        <v>24</v>
      </c>
      <c r="G13" s="299"/>
      <c r="H13" s="301">
        <f t="shared" si="0"/>
        <v>29027000</v>
      </c>
      <c r="I13" s="302">
        <f>D13/2</f>
        <v>14513500</v>
      </c>
      <c r="J13" s="303" t="s">
        <v>334</v>
      </c>
      <c r="K13" s="293" t="s">
        <v>88</v>
      </c>
      <c r="L13" s="294" t="s">
        <v>60</v>
      </c>
      <c r="M13" s="294" t="s">
        <v>31</v>
      </c>
    </row>
    <row r="14" spans="1:14" ht="24" customHeight="1">
      <c r="A14" s="296">
        <v>11</v>
      </c>
      <c r="B14" s="297" t="s">
        <v>37</v>
      </c>
      <c r="C14" s="304" t="s">
        <v>94</v>
      </c>
      <c r="D14" s="299">
        <v>8000000</v>
      </c>
      <c r="E14" s="299"/>
      <c r="F14" s="300" t="s">
        <v>30</v>
      </c>
      <c r="G14" s="299"/>
      <c r="H14" s="301">
        <f t="shared" ref="H14:H51" si="2">D14-G14+E14</f>
        <v>8000000</v>
      </c>
      <c r="I14" s="300"/>
      <c r="J14" s="303" t="s">
        <v>240</v>
      </c>
      <c r="K14" s="293" t="s">
        <v>62</v>
      </c>
      <c r="L14" s="294" t="s">
        <v>51</v>
      </c>
      <c r="M14" s="294" t="s">
        <v>37</v>
      </c>
    </row>
    <row r="15" spans="1:14" ht="24" customHeight="1">
      <c r="A15" s="296">
        <v>12</v>
      </c>
      <c r="B15" s="297" t="s">
        <v>38</v>
      </c>
      <c r="C15" s="304" t="s">
        <v>94</v>
      </c>
      <c r="D15" s="299">
        <v>8000000</v>
      </c>
      <c r="E15" s="299"/>
      <c r="F15" s="300" t="s">
        <v>30</v>
      </c>
      <c r="G15" s="299"/>
      <c r="H15" s="301">
        <f t="shared" si="2"/>
        <v>8000000</v>
      </c>
      <c r="I15" s="300"/>
      <c r="J15" s="303" t="s">
        <v>240</v>
      </c>
      <c r="K15" s="293" t="s">
        <v>61</v>
      </c>
      <c r="L15" s="294" t="s">
        <v>54</v>
      </c>
      <c r="M15" s="294" t="s">
        <v>38</v>
      </c>
    </row>
    <row r="16" spans="1:14" ht="24" customHeight="1">
      <c r="A16" s="296">
        <v>13</v>
      </c>
      <c r="B16" s="297" t="s">
        <v>40</v>
      </c>
      <c r="C16" s="304" t="s">
        <v>94</v>
      </c>
      <c r="D16" s="299">
        <v>8000000</v>
      </c>
      <c r="E16" s="299"/>
      <c r="F16" s="300" t="s">
        <v>30</v>
      </c>
      <c r="G16" s="299"/>
      <c r="H16" s="301">
        <f t="shared" si="2"/>
        <v>8000000</v>
      </c>
      <c r="I16" s="300"/>
      <c r="J16" s="303" t="s">
        <v>240</v>
      </c>
      <c r="K16" s="293" t="s">
        <v>145</v>
      </c>
      <c r="L16" s="294" t="s">
        <v>57</v>
      </c>
      <c r="M16" s="294" t="s">
        <v>40</v>
      </c>
    </row>
    <row r="17" spans="1:13" ht="25.5" customHeight="1">
      <c r="A17" s="296">
        <v>14</v>
      </c>
      <c r="B17" s="297" t="s">
        <v>41</v>
      </c>
      <c r="C17" s="304" t="s">
        <v>94</v>
      </c>
      <c r="D17" s="299">
        <v>10000000</v>
      </c>
      <c r="E17" s="299"/>
      <c r="F17" s="300" t="s">
        <v>30</v>
      </c>
      <c r="G17" s="299"/>
      <c r="H17" s="301">
        <f t="shared" si="2"/>
        <v>10000000</v>
      </c>
      <c r="I17" s="300"/>
      <c r="J17" s="303" t="s">
        <v>240</v>
      </c>
      <c r="K17" s="293" t="s">
        <v>58</v>
      </c>
      <c r="L17" s="294" t="s">
        <v>56</v>
      </c>
      <c r="M17" s="294" t="s">
        <v>41</v>
      </c>
    </row>
    <row r="18" spans="1:13" ht="22.5" customHeight="1">
      <c r="A18" s="296">
        <v>15</v>
      </c>
      <c r="B18" s="297" t="s">
        <v>127</v>
      </c>
      <c r="C18" s="304" t="s">
        <v>94</v>
      </c>
      <c r="D18" s="299">
        <v>8000000</v>
      </c>
      <c r="E18" s="299"/>
      <c r="F18" s="300" t="s">
        <v>30</v>
      </c>
      <c r="G18" s="299"/>
      <c r="H18" s="301">
        <f t="shared" si="2"/>
        <v>8000000</v>
      </c>
      <c r="I18" s="300"/>
      <c r="J18" s="303" t="s">
        <v>240</v>
      </c>
      <c r="K18" s="293" t="s">
        <v>131</v>
      </c>
      <c r="L18" s="294" t="s">
        <v>56</v>
      </c>
      <c r="M18" s="294" t="s">
        <v>127</v>
      </c>
    </row>
    <row r="19" spans="1:13" ht="22.5" customHeight="1">
      <c r="A19" s="296">
        <v>16</v>
      </c>
      <c r="B19" s="297" t="s">
        <v>9</v>
      </c>
      <c r="C19" s="304" t="s">
        <v>95</v>
      </c>
      <c r="D19" s="299">
        <v>35126000</v>
      </c>
      <c r="E19" s="299"/>
      <c r="F19" s="300" t="s">
        <v>30</v>
      </c>
      <c r="G19" s="299"/>
      <c r="H19" s="301">
        <f t="shared" si="2"/>
        <v>35126000</v>
      </c>
      <c r="I19" s="302">
        <f>D19/2</f>
        <v>17563000</v>
      </c>
      <c r="J19" s="303" t="s">
        <v>240</v>
      </c>
      <c r="K19" s="293" t="s">
        <v>53</v>
      </c>
      <c r="L19" s="294" t="s">
        <v>51</v>
      </c>
      <c r="M19" s="294" t="s">
        <v>9</v>
      </c>
    </row>
    <row r="20" spans="1:13" ht="22.5" customHeight="1">
      <c r="A20" s="296">
        <v>17</v>
      </c>
      <c r="B20" s="297" t="s">
        <v>112</v>
      </c>
      <c r="C20" s="304" t="s">
        <v>95</v>
      </c>
      <c r="D20" s="299">
        <v>19000000</v>
      </c>
      <c r="E20" s="299"/>
      <c r="F20" s="300" t="s">
        <v>30</v>
      </c>
      <c r="G20" s="299"/>
      <c r="H20" s="301">
        <f t="shared" si="2"/>
        <v>19000000</v>
      </c>
      <c r="I20" s="300"/>
      <c r="J20" s="303" t="s">
        <v>240</v>
      </c>
      <c r="K20" s="293" t="s">
        <v>77</v>
      </c>
      <c r="L20" s="294" t="s">
        <v>56</v>
      </c>
      <c r="M20" s="294" t="s">
        <v>16</v>
      </c>
    </row>
    <row r="21" spans="1:13" ht="22.5" customHeight="1">
      <c r="A21" s="296">
        <v>18</v>
      </c>
      <c r="B21" s="297" t="s">
        <v>26</v>
      </c>
      <c r="C21" s="304" t="s">
        <v>95</v>
      </c>
      <c r="D21" s="299">
        <v>19000000</v>
      </c>
      <c r="E21" s="299"/>
      <c r="F21" s="300" t="s">
        <v>30</v>
      </c>
      <c r="G21" s="299"/>
      <c r="H21" s="301">
        <f t="shared" si="2"/>
        <v>19000000</v>
      </c>
      <c r="I21" s="300"/>
      <c r="J21" s="303" t="s">
        <v>240</v>
      </c>
      <c r="K21" s="293" t="s">
        <v>72</v>
      </c>
      <c r="L21" s="294" t="s">
        <v>54</v>
      </c>
      <c r="M21" s="294" t="s">
        <v>26</v>
      </c>
    </row>
    <row r="22" spans="1:13" ht="22.5" customHeight="1">
      <c r="A22" s="296">
        <v>19</v>
      </c>
      <c r="B22" s="297" t="s">
        <v>32</v>
      </c>
      <c r="C22" s="304" t="s">
        <v>95</v>
      </c>
      <c r="D22" s="299">
        <v>12000000</v>
      </c>
      <c r="E22" s="299"/>
      <c r="F22" s="300" t="s">
        <v>30</v>
      </c>
      <c r="G22" s="299"/>
      <c r="H22" s="301">
        <f t="shared" si="2"/>
        <v>12000000</v>
      </c>
      <c r="I22" s="300"/>
      <c r="J22" s="303" t="s">
        <v>240</v>
      </c>
      <c r="K22" s="293" t="s">
        <v>68</v>
      </c>
      <c r="L22" s="294" t="s">
        <v>56</v>
      </c>
      <c r="M22" s="294" t="s">
        <v>32</v>
      </c>
    </row>
    <row r="23" spans="1:13" s="379" customFormat="1" ht="22.5" customHeight="1">
      <c r="A23" s="371">
        <v>20</v>
      </c>
      <c r="B23" s="372" t="s">
        <v>39</v>
      </c>
      <c r="C23" s="373" t="s">
        <v>95</v>
      </c>
      <c r="D23" s="374">
        <v>12000000</v>
      </c>
      <c r="E23" s="374"/>
      <c r="F23" s="375" t="s">
        <v>24</v>
      </c>
      <c r="G23" s="374"/>
      <c r="H23" s="374">
        <f t="shared" si="2"/>
        <v>12000000</v>
      </c>
      <c r="I23" s="375"/>
      <c r="J23" s="376" t="s">
        <v>331</v>
      </c>
      <c r="K23" s="377" t="s">
        <v>59</v>
      </c>
      <c r="L23" s="378" t="s">
        <v>60</v>
      </c>
      <c r="M23" s="378" t="s">
        <v>39</v>
      </c>
    </row>
    <row r="24" spans="1:13" ht="22.5" customHeight="1">
      <c r="A24" s="296">
        <v>21</v>
      </c>
      <c r="B24" s="297" t="s">
        <v>44</v>
      </c>
      <c r="C24" s="304" t="s">
        <v>95</v>
      </c>
      <c r="D24" s="299">
        <v>12000000</v>
      </c>
      <c r="E24" s="299"/>
      <c r="F24" s="300" t="s">
        <v>30</v>
      </c>
      <c r="G24" s="299"/>
      <c r="H24" s="301">
        <f t="shared" si="2"/>
        <v>12000000</v>
      </c>
      <c r="I24" s="300"/>
      <c r="J24" s="303" t="s">
        <v>240</v>
      </c>
      <c r="K24" s="293" t="s">
        <v>55</v>
      </c>
      <c r="L24" s="294" t="s">
        <v>56</v>
      </c>
      <c r="M24" s="294" t="s">
        <v>44</v>
      </c>
    </row>
    <row r="25" spans="1:13" ht="27" customHeight="1">
      <c r="A25" s="296">
        <v>22</v>
      </c>
      <c r="B25" s="297" t="s">
        <v>128</v>
      </c>
      <c r="C25" s="297" t="s">
        <v>95</v>
      </c>
      <c r="D25" s="299">
        <v>9000000</v>
      </c>
      <c r="E25" s="299"/>
      <c r="F25" s="300" t="s">
        <v>24</v>
      </c>
      <c r="G25" s="299"/>
      <c r="H25" s="301">
        <f t="shared" si="2"/>
        <v>9000000</v>
      </c>
      <c r="I25" s="300"/>
      <c r="J25" s="303" t="s">
        <v>240</v>
      </c>
      <c r="K25" s="293" t="s">
        <v>139</v>
      </c>
      <c r="L25" s="294" t="s">
        <v>138</v>
      </c>
      <c r="M25" s="294" t="s">
        <v>140</v>
      </c>
    </row>
    <row r="26" spans="1:13" ht="49.5" customHeight="1">
      <c r="A26" s="296">
        <v>23</v>
      </c>
      <c r="B26" s="297" t="s">
        <v>121</v>
      </c>
      <c r="C26" s="304" t="s">
        <v>96</v>
      </c>
      <c r="D26" s="299">
        <f>26678000</f>
        <v>26678000</v>
      </c>
      <c r="E26" s="299">
        <v>500000</v>
      </c>
      <c r="F26" s="300" t="s">
        <v>30</v>
      </c>
      <c r="G26" s="299"/>
      <c r="H26" s="301">
        <f t="shared" si="2"/>
        <v>27178000</v>
      </c>
      <c r="I26" s="302">
        <f>D26/2</f>
        <v>13339000</v>
      </c>
      <c r="J26" s="303" t="s">
        <v>240</v>
      </c>
      <c r="K26" s="293" t="s">
        <v>86</v>
      </c>
      <c r="L26" s="294" t="s">
        <v>60</v>
      </c>
      <c r="M26" s="294" t="s">
        <v>85</v>
      </c>
    </row>
    <row r="27" spans="1:13" ht="22.5" customHeight="1">
      <c r="A27" s="296">
        <v>24</v>
      </c>
      <c r="B27" s="297" t="s">
        <v>120</v>
      </c>
      <c r="C27" s="304" t="s">
        <v>96</v>
      </c>
      <c r="D27" s="299">
        <f>16000000+8000000</f>
        <v>24000000</v>
      </c>
      <c r="E27" s="299"/>
      <c r="F27" s="300" t="s">
        <v>30</v>
      </c>
      <c r="G27" s="299"/>
      <c r="H27" s="301">
        <f t="shared" si="2"/>
        <v>24000000</v>
      </c>
      <c r="I27" s="300"/>
      <c r="J27" s="303" t="s">
        <v>240</v>
      </c>
      <c r="K27" s="293" t="s">
        <v>81</v>
      </c>
      <c r="L27" s="294" t="s">
        <v>60</v>
      </c>
      <c r="M27" s="294" t="s">
        <v>5</v>
      </c>
    </row>
    <row r="28" spans="1:13" ht="22.5" customHeight="1">
      <c r="A28" s="296">
        <v>25</v>
      </c>
      <c r="B28" s="297" t="s">
        <v>43</v>
      </c>
      <c r="C28" s="304" t="s">
        <v>96</v>
      </c>
      <c r="D28" s="299">
        <v>12000000</v>
      </c>
      <c r="E28" s="299"/>
      <c r="F28" s="300" t="s">
        <v>30</v>
      </c>
      <c r="G28" s="299"/>
      <c r="H28" s="301">
        <f t="shared" si="2"/>
        <v>12000000</v>
      </c>
      <c r="I28" s="300"/>
      <c r="J28" s="303" t="s">
        <v>240</v>
      </c>
      <c r="K28" s="293" t="s">
        <v>162</v>
      </c>
      <c r="L28" s="294" t="s">
        <v>63</v>
      </c>
      <c r="M28" s="294" t="s">
        <v>43</v>
      </c>
    </row>
    <row r="29" spans="1:13" ht="27" customHeight="1">
      <c r="A29" s="296">
        <v>26</v>
      </c>
      <c r="B29" s="297" t="s">
        <v>129</v>
      </c>
      <c r="C29" s="297" t="s">
        <v>96</v>
      </c>
      <c r="D29" s="299">
        <v>8000000</v>
      </c>
      <c r="E29" s="299"/>
      <c r="F29" s="300" t="s">
        <v>30</v>
      </c>
      <c r="G29" s="299"/>
      <c r="H29" s="301">
        <f t="shared" si="2"/>
        <v>8000000</v>
      </c>
      <c r="I29" s="300"/>
      <c r="J29" s="303" t="s">
        <v>240</v>
      </c>
      <c r="K29" s="293" t="s">
        <v>165</v>
      </c>
      <c r="L29" s="294" t="s">
        <v>56</v>
      </c>
      <c r="M29" s="294" t="s">
        <v>129</v>
      </c>
    </row>
    <row r="30" spans="1:13" ht="27" customHeight="1">
      <c r="A30" s="296">
        <v>27</v>
      </c>
      <c r="B30" s="297" t="s">
        <v>148</v>
      </c>
      <c r="C30" s="297" t="s">
        <v>96</v>
      </c>
      <c r="D30" s="299">
        <v>8000000</v>
      </c>
      <c r="E30" s="299"/>
      <c r="F30" s="300" t="s">
        <v>30</v>
      </c>
      <c r="G30" s="299"/>
      <c r="H30" s="301">
        <f t="shared" si="2"/>
        <v>8000000</v>
      </c>
      <c r="I30" s="300"/>
      <c r="J30" s="303" t="s">
        <v>240</v>
      </c>
      <c r="K30" s="293" t="s">
        <v>158</v>
      </c>
      <c r="L30" s="294" t="s">
        <v>57</v>
      </c>
      <c r="M30" s="294" t="s">
        <v>148</v>
      </c>
    </row>
    <row r="31" spans="1:13" s="316" customFormat="1" ht="41.25" customHeight="1">
      <c r="A31" s="296">
        <v>28</v>
      </c>
      <c r="B31" s="310" t="s">
        <v>150</v>
      </c>
      <c r="C31" s="310" t="s">
        <v>98</v>
      </c>
      <c r="D31" s="311">
        <v>7000000</v>
      </c>
      <c r="E31" s="311"/>
      <c r="F31" s="312" t="s">
        <v>30</v>
      </c>
      <c r="G31" s="311"/>
      <c r="H31" s="301">
        <f t="shared" si="2"/>
        <v>7000000</v>
      </c>
      <c r="I31" s="312"/>
      <c r="J31" s="313" t="s">
        <v>240</v>
      </c>
      <c r="K31" s="314" t="s">
        <v>159</v>
      </c>
      <c r="L31" s="315" t="s">
        <v>160</v>
      </c>
      <c r="M31" s="315" t="s">
        <v>150</v>
      </c>
    </row>
    <row r="32" spans="1:13" ht="41.25" customHeight="1">
      <c r="A32" s="296">
        <v>29</v>
      </c>
      <c r="B32" s="297" t="s">
        <v>166</v>
      </c>
      <c r="C32" s="297" t="s">
        <v>98</v>
      </c>
      <c r="D32" s="299">
        <v>9000000</v>
      </c>
      <c r="E32" s="299"/>
      <c r="F32" s="300" t="s">
        <v>30</v>
      </c>
      <c r="G32" s="299"/>
      <c r="H32" s="301">
        <f t="shared" si="2"/>
        <v>9000000</v>
      </c>
      <c r="I32" s="300"/>
      <c r="J32" s="313" t="s">
        <v>240</v>
      </c>
      <c r="K32" s="293" t="s">
        <v>172</v>
      </c>
      <c r="L32" s="294" t="s">
        <v>63</v>
      </c>
      <c r="M32" s="294" t="s">
        <v>166</v>
      </c>
    </row>
    <row r="33" spans="1:14" ht="22.5" customHeight="1">
      <c r="A33" s="296">
        <v>30</v>
      </c>
      <c r="B33" s="297" t="s">
        <v>25</v>
      </c>
      <c r="C33" s="304" t="s">
        <v>99</v>
      </c>
      <c r="D33" s="299">
        <v>12000000</v>
      </c>
      <c r="E33" s="299"/>
      <c r="F33" s="300" t="s">
        <v>30</v>
      </c>
      <c r="G33" s="299"/>
      <c r="H33" s="301">
        <f t="shared" si="2"/>
        <v>12000000</v>
      </c>
      <c r="I33" s="300"/>
      <c r="J33" s="313" t="s">
        <v>240</v>
      </c>
      <c r="K33" s="293" t="s">
        <v>79</v>
      </c>
      <c r="L33" s="294" t="s">
        <v>63</v>
      </c>
      <c r="M33" s="294" t="s">
        <v>78</v>
      </c>
    </row>
    <row r="34" spans="1:14" ht="22.5" customHeight="1">
      <c r="A34" s="296">
        <v>31</v>
      </c>
      <c r="B34" s="297" t="s">
        <v>6</v>
      </c>
      <c r="C34" s="304" t="s">
        <v>100</v>
      </c>
      <c r="D34" s="299">
        <v>15000000</v>
      </c>
      <c r="E34" s="299"/>
      <c r="F34" s="300" t="s">
        <v>24</v>
      </c>
      <c r="G34" s="299"/>
      <c r="H34" s="301">
        <f t="shared" si="2"/>
        <v>15000000</v>
      </c>
      <c r="I34" s="300"/>
      <c r="J34" s="313" t="s">
        <v>337</v>
      </c>
      <c r="K34" s="293" t="s">
        <v>82</v>
      </c>
      <c r="L34" s="294" t="s">
        <v>51</v>
      </c>
      <c r="M34" s="294" t="s">
        <v>6</v>
      </c>
    </row>
    <row r="35" spans="1:14" ht="22.5" customHeight="1">
      <c r="A35" s="296">
        <v>32</v>
      </c>
      <c r="B35" s="297" t="s">
        <v>35</v>
      </c>
      <c r="C35" s="304" t="s">
        <v>97</v>
      </c>
      <c r="D35" s="299">
        <v>8000000</v>
      </c>
      <c r="E35" s="299"/>
      <c r="F35" s="300" t="s">
        <v>29</v>
      </c>
      <c r="G35" s="299"/>
      <c r="H35" s="301">
        <f t="shared" si="2"/>
        <v>8000000</v>
      </c>
      <c r="I35" s="300"/>
      <c r="J35" s="313" t="s">
        <v>337</v>
      </c>
      <c r="K35" s="293" t="s">
        <v>251</v>
      </c>
      <c r="L35" s="294" t="s">
        <v>64</v>
      </c>
      <c r="M35" s="294" t="s">
        <v>35</v>
      </c>
    </row>
    <row r="36" spans="1:14" ht="22.5" customHeight="1">
      <c r="A36" s="296">
        <v>33</v>
      </c>
      <c r="B36" s="297" t="s">
        <v>275</v>
      </c>
      <c r="C36" s="304" t="s">
        <v>276</v>
      </c>
      <c r="D36" s="299">
        <f>15000000/60*59.5</f>
        <v>14875000</v>
      </c>
      <c r="E36" s="299"/>
      <c r="F36" s="300" t="s">
        <v>24</v>
      </c>
      <c r="G36" s="299"/>
      <c r="H36" s="301">
        <f t="shared" si="2"/>
        <v>14875000</v>
      </c>
      <c r="I36" s="300"/>
      <c r="J36" s="297" t="s">
        <v>330</v>
      </c>
      <c r="K36" s="317" t="s">
        <v>289</v>
      </c>
      <c r="L36" s="294" t="s">
        <v>288</v>
      </c>
      <c r="M36" s="294" t="s">
        <v>275</v>
      </c>
    </row>
    <row r="37" spans="1:14" ht="22.5" customHeight="1">
      <c r="A37" s="296">
        <v>34</v>
      </c>
      <c r="B37" s="297" t="s">
        <v>17</v>
      </c>
      <c r="C37" s="304" t="s">
        <v>101</v>
      </c>
      <c r="D37" s="299">
        <v>16500000</v>
      </c>
      <c r="E37" s="299"/>
      <c r="F37" s="300" t="s">
        <v>29</v>
      </c>
      <c r="G37" s="299"/>
      <c r="H37" s="301">
        <f t="shared" si="2"/>
        <v>16500000</v>
      </c>
      <c r="I37" s="300"/>
      <c r="J37" s="313" t="s">
        <v>240</v>
      </c>
      <c r="K37" s="293" t="s">
        <v>83</v>
      </c>
      <c r="L37" s="294" t="s">
        <v>64</v>
      </c>
      <c r="M37" s="294" t="s">
        <v>17</v>
      </c>
    </row>
    <row r="38" spans="1:14" ht="36.75" customHeight="1">
      <c r="A38" s="296">
        <v>35</v>
      </c>
      <c r="B38" s="297" t="s">
        <v>179</v>
      </c>
      <c r="C38" s="298" t="s">
        <v>136</v>
      </c>
      <c r="D38" s="299">
        <v>6500000</v>
      </c>
      <c r="E38" s="299"/>
      <c r="F38" s="300" t="s">
        <v>24</v>
      </c>
      <c r="G38" s="299"/>
      <c r="H38" s="301">
        <f t="shared" si="2"/>
        <v>6500000</v>
      </c>
      <c r="I38" s="300"/>
      <c r="J38" s="313" t="s">
        <v>240</v>
      </c>
      <c r="K38" s="293" t="s">
        <v>216</v>
      </c>
      <c r="L38" s="294" t="s">
        <v>51</v>
      </c>
      <c r="M38" s="294" t="s">
        <v>179</v>
      </c>
    </row>
    <row r="39" spans="1:14" ht="36.75" customHeight="1">
      <c r="A39" s="296">
        <v>36</v>
      </c>
      <c r="B39" s="297" t="s">
        <v>192</v>
      </c>
      <c r="C39" s="298" t="s">
        <v>136</v>
      </c>
      <c r="D39" s="299">
        <v>8000000</v>
      </c>
      <c r="E39" s="299"/>
      <c r="F39" s="300" t="s">
        <v>24</v>
      </c>
      <c r="G39" s="299"/>
      <c r="H39" s="301">
        <f t="shared" si="2"/>
        <v>8000000</v>
      </c>
      <c r="I39" s="300"/>
      <c r="J39" s="313" t="s">
        <v>240</v>
      </c>
      <c r="K39" s="293" t="s">
        <v>220</v>
      </c>
      <c r="L39" s="294" t="s">
        <v>54</v>
      </c>
      <c r="M39" s="294" t="s">
        <v>221</v>
      </c>
    </row>
    <row r="40" spans="1:14" ht="36.75" customHeight="1">
      <c r="A40" s="296">
        <v>37</v>
      </c>
      <c r="B40" s="297" t="s">
        <v>193</v>
      </c>
      <c r="C40" s="298" t="s">
        <v>302</v>
      </c>
      <c r="D40" s="299">
        <v>6500000</v>
      </c>
      <c r="E40" s="299"/>
      <c r="F40" s="300" t="s">
        <v>24</v>
      </c>
      <c r="G40" s="299"/>
      <c r="H40" s="301">
        <f t="shared" si="2"/>
        <v>6500000</v>
      </c>
      <c r="I40" s="300"/>
      <c r="J40" s="313" t="s">
        <v>240</v>
      </c>
      <c r="K40" s="293" t="s">
        <v>213</v>
      </c>
      <c r="L40" s="294" t="s">
        <v>54</v>
      </c>
      <c r="M40" s="294" t="s">
        <v>193</v>
      </c>
    </row>
    <row r="41" spans="1:14" ht="36.75" customHeight="1">
      <c r="A41" s="296">
        <v>38</v>
      </c>
      <c r="B41" s="297" t="s">
        <v>194</v>
      </c>
      <c r="C41" s="438" t="s">
        <v>303</v>
      </c>
      <c r="D41" s="299">
        <v>6500000</v>
      </c>
      <c r="E41" s="299"/>
      <c r="F41" s="300" t="s">
        <v>24</v>
      </c>
      <c r="G41" s="299"/>
      <c r="H41" s="301">
        <f t="shared" si="2"/>
        <v>6500000</v>
      </c>
      <c r="I41" s="300"/>
      <c r="J41" s="313" t="s">
        <v>240</v>
      </c>
      <c r="K41" s="293" t="s">
        <v>232</v>
      </c>
      <c r="L41" s="294" t="s">
        <v>51</v>
      </c>
      <c r="M41" s="294" t="s">
        <v>194</v>
      </c>
    </row>
    <row r="42" spans="1:14" ht="36.75" customHeight="1">
      <c r="A42" s="296">
        <v>39</v>
      </c>
      <c r="B42" s="297" t="s">
        <v>298</v>
      </c>
      <c r="C42" s="298" t="s">
        <v>302</v>
      </c>
      <c r="D42" s="299">
        <v>6500000</v>
      </c>
      <c r="E42" s="299"/>
      <c r="F42" s="300" t="s">
        <v>24</v>
      </c>
      <c r="G42" s="299"/>
      <c r="H42" s="301">
        <f t="shared" si="2"/>
        <v>6500000</v>
      </c>
      <c r="I42" s="300"/>
      <c r="J42" s="313" t="s">
        <v>240</v>
      </c>
      <c r="K42" s="293" t="s">
        <v>214</v>
      </c>
      <c r="L42" s="294" t="s">
        <v>138</v>
      </c>
      <c r="M42" s="294" t="s">
        <v>215</v>
      </c>
    </row>
    <row r="43" spans="1:14" s="379" customFormat="1" ht="36.75" customHeight="1">
      <c r="A43" s="371">
        <v>40</v>
      </c>
      <c r="B43" s="372" t="s">
        <v>219</v>
      </c>
      <c r="C43" s="380" t="s">
        <v>302</v>
      </c>
      <c r="D43" s="374">
        <v>6500000</v>
      </c>
      <c r="E43" s="374"/>
      <c r="F43" s="375" t="s">
        <v>24</v>
      </c>
      <c r="G43" s="374"/>
      <c r="H43" s="374">
        <f t="shared" si="2"/>
        <v>6500000</v>
      </c>
      <c r="I43" s="375"/>
      <c r="J43" s="376" t="s">
        <v>331</v>
      </c>
      <c r="K43" s="377" t="s">
        <v>217</v>
      </c>
      <c r="L43" s="378" t="s">
        <v>218</v>
      </c>
      <c r="M43" s="378" t="s">
        <v>219</v>
      </c>
      <c r="N43" s="374" t="s">
        <v>273</v>
      </c>
    </row>
    <row r="44" spans="1:14" ht="36.75" customHeight="1">
      <c r="A44" s="296">
        <v>41</v>
      </c>
      <c r="B44" s="297" t="s">
        <v>225</v>
      </c>
      <c r="C44" s="348" t="s">
        <v>302</v>
      </c>
      <c r="D44" s="299">
        <f>6500000</f>
        <v>6500000</v>
      </c>
      <c r="E44" s="299"/>
      <c r="F44" s="300" t="s">
        <v>24</v>
      </c>
      <c r="G44" s="299"/>
      <c r="H44" s="301">
        <f t="shared" si="2"/>
        <v>6500000</v>
      </c>
      <c r="I44" s="300"/>
      <c r="J44" s="318" t="s">
        <v>307</v>
      </c>
      <c r="K44" s="293" t="s">
        <v>248</v>
      </c>
      <c r="L44" s="319" t="s">
        <v>249</v>
      </c>
      <c r="M44" s="297" t="s">
        <v>225</v>
      </c>
      <c r="N44" s="299" t="s">
        <v>272</v>
      </c>
    </row>
    <row r="45" spans="1:14" ht="36.75" customHeight="1">
      <c r="A45" s="296">
        <v>42</v>
      </c>
      <c r="B45" s="297" t="s">
        <v>202</v>
      </c>
      <c r="C45" s="298" t="s">
        <v>304</v>
      </c>
      <c r="D45" s="311">
        <v>7000000</v>
      </c>
      <c r="E45" s="299"/>
      <c r="F45" s="300" t="s">
        <v>30</v>
      </c>
      <c r="G45" s="299"/>
      <c r="H45" s="301">
        <f t="shared" si="2"/>
        <v>7000000</v>
      </c>
      <c r="I45" s="300"/>
      <c r="J45" s="313" t="s">
        <v>240</v>
      </c>
      <c r="K45" s="293" t="s">
        <v>235</v>
      </c>
      <c r="L45" s="294" t="s">
        <v>64</v>
      </c>
      <c r="M45" s="294" t="s">
        <v>236</v>
      </c>
      <c r="N45" s="299"/>
    </row>
    <row r="46" spans="1:14" ht="36.75" customHeight="1">
      <c r="A46" s="296">
        <v>43</v>
      </c>
      <c r="B46" s="297" t="s">
        <v>296</v>
      </c>
      <c r="C46" s="298" t="s">
        <v>304</v>
      </c>
      <c r="D46" s="311">
        <v>7000000</v>
      </c>
      <c r="E46" s="299"/>
      <c r="F46" s="300" t="s">
        <v>30</v>
      </c>
      <c r="G46" s="299"/>
      <c r="H46" s="301">
        <f t="shared" si="2"/>
        <v>7000000</v>
      </c>
      <c r="I46" s="300"/>
      <c r="J46" s="313" t="s">
        <v>240</v>
      </c>
      <c r="K46" s="293" t="s">
        <v>244</v>
      </c>
      <c r="L46" s="294" t="s">
        <v>245</v>
      </c>
      <c r="M46" s="297" t="s">
        <v>205</v>
      </c>
      <c r="N46" s="299"/>
    </row>
    <row r="47" spans="1:14" ht="36.75" customHeight="1">
      <c r="A47" s="296">
        <v>44</v>
      </c>
      <c r="B47" s="297" t="s">
        <v>206</v>
      </c>
      <c r="C47" s="298" t="s">
        <v>304</v>
      </c>
      <c r="D47" s="299">
        <v>7000000</v>
      </c>
      <c r="E47" s="299"/>
      <c r="F47" s="300" t="s">
        <v>30</v>
      </c>
      <c r="G47" s="299"/>
      <c r="H47" s="301">
        <f t="shared" si="2"/>
        <v>7000000</v>
      </c>
      <c r="I47" s="300"/>
      <c r="J47" s="313" t="s">
        <v>240</v>
      </c>
      <c r="K47" s="293" t="s">
        <v>246</v>
      </c>
      <c r="L47" s="294" t="s">
        <v>64</v>
      </c>
      <c r="M47" s="297" t="s">
        <v>280</v>
      </c>
      <c r="N47" s="299"/>
    </row>
    <row r="48" spans="1:14" ht="48" customHeight="1">
      <c r="A48" s="296">
        <v>45</v>
      </c>
      <c r="B48" s="297" t="s">
        <v>208</v>
      </c>
      <c r="C48" s="298" t="s">
        <v>304</v>
      </c>
      <c r="D48" s="299">
        <v>7000000</v>
      </c>
      <c r="E48" s="299"/>
      <c r="F48" s="300" t="s">
        <v>30</v>
      </c>
      <c r="G48" s="299"/>
      <c r="H48" s="301">
        <f t="shared" si="2"/>
        <v>7000000</v>
      </c>
      <c r="I48" s="300"/>
      <c r="J48" s="313" t="s">
        <v>240</v>
      </c>
      <c r="K48" s="293" t="s">
        <v>234</v>
      </c>
      <c r="L48" s="294" t="s">
        <v>133</v>
      </c>
      <c r="M48" s="297" t="s">
        <v>208</v>
      </c>
      <c r="N48" s="299"/>
    </row>
    <row r="49" spans="1:16" ht="36.75" customHeight="1">
      <c r="A49" s="296">
        <v>46</v>
      </c>
      <c r="B49" s="297" t="s">
        <v>226</v>
      </c>
      <c r="C49" s="298" t="s">
        <v>304</v>
      </c>
      <c r="D49" s="299">
        <v>7000000</v>
      </c>
      <c r="E49" s="299"/>
      <c r="F49" s="300" t="s">
        <v>30</v>
      </c>
      <c r="G49" s="299"/>
      <c r="H49" s="301">
        <f t="shared" si="2"/>
        <v>7000000</v>
      </c>
      <c r="I49" s="300"/>
      <c r="J49" s="313" t="s">
        <v>290</v>
      </c>
      <c r="K49" s="293" t="s">
        <v>250</v>
      </c>
      <c r="L49" s="294" t="s">
        <v>133</v>
      </c>
      <c r="M49" s="297" t="s">
        <v>226</v>
      </c>
      <c r="N49" s="299"/>
    </row>
    <row r="50" spans="1:16" ht="36.75" customHeight="1">
      <c r="A50" s="296">
        <v>47</v>
      </c>
      <c r="B50" s="297" t="s">
        <v>257</v>
      </c>
      <c r="C50" s="348" t="s">
        <v>136</v>
      </c>
      <c r="D50" s="299">
        <v>6000000</v>
      </c>
      <c r="E50" s="299"/>
      <c r="F50" s="300" t="s">
        <v>30</v>
      </c>
      <c r="G50" s="299"/>
      <c r="H50" s="301">
        <f t="shared" si="2"/>
        <v>6000000</v>
      </c>
      <c r="I50" s="300"/>
      <c r="J50" s="303" t="s">
        <v>283</v>
      </c>
      <c r="K50" s="317" t="s">
        <v>340</v>
      </c>
      <c r="L50" s="294" t="s">
        <v>341</v>
      </c>
      <c r="M50" s="297" t="str">
        <f>+B50</f>
        <v>Chu Quang Hưng</v>
      </c>
      <c r="N50" s="299"/>
    </row>
    <row r="51" spans="1:16" ht="36.75" customHeight="1">
      <c r="A51" s="296">
        <v>48</v>
      </c>
      <c r="B51" s="297" t="s">
        <v>284</v>
      </c>
      <c r="C51" s="348" t="s">
        <v>304</v>
      </c>
      <c r="D51" s="299">
        <f>85%*7000000</f>
        <v>5950000</v>
      </c>
      <c r="E51" s="299"/>
      <c r="F51" s="300" t="s">
        <v>30</v>
      </c>
      <c r="G51" s="299"/>
      <c r="H51" s="301">
        <f t="shared" si="2"/>
        <v>5950000</v>
      </c>
      <c r="I51" s="300"/>
      <c r="J51" s="303" t="s">
        <v>336</v>
      </c>
      <c r="K51" s="317" t="s">
        <v>338</v>
      </c>
      <c r="L51" s="294" t="s">
        <v>339</v>
      </c>
      <c r="M51" s="297" t="str">
        <f>+B51</f>
        <v>Phạm Văn Lĩnh</v>
      </c>
      <c r="N51" s="299"/>
    </row>
    <row r="52" spans="1:16" s="326" customFormat="1" ht="19.5" customHeight="1">
      <c r="A52" s="478" t="s">
        <v>299</v>
      </c>
      <c r="B52" s="479"/>
      <c r="C52" s="320"/>
      <c r="D52" s="321">
        <f>SUM(D4:D51)</f>
        <v>633260000</v>
      </c>
      <c r="E52" s="321">
        <f t="shared" ref="E52:I52" si="3">SUM(E4:E51)</f>
        <v>500000</v>
      </c>
      <c r="F52" s="321">
        <f t="shared" si="3"/>
        <v>0</v>
      </c>
      <c r="G52" s="321">
        <f t="shared" si="3"/>
        <v>0</v>
      </c>
      <c r="H52" s="321">
        <f t="shared" si="3"/>
        <v>633760000</v>
      </c>
      <c r="I52" s="321">
        <f t="shared" si="3"/>
        <v>114317500</v>
      </c>
      <c r="J52" s="324"/>
      <c r="K52" s="325"/>
      <c r="L52" s="289"/>
      <c r="M52" s="289"/>
    </row>
    <row r="53" spans="1:16" s="326" customFormat="1" ht="19.5" customHeight="1">
      <c r="A53" s="327">
        <v>1</v>
      </c>
      <c r="B53" s="328" t="s">
        <v>332</v>
      </c>
      <c r="C53" s="329"/>
      <c r="D53" s="330">
        <f>+H52</f>
        <v>633760000</v>
      </c>
      <c r="E53" s="330"/>
      <c r="F53" s="330"/>
      <c r="G53" s="330"/>
      <c r="H53" s="370"/>
      <c r="I53" s="330">
        <f>+I52+H52</f>
        <v>748077500</v>
      </c>
      <c r="J53" s="331"/>
      <c r="K53" s="332"/>
      <c r="L53" s="333"/>
      <c r="M53" s="333"/>
    </row>
    <row r="54" spans="1:16" ht="21" customHeight="1">
      <c r="B54" s="285" t="s">
        <v>46</v>
      </c>
      <c r="D54" s="335">
        <f>+H9+H13-10000000</f>
        <v>27027000</v>
      </c>
      <c r="E54" s="335"/>
      <c r="I54" s="336"/>
      <c r="J54" s="336"/>
      <c r="K54" s="336"/>
      <c r="L54" s="336"/>
      <c r="M54" s="336"/>
      <c r="N54" s="336"/>
      <c r="O54" s="366"/>
    </row>
    <row r="55" spans="1:16" ht="21" customHeight="1">
      <c r="B55" s="285" t="s">
        <v>211</v>
      </c>
      <c r="D55" s="335">
        <f>+D53-D54</f>
        <v>606733000</v>
      </c>
      <c r="E55" s="335"/>
      <c r="F55" s="335"/>
      <c r="G55" s="335"/>
      <c r="H55" s="335"/>
      <c r="I55" s="335"/>
    </row>
    <row r="56" spans="1:16" ht="19.5" customHeight="1">
      <c r="B56" s="337" t="s">
        <v>22</v>
      </c>
      <c r="C56" s="338"/>
      <c r="D56" s="339">
        <f>SUMIF($F$4:$F$52,"idocNet",($H$4:$H$52))</f>
        <v>88373000</v>
      </c>
      <c r="E56" s="339"/>
      <c r="F56" s="340"/>
      <c r="G56" s="340"/>
      <c r="H56" s="340"/>
      <c r="I56" s="340" t="s">
        <v>342</v>
      </c>
      <c r="J56" s="341"/>
    </row>
    <row r="57" spans="1:16" ht="19.5" customHeight="1">
      <c r="B57" s="337" t="s">
        <v>23</v>
      </c>
      <c r="C57" s="338"/>
      <c r="D57" s="339">
        <f>SUMIF($F$4:$F$52,"idocST",($H$4:$H$52))</f>
        <v>307254000</v>
      </c>
      <c r="E57" s="339"/>
      <c r="F57" s="340"/>
      <c r="G57" s="340"/>
      <c r="H57" s="340"/>
      <c r="I57" s="340"/>
      <c r="J57" s="341"/>
    </row>
    <row r="58" spans="1:16" ht="18.75" customHeight="1">
      <c r="B58" s="337" t="s">
        <v>24</v>
      </c>
      <c r="C58" s="338"/>
      <c r="D58" s="339">
        <f>SUMIF($F$4:$F$52,"Long Quang",($H$4:$H$52))</f>
        <v>238133000</v>
      </c>
      <c r="E58" s="339"/>
      <c r="F58" s="340"/>
      <c r="G58" s="340"/>
      <c r="H58" s="340"/>
      <c r="I58" s="340"/>
      <c r="J58" s="341"/>
    </row>
    <row r="59" spans="1:16" ht="22.5" customHeight="1">
      <c r="I59" s="336"/>
      <c r="J59" s="341"/>
    </row>
    <row r="60" spans="1:16" s="283" customFormat="1" ht="22.5" customHeight="1">
      <c r="A60" s="285"/>
      <c r="B60" s="480" t="s">
        <v>309</v>
      </c>
      <c r="C60" s="480"/>
      <c r="D60" s="336"/>
      <c r="E60" s="481" t="s">
        <v>310</v>
      </c>
      <c r="F60" s="481"/>
      <c r="G60" s="336"/>
      <c r="H60" s="481" t="s">
        <v>311</v>
      </c>
      <c r="I60" s="481"/>
      <c r="J60" s="341"/>
      <c r="L60" s="284"/>
      <c r="M60" s="284"/>
      <c r="N60" s="285"/>
      <c r="O60" s="285"/>
      <c r="P60" s="285"/>
    </row>
    <row r="61" spans="1:16" s="283" customFormat="1" ht="22.5" customHeight="1">
      <c r="A61" s="285"/>
      <c r="B61" s="285"/>
      <c r="C61" s="334"/>
      <c r="D61" s="336"/>
      <c r="E61" s="336"/>
      <c r="F61" s="285"/>
      <c r="G61" s="336"/>
      <c r="H61" s="336"/>
      <c r="I61" s="362"/>
      <c r="J61" s="341"/>
      <c r="L61" s="284"/>
      <c r="M61" s="284"/>
      <c r="N61" s="285"/>
      <c r="O61" s="285"/>
      <c r="P61" s="285"/>
    </row>
    <row r="62" spans="1:16" s="283" customFormat="1" ht="22.5" customHeight="1">
      <c r="A62" s="285"/>
      <c r="B62" s="285"/>
      <c r="C62" s="334"/>
      <c r="D62" s="336"/>
      <c r="E62" s="336"/>
      <c r="F62" s="285"/>
      <c r="G62" s="336"/>
      <c r="H62" s="336"/>
      <c r="I62" s="285"/>
      <c r="J62" s="341"/>
      <c r="L62" s="284"/>
      <c r="M62" s="284"/>
      <c r="N62" s="285"/>
      <c r="O62" s="285"/>
      <c r="P62" s="285"/>
    </row>
    <row r="63" spans="1:16" s="283" customFormat="1" ht="22.5" customHeight="1">
      <c r="A63" s="285"/>
      <c r="B63" s="285"/>
      <c r="C63" s="334"/>
      <c r="D63" s="336"/>
      <c r="E63" s="336"/>
      <c r="F63" s="285"/>
      <c r="G63" s="336"/>
      <c r="H63" s="336"/>
      <c r="I63" s="285"/>
      <c r="J63" s="341"/>
      <c r="L63" s="284"/>
      <c r="M63" s="284"/>
      <c r="N63" s="285"/>
      <c r="O63" s="285"/>
      <c r="P63" s="285"/>
    </row>
    <row r="64" spans="1:16" s="283" customFormat="1" ht="22.5" customHeight="1">
      <c r="A64" s="285"/>
      <c r="B64" s="285"/>
      <c r="C64" s="334"/>
      <c r="D64" s="336"/>
      <c r="E64" s="336"/>
      <c r="F64" s="285"/>
      <c r="G64" s="336"/>
      <c r="H64" s="336"/>
      <c r="I64" s="285"/>
      <c r="J64" s="341"/>
      <c r="L64" s="284"/>
      <c r="M64" s="284"/>
      <c r="N64" s="285"/>
      <c r="O64" s="285"/>
      <c r="P64" s="285"/>
    </row>
    <row r="65" spans="1:16" s="283" customFormat="1" ht="22.5" customHeight="1">
      <c r="A65" s="285"/>
      <c r="B65" s="285"/>
      <c r="C65" s="334"/>
      <c r="D65" s="336"/>
      <c r="E65" s="336"/>
      <c r="F65" s="285"/>
      <c r="G65" s="336"/>
      <c r="H65" s="336"/>
      <c r="I65" s="285"/>
      <c r="J65" s="341"/>
      <c r="L65" s="284"/>
      <c r="M65" s="284"/>
      <c r="N65" s="285"/>
      <c r="O65" s="285"/>
      <c r="P65" s="285"/>
    </row>
    <row r="66" spans="1:16" s="283" customFormat="1" ht="22.5" customHeight="1">
      <c r="A66" s="285"/>
      <c r="B66" s="285"/>
      <c r="C66" s="334"/>
      <c r="D66" s="336"/>
      <c r="E66" s="336"/>
      <c r="F66" s="285"/>
      <c r="G66" s="336"/>
      <c r="H66" s="336"/>
      <c r="I66" s="285"/>
      <c r="J66" s="341"/>
      <c r="L66" s="284"/>
      <c r="M66" s="284"/>
      <c r="N66" s="285"/>
      <c r="O66" s="285"/>
      <c r="P66" s="285"/>
    </row>
    <row r="67" spans="1:16" s="283" customFormat="1" ht="22.5" customHeight="1">
      <c r="A67" s="285"/>
      <c r="B67" s="285"/>
      <c r="C67" s="334"/>
      <c r="D67" s="336"/>
      <c r="E67" s="336"/>
      <c r="F67" s="285"/>
      <c r="G67" s="336"/>
      <c r="H67" s="336"/>
      <c r="I67" s="285"/>
      <c r="J67" s="341"/>
      <c r="L67" s="284"/>
      <c r="M67" s="284"/>
      <c r="N67" s="285"/>
      <c r="O67" s="285"/>
      <c r="P67" s="285"/>
    </row>
    <row r="68" spans="1:16" s="283" customFormat="1" ht="22.5" customHeight="1">
      <c r="A68" s="285"/>
      <c r="B68" s="285"/>
      <c r="C68" s="334"/>
      <c r="D68" s="336"/>
      <c r="E68" s="336"/>
      <c r="F68" s="285"/>
      <c r="G68" s="336"/>
      <c r="H68" s="336"/>
      <c r="I68" s="285"/>
      <c r="J68" s="341"/>
      <c r="L68" s="284"/>
      <c r="M68" s="284"/>
      <c r="N68" s="285"/>
      <c r="O68" s="285"/>
      <c r="P68" s="285"/>
    </row>
    <row r="69" spans="1:16" s="283" customFormat="1" ht="22.5" customHeight="1">
      <c r="A69" s="285"/>
      <c r="B69" s="285"/>
      <c r="C69" s="334"/>
      <c r="D69" s="336"/>
      <c r="E69" s="336"/>
      <c r="F69" s="285"/>
      <c r="G69" s="336"/>
      <c r="H69" s="336"/>
      <c r="I69" s="285"/>
      <c r="J69" s="341"/>
      <c r="L69" s="284"/>
      <c r="M69" s="284"/>
      <c r="N69" s="285"/>
      <c r="O69" s="285"/>
      <c r="P69" s="285"/>
    </row>
    <row r="70" spans="1:16" s="283" customFormat="1" ht="22.5" customHeight="1">
      <c r="A70" s="285"/>
      <c r="B70" s="285"/>
      <c r="C70" s="334"/>
      <c r="D70" s="336"/>
      <c r="E70" s="336"/>
      <c r="F70" s="285"/>
      <c r="G70" s="336"/>
      <c r="H70" s="336"/>
      <c r="I70" s="285"/>
      <c r="J70" s="341"/>
      <c r="L70" s="284"/>
      <c r="M70" s="284"/>
      <c r="N70" s="285"/>
      <c r="O70" s="285"/>
      <c r="P70" s="285"/>
    </row>
    <row r="71" spans="1:16" s="283" customFormat="1" ht="22.5" customHeight="1">
      <c r="A71" s="285"/>
      <c r="B71" s="285"/>
      <c r="C71" s="334"/>
      <c r="D71" s="336"/>
      <c r="E71" s="336"/>
      <c r="F71" s="285"/>
      <c r="G71" s="336"/>
      <c r="H71" s="336"/>
      <c r="I71" s="285"/>
      <c r="J71" s="341"/>
      <c r="L71" s="284"/>
      <c r="M71" s="284"/>
      <c r="N71" s="285"/>
      <c r="O71" s="285"/>
      <c r="P71" s="285"/>
    </row>
    <row r="72" spans="1:16" s="283" customFormat="1" ht="22.5" customHeight="1">
      <c r="A72" s="285"/>
      <c r="B72" s="285"/>
      <c r="C72" s="334"/>
      <c r="D72" s="336"/>
      <c r="E72" s="336"/>
      <c r="F72" s="285"/>
      <c r="G72" s="336"/>
      <c r="H72" s="336"/>
      <c r="I72" s="285"/>
      <c r="J72" s="341"/>
      <c r="L72" s="284"/>
      <c r="M72" s="284"/>
      <c r="N72" s="285"/>
      <c r="O72" s="285"/>
      <c r="P72" s="285"/>
    </row>
  </sheetData>
  <autoFilter ref="A3:M72"/>
  <mergeCells count="6">
    <mergeCell ref="A1:J1"/>
    <mergeCell ref="A2:J2"/>
    <mergeCell ref="A52:B52"/>
    <mergeCell ref="B60:C60"/>
    <mergeCell ref="E60:F60"/>
    <mergeCell ref="H60:I60"/>
  </mergeCells>
  <printOptions horizontalCentered="1"/>
  <pageMargins left="0.2" right="0" top="0.5" bottom="0.25" header="0.3" footer="0.3"/>
  <pageSetup paperSize="9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O77"/>
  <sheetViews>
    <sheetView zoomScale="90" zoomScaleNormal="90" workbookViewId="0">
      <pane ySplit="3" topLeftCell="A4" activePane="bottomLeft" state="frozen"/>
      <selection pane="bottomLeft" activeCell="C14" sqref="C14"/>
    </sheetView>
  </sheetViews>
  <sheetFormatPr defaultRowHeight="22.5" customHeight="1"/>
  <cols>
    <col min="1" max="1" width="5.85546875" style="285" customWidth="1"/>
    <col min="2" max="2" width="22.42578125" style="285" customWidth="1"/>
    <col min="3" max="3" width="11" style="334" customWidth="1"/>
    <col min="4" max="4" width="14.7109375" style="336" customWidth="1"/>
    <col min="5" max="5" width="9.28515625" style="336" customWidth="1"/>
    <col min="6" max="6" width="9.85546875" style="285" customWidth="1"/>
    <col min="7" max="7" width="13" style="336" customWidth="1"/>
    <col min="8" max="8" width="15.28515625" style="336" customWidth="1"/>
    <col min="9" max="9" width="15.28515625" style="285" customWidth="1"/>
    <col min="10" max="10" width="25.7109375" style="334" customWidth="1"/>
    <col min="11" max="11" width="26.5703125" style="283" customWidth="1"/>
    <col min="12" max="12" width="18.42578125" style="284" customWidth="1"/>
    <col min="13" max="13" width="6.5703125" style="284" customWidth="1"/>
    <col min="14" max="16" width="15.28515625" style="285" customWidth="1"/>
    <col min="17" max="16384" width="9.140625" style="285"/>
  </cols>
  <sheetData>
    <row r="1" spans="1:14" ht="22.5" customHeight="1">
      <c r="A1" s="468" t="s">
        <v>14</v>
      </c>
      <c r="B1" s="468"/>
      <c r="C1" s="468"/>
      <c r="D1" s="468"/>
      <c r="E1" s="468"/>
      <c r="F1" s="468"/>
      <c r="G1" s="468"/>
      <c r="H1" s="468"/>
      <c r="I1" s="468"/>
      <c r="J1" s="468"/>
    </row>
    <row r="2" spans="1:14" ht="22.5" customHeight="1">
      <c r="A2" s="469" t="s">
        <v>300</v>
      </c>
      <c r="B2" s="469"/>
      <c r="C2" s="469"/>
      <c r="D2" s="469"/>
      <c r="E2" s="469"/>
      <c r="F2" s="469"/>
      <c r="G2" s="469"/>
      <c r="H2" s="469"/>
      <c r="I2" s="469"/>
      <c r="J2" s="469"/>
    </row>
    <row r="3" spans="1:14" s="295" customFormat="1" ht="63" customHeight="1">
      <c r="A3" s="286" t="s">
        <v>20</v>
      </c>
      <c r="B3" s="286" t="s">
        <v>13</v>
      </c>
      <c r="C3" s="287" t="s">
        <v>90</v>
      </c>
      <c r="D3" s="288" t="s">
        <v>278</v>
      </c>
      <c r="E3" s="288" t="s">
        <v>285</v>
      </c>
      <c r="F3" s="292" t="s">
        <v>308</v>
      </c>
      <c r="G3" s="290" t="s">
        <v>286</v>
      </c>
      <c r="H3" s="291" t="s">
        <v>287</v>
      </c>
      <c r="I3" s="292" t="s">
        <v>281</v>
      </c>
      <c r="J3" s="292" t="s">
        <v>279</v>
      </c>
      <c r="K3" s="293" t="s">
        <v>47</v>
      </c>
      <c r="L3" s="294" t="s">
        <v>48</v>
      </c>
      <c r="M3" s="294" t="s">
        <v>49</v>
      </c>
    </row>
    <row r="4" spans="1:14" ht="24" hidden="1" customHeight="1">
      <c r="A4" s="296">
        <v>1</v>
      </c>
      <c r="B4" s="297" t="s">
        <v>11</v>
      </c>
      <c r="C4" s="298" t="s">
        <v>301</v>
      </c>
      <c r="D4" s="299">
        <v>45178000</v>
      </c>
      <c r="E4" s="299"/>
      <c r="F4" s="300" t="s">
        <v>24</v>
      </c>
      <c r="G4" s="299"/>
      <c r="H4" s="301">
        <f>D4+G4+E4</f>
        <v>45178000</v>
      </c>
      <c r="I4" s="302">
        <f>D4/2</f>
        <v>22589000</v>
      </c>
      <c r="J4" s="303" t="s">
        <v>240</v>
      </c>
      <c r="K4" s="293" t="s">
        <v>50</v>
      </c>
      <c r="L4" s="294" t="s">
        <v>51</v>
      </c>
      <c r="M4" s="294" t="s">
        <v>52</v>
      </c>
      <c r="N4" s="285" t="e">
        <f>+VLOOKUP(D4,[1]data!$E$5:$E$49,3,0)</f>
        <v>#REF!</v>
      </c>
    </row>
    <row r="5" spans="1:14" ht="24" hidden="1" customHeight="1">
      <c r="A5" s="296">
        <v>2</v>
      </c>
      <c r="B5" s="297" t="s">
        <v>8</v>
      </c>
      <c r="C5" s="298" t="s">
        <v>301</v>
      </c>
      <c r="D5" s="299">
        <v>42960000</v>
      </c>
      <c r="E5" s="299"/>
      <c r="F5" s="300" t="s">
        <v>29</v>
      </c>
      <c r="G5" s="299"/>
      <c r="H5" s="301">
        <f t="shared" ref="H5:H56" si="0">D5+G5+E5</f>
        <v>42960000</v>
      </c>
      <c r="I5" s="302">
        <f t="shared" ref="I5:I7" si="1">D5/2</f>
        <v>21480000</v>
      </c>
      <c r="J5" s="303" t="s">
        <v>240</v>
      </c>
      <c r="K5" s="293" t="s">
        <v>84</v>
      </c>
      <c r="L5" s="294" t="s">
        <v>56</v>
      </c>
      <c r="M5" s="294" t="s">
        <v>8</v>
      </c>
    </row>
    <row r="6" spans="1:14" ht="24" hidden="1" customHeight="1">
      <c r="A6" s="296">
        <v>3</v>
      </c>
      <c r="B6" s="297" t="s">
        <v>7</v>
      </c>
      <c r="C6" s="304" t="s">
        <v>102</v>
      </c>
      <c r="D6" s="299">
        <v>20913000</v>
      </c>
      <c r="E6" s="299"/>
      <c r="F6" s="300" t="s">
        <v>29</v>
      </c>
      <c r="G6" s="299"/>
      <c r="H6" s="301">
        <f t="shared" si="0"/>
        <v>20913000</v>
      </c>
      <c r="I6" s="302">
        <f t="shared" si="1"/>
        <v>10456500</v>
      </c>
      <c r="J6" s="303" t="s">
        <v>240</v>
      </c>
      <c r="K6" s="293" t="s">
        <v>89</v>
      </c>
      <c r="L6" s="294" t="s">
        <v>51</v>
      </c>
      <c r="M6" s="294" t="s">
        <v>7</v>
      </c>
    </row>
    <row r="7" spans="1:14" ht="24" hidden="1" customHeight="1">
      <c r="A7" s="296">
        <v>4</v>
      </c>
      <c r="B7" s="297" t="s">
        <v>10</v>
      </c>
      <c r="C7" s="304" t="s">
        <v>93</v>
      </c>
      <c r="D7" s="299">
        <v>28753000</v>
      </c>
      <c r="E7" s="299"/>
      <c r="F7" s="300" t="s">
        <v>24</v>
      </c>
      <c r="G7" s="299"/>
      <c r="H7" s="301">
        <f t="shared" si="0"/>
        <v>28753000</v>
      </c>
      <c r="I7" s="302">
        <f t="shared" si="1"/>
        <v>14376500</v>
      </c>
      <c r="J7" s="303" t="s">
        <v>240</v>
      </c>
      <c r="K7" s="293" t="s">
        <v>188</v>
      </c>
      <c r="L7" s="294" t="s">
        <v>56</v>
      </c>
      <c r="M7" s="294" t="s">
        <v>10</v>
      </c>
    </row>
    <row r="8" spans="1:14" ht="24" hidden="1" customHeight="1">
      <c r="A8" s="296">
        <v>5</v>
      </c>
      <c r="B8" s="297" t="s">
        <v>161</v>
      </c>
      <c r="C8" s="304" t="s">
        <v>93</v>
      </c>
      <c r="D8" s="299">
        <v>12000000</v>
      </c>
      <c r="E8" s="299"/>
      <c r="F8" s="300" t="s">
        <v>29</v>
      </c>
      <c r="G8" s="299"/>
      <c r="H8" s="301">
        <f t="shared" si="0"/>
        <v>12000000</v>
      </c>
      <c r="I8" s="300"/>
      <c r="J8" s="303" t="s">
        <v>292</v>
      </c>
      <c r="K8" s="293" t="s">
        <v>80</v>
      </c>
      <c r="L8" s="294" t="s">
        <v>51</v>
      </c>
      <c r="M8" s="294" t="s">
        <v>4</v>
      </c>
    </row>
    <row r="9" spans="1:14" ht="24" hidden="1" customHeight="1">
      <c r="A9" s="296">
        <v>6</v>
      </c>
      <c r="B9" s="297" t="s">
        <v>33</v>
      </c>
      <c r="C9" s="304" t="s">
        <v>93</v>
      </c>
      <c r="D9" s="299">
        <v>10800000</v>
      </c>
      <c r="E9" s="299"/>
      <c r="F9" s="300" t="s">
        <v>24</v>
      </c>
      <c r="G9" s="299"/>
      <c r="H9" s="301">
        <f t="shared" si="0"/>
        <v>10800000</v>
      </c>
      <c r="I9" s="300"/>
      <c r="J9" s="303" t="s">
        <v>240</v>
      </c>
      <c r="K9" s="293" t="s">
        <v>335</v>
      </c>
      <c r="L9" s="294" t="s">
        <v>64</v>
      </c>
      <c r="M9" s="294" t="s">
        <v>33</v>
      </c>
    </row>
    <row r="10" spans="1:14" ht="24" hidden="1" customHeight="1">
      <c r="A10" s="296">
        <v>7</v>
      </c>
      <c r="B10" s="305" t="s">
        <v>134</v>
      </c>
      <c r="C10" s="306" t="s">
        <v>93</v>
      </c>
      <c r="D10" s="307">
        <v>8000000</v>
      </c>
      <c r="E10" s="307"/>
      <c r="F10" s="308" t="s">
        <v>24</v>
      </c>
      <c r="G10" s="307"/>
      <c r="H10" s="301">
        <f t="shared" si="0"/>
        <v>8000000</v>
      </c>
      <c r="I10" s="309"/>
      <c r="J10" s="303" t="s">
        <v>282</v>
      </c>
    </row>
    <row r="11" spans="1:14" ht="24" hidden="1" customHeight="1">
      <c r="A11" s="296">
        <v>8</v>
      </c>
      <c r="B11" s="297" t="s">
        <v>28</v>
      </c>
      <c r="C11" s="304" t="s">
        <v>93</v>
      </c>
      <c r="D11" s="299">
        <v>14000000</v>
      </c>
      <c r="E11" s="299"/>
      <c r="F11" s="300" t="s">
        <v>30</v>
      </c>
      <c r="G11" s="299"/>
      <c r="H11" s="301">
        <f t="shared" si="0"/>
        <v>14000000</v>
      </c>
      <c r="I11" s="300"/>
      <c r="J11" s="303" t="s">
        <v>240</v>
      </c>
      <c r="K11" s="293" t="s">
        <v>70</v>
      </c>
      <c r="L11" s="294" t="s">
        <v>51</v>
      </c>
      <c r="M11" s="294" t="s">
        <v>28</v>
      </c>
    </row>
    <row r="12" spans="1:14" ht="24" hidden="1" customHeight="1">
      <c r="A12" s="296">
        <v>9</v>
      </c>
      <c r="B12" s="297" t="s">
        <v>42</v>
      </c>
      <c r="C12" s="304" t="s">
        <v>93</v>
      </c>
      <c r="D12" s="299">
        <v>10000000</v>
      </c>
      <c r="E12" s="299"/>
      <c r="F12" s="300" t="s">
        <v>24</v>
      </c>
      <c r="G12" s="299"/>
      <c r="H12" s="301">
        <f t="shared" si="0"/>
        <v>10000000</v>
      </c>
      <c r="I12" s="300"/>
      <c r="J12" s="303" t="s">
        <v>240</v>
      </c>
      <c r="K12" s="293" t="s">
        <v>123</v>
      </c>
      <c r="L12" s="294" t="s">
        <v>64</v>
      </c>
      <c r="M12" s="294" t="s">
        <v>42</v>
      </c>
    </row>
    <row r="13" spans="1:14" ht="24" hidden="1" customHeight="1">
      <c r="A13" s="296">
        <v>10</v>
      </c>
      <c r="B13" s="297" t="s">
        <v>31</v>
      </c>
      <c r="C13" s="304" t="s">
        <v>94</v>
      </c>
      <c r="D13" s="299">
        <v>29027000</v>
      </c>
      <c r="E13" s="299"/>
      <c r="F13" s="300" t="s">
        <v>24</v>
      </c>
      <c r="G13" s="299"/>
      <c r="H13" s="301">
        <f t="shared" si="0"/>
        <v>29027000</v>
      </c>
      <c r="I13" s="302">
        <f>D13/2</f>
        <v>14513500</v>
      </c>
      <c r="J13" s="303" t="s">
        <v>240</v>
      </c>
      <c r="K13" s="293" t="s">
        <v>88</v>
      </c>
      <c r="L13" s="294" t="s">
        <v>60</v>
      </c>
      <c r="M13" s="294" t="s">
        <v>31</v>
      </c>
    </row>
    <row r="14" spans="1:14" ht="24" customHeight="1">
      <c r="A14" s="296">
        <v>11</v>
      </c>
      <c r="B14" s="297" t="s">
        <v>3</v>
      </c>
      <c r="C14" s="304" t="s">
        <v>94</v>
      </c>
      <c r="D14" s="299">
        <v>14000000</v>
      </c>
      <c r="E14" s="299"/>
      <c r="F14" s="300" t="s">
        <v>24</v>
      </c>
      <c r="G14" s="299"/>
      <c r="H14" s="301">
        <f t="shared" si="0"/>
        <v>14000000</v>
      </c>
      <c r="I14" s="300"/>
      <c r="J14" s="303" t="s">
        <v>293</v>
      </c>
      <c r="K14" s="293" t="s">
        <v>189</v>
      </c>
      <c r="L14" s="294" t="s">
        <v>63</v>
      </c>
      <c r="M14" s="294" t="s">
        <v>190</v>
      </c>
    </row>
    <row r="15" spans="1:14" ht="24" hidden="1" customHeight="1">
      <c r="A15" s="296">
        <v>12</v>
      </c>
      <c r="B15" s="297" t="s">
        <v>37</v>
      </c>
      <c r="C15" s="304" t="s">
        <v>94</v>
      </c>
      <c r="D15" s="299">
        <v>8000000</v>
      </c>
      <c r="E15" s="299"/>
      <c r="F15" s="300" t="s">
        <v>30</v>
      </c>
      <c r="G15" s="299"/>
      <c r="H15" s="301">
        <f t="shared" si="0"/>
        <v>8000000</v>
      </c>
      <c r="I15" s="300"/>
      <c r="J15" s="303" t="s">
        <v>240</v>
      </c>
      <c r="K15" s="293" t="s">
        <v>62</v>
      </c>
      <c r="L15" s="294" t="s">
        <v>51</v>
      </c>
      <c r="M15" s="294" t="s">
        <v>37</v>
      </c>
    </row>
    <row r="16" spans="1:14" ht="24" hidden="1" customHeight="1">
      <c r="A16" s="296">
        <v>13</v>
      </c>
      <c r="B16" s="297" t="s">
        <v>38</v>
      </c>
      <c r="C16" s="304" t="s">
        <v>94</v>
      </c>
      <c r="D16" s="299">
        <v>8000000</v>
      </c>
      <c r="E16" s="299"/>
      <c r="F16" s="300" t="s">
        <v>30</v>
      </c>
      <c r="G16" s="299"/>
      <c r="H16" s="301">
        <f t="shared" si="0"/>
        <v>8000000</v>
      </c>
      <c r="I16" s="300"/>
      <c r="J16" s="303" t="s">
        <v>240</v>
      </c>
      <c r="K16" s="293" t="s">
        <v>61</v>
      </c>
      <c r="L16" s="294" t="s">
        <v>54</v>
      </c>
      <c r="M16" s="294" t="s">
        <v>38</v>
      </c>
    </row>
    <row r="17" spans="1:13" ht="24" hidden="1" customHeight="1">
      <c r="A17" s="296">
        <v>14</v>
      </c>
      <c r="B17" s="297" t="s">
        <v>40</v>
      </c>
      <c r="C17" s="304" t="s">
        <v>94</v>
      </c>
      <c r="D17" s="299">
        <v>8000000</v>
      </c>
      <c r="E17" s="299"/>
      <c r="F17" s="300" t="s">
        <v>30</v>
      </c>
      <c r="G17" s="299"/>
      <c r="H17" s="301">
        <f t="shared" si="0"/>
        <v>8000000</v>
      </c>
      <c r="I17" s="300"/>
      <c r="J17" s="303" t="s">
        <v>240</v>
      </c>
      <c r="K17" s="293" t="s">
        <v>145</v>
      </c>
      <c r="L17" s="294" t="s">
        <v>57</v>
      </c>
      <c r="M17" s="294" t="s">
        <v>40</v>
      </c>
    </row>
    <row r="18" spans="1:13" ht="25.5" hidden="1" customHeight="1">
      <c r="A18" s="296">
        <v>15</v>
      </c>
      <c r="B18" s="297" t="s">
        <v>41</v>
      </c>
      <c r="C18" s="304" t="s">
        <v>94</v>
      </c>
      <c r="D18" s="299">
        <v>10000000</v>
      </c>
      <c r="E18" s="299"/>
      <c r="F18" s="300" t="s">
        <v>30</v>
      </c>
      <c r="G18" s="299"/>
      <c r="H18" s="301">
        <f t="shared" si="0"/>
        <v>10000000</v>
      </c>
      <c r="I18" s="300"/>
      <c r="J18" s="303" t="s">
        <v>240</v>
      </c>
      <c r="K18" s="293" t="s">
        <v>58</v>
      </c>
      <c r="L18" s="294" t="s">
        <v>56</v>
      </c>
      <c r="M18" s="294" t="s">
        <v>41</v>
      </c>
    </row>
    <row r="19" spans="1:13" ht="22.5" hidden="1" customHeight="1">
      <c r="A19" s="296">
        <v>16</v>
      </c>
      <c r="B19" s="297" t="s">
        <v>127</v>
      </c>
      <c r="C19" s="304" t="s">
        <v>94</v>
      </c>
      <c r="D19" s="299">
        <v>8000000</v>
      </c>
      <c r="E19" s="299"/>
      <c r="F19" s="300" t="s">
        <v>30</v>
      </c>
      <c r="G19" s="299"/>
      <c r="H19" s="301">
        <f t="shared" si="0"/>
        <v>8000000</v>
      </c>
      <c r="I19" s="300"/>
      <c r="J19" s="303" t="s">
        <v>240</v>
      </c>
      <c r="K19" s="293" t="s">
        <v>131</v>
      </c>
      <c r="L19" s="294" t="s">
        <v>56</v>
      </c>
      <c r="M19" s="294" t="s">
        <v>127</v>
      </c>
    </row>
    <row r="20" spans="1:13" ht="22.5" hidden="1" customHeight="1">
      <c r="A20" s="296">
        <v>17</v>
      </c>
      <c r="B20" s="297" t="s">
        <v>9</v>
      </c>
      <c r="C20" s="304" t="s">
        <v>95</v>
      </c>
      <c r="D20" s="299">
        <v>35126000</v>
      </c>
      <c r="E20" s="299"/>
      <c r="F20" s="300" t="s">
        <v>30</v>
      </c>
      <c r="G20" s="299"/>
      <c r="H20" s="301">
        <f t="shared" si="0"/>
        <v>35126000</v>
      </c>
      <c r="I20" s="302">
        <f>D20/2</f>
        <v>17563000</v>
      </c>
      <c r="J20" s="303" t="s">
        <v>240</v>
      </c>
      <c r="K20" s="293" t="s">
        <v>53</v>
      </c>
      <c r="L20" s="294" t="s">
        <v>51</v>
      </c>
      <c r="M20" s="294" t="s">
        <v>9</v>
      </c>
    </row>
    <row r="21" spans="1:13" ht="22.5" hidden="1" customHeight="1">
      <c r="A21" s="296">
        <v>18</v>
      </c>
      <c r="B21" s="297" t="s">
        <v>112</v>
      </c>
      <c r="C21" s="304" t="s">
        <v>95</v>
      </c>
      <c r="D21" s="299">
        <v>19000000</v>
      </c>
      <c r="E21" s="299"/>
      <c r="F21" s="300" t="s">
        <v>30</v>
      </c>
      <c r="G21" s="299"/>
      <c r="H21" s="301">
        <f t="shared" si="0"/>
        <v>19000000</v>
      </c>
      <c r="I21" s="300"/>
      <c r="J21" s="303" t="s">
        <v>240</v>
      </c>
      <c r="K21" s="293" t="s">
        <v>77</v>
      </c>
      <c r="L21" s="294" t="s">
        <v>56</v>
      </c>
      <c r="M21" s="294" t="s">
        <v>16</v>
      </c>
    </row>
    <row r="22" spans="1:13" ht="22.5" hidden="1" customHeight="1">
      <c r="A22" s="296">
        <v>19</v>
      </c>
      <c r="B22" s="297" t="s">
        <v>26</v>
      </c>
      <c r="C22" s="304" t="s">
        <v>95</v>
      </c>
      <c r="D22" s="299">
        <v>19000000</v>
      </c>
      <c r="E22" s="299"/>
      <c r="F22" s="300" t="s">
        <v>30</v>
      </c>
      <c r="G22" s="299"/>
      <c r="H22" s="301">
        <f t="shared" si="0"/>
        <v>19000000</v>
      </c>
      <c r="I22" s="300"/>
      <c r="J22" s="303" t="s">
        <v>240</v>
      </c>
      <c r="K22" s="293" t="s">
        <v>72</v>
      </c>
      <c r="L22" s="294" t="s">
        <v>54</v>
      </c>
      <c r="M22" s="294" t="s">
        <v>26</v>
      </c>
    </row>
    <row r="23" spans="1:13" ht="22.5" hidden="1" customHeight="1">
      <c r="A23" s="296">
        <v>20</v>
      </c>
      <c r="B23" s="297" t="s">
        <v>32</v>
      </c>
      <c r="C23" s="304" t="s">
        <v>95</v>
      </c>
      <c r="D23" s="299">
        <v>12000000</v>
      </c>
      <c r="E23" s="299"/>
      <c r="F23" s="300" t="s">
        <v>30</v>
      </c>
      <c r="G23" s="299"/>
      <c r="H23" s="301">
        <f t="shared" si="0"/>
        <v>12000000</v>
      </c>
      <c r="I23" s="300"/>
      <c r="J23" s="303" t="s">
        <v>240</v>
      </c>
      <c r="K23" s="293" t="s">
        <v>68</v>
      </c>
      <c r="L23" s="294" t="s">
        <v>56</v>
      </c>
      <c r="M23" s="294" t="s">
        <v>32</v>
      </c>
    </row>
    <row r="24" spans="1:13" ht="22.5" hidden="1" customHeight="1">
      <c r="A24" s="296">
        <v>21</v>
      </c>
      <c r="B24" s="297" t="s">
        <v>39</v>
      </c>
      <c r="C24" s="304" t="s">
        <v>95</v>
      </c>
      <c r="D24" s="299">
        <v>12000000</v>
      </c>
      <c r="E24" s="299"/>
      <c r="F24" s="300" t="s">
        <v>24</v>
      </c>
      <c r="G24" s="299"/>
      <c r="H24" s="301">
        <f t="shared" si="0"/>
        <v>12000000</v>
      </c>
      <c r="I24" s="300"/>
      <c r="J24" s="303" t="s">
        <v>240</v>
      </c>
      <c r="K24" s="293" t="s">
        <v>59</v>
      </c>
      <c r="L24" s="294" t="s">
        <v>60</v>
      </c>
      <c r="M24" s="294" t="s">
        <v>39</v>
      </c>
    </row>
    <row r="25" spans="1:13" ht="22.5" hidden="1" customHeight="1">
      <c r="A25" s="296">
        <v>22</v>
      </c>
      <c r="B25" s="297" t="s">
        <v>44</v>
      </c>
      <c r="C25" s="304" t="s">
        <v>95</v>
      </c>
      <c r="D25" s="299">
        <v>12000000</v>
      </c>
      <c r="E25" s="299"/>
      <c r="F25" s="300" t="s">
        <v>30</v>
      </c>
      <c r="G25" s="299"/>
      <c r="H25" s="301">
        <f t="shared" si="0"/>
        <v>12000000</v>
      </c>
      <c r="I25" s="300"/>
      <c r="J25" s="303" t="s">
        <v>240</v>
      </c>
      <c r="K25" s="293" t="s">
        <v>55</v>
      </c>
      <c r="L25" s="294" t="s">
        <v>56</v>
      </c>
      <c r="M25" s="294" t="s">
        <v>44</v>
      </c>
    </row>
    <row r="26" spans="1:13" ht="27" hidden="1" customHeight="1">
      <c r="A26" s="296">
        <v>23</v>
      </c>
      <c r="B26" s="297" t="s">
        <v>128</v>
      </c>
      <c r="C26" s="297" t="s">
        <v>95</v>
      </c>
      <c r="D26" s="299">
        <v>9000000</v>
      </c>
      <c r="E26" s="299"/>
      <c r="F26" s="300" t="s">
        <v>24</v>
      </c>
      <c r="G26" s="299"/>
      <c r="H26" s="301">
        <f t="shared" si="0"/>
        <v>9000000</v>
      </c>
      <c r="I26" s="300"/>
      <c r="J26" s="303" t="s">
        <v>240</v>
      </c>
      <c r="K26" s="293" t="s">
        <v>139</v>
      </c>
      <c r="L26" s="294" t="s">
        <v>138</v>
      </c>
      <c r="M26" s="294" t="s">
        <v>140</v>
      </c>
    </row>
    <row r="27" spans="1:13" ht="49.5" hidden="1" customHeight="1">
      <c r="A27" s="296">
        <v>24</v>
      </c>
      <c r="B27" s="297" t="s">
        <v>121</v>
      </c>
      <c r="C27" s="304" t="s">
        <v>96</v>
      </c>
      <c r="D27" s="299">
        <f>26678000</f>
        <v>26678000</v>
      </c>
      <c r="E27" s="299">
        <v>500000</v>
      </c>
      <c r="F27" s="300" t="s">
        <v>30</v>
      </c>
      <c r="G27" s="299"/>
      <c r="H27" s="301">
        <f t="shared" si="0"/>
        <v>27178000</v>
      </c>
      <c r="I27" s="302">
        <f>D27/2</f>
        <v>13339000</v>
      </c>
      <c r="J27" s="303" t="s">
        <v>240</v>
      </c>
      <c r="K27" s="293" t="s">
        <v>86</v>
      </c>
      <c r="L27" s="294" t="s">
        <v>60</v>
      </c>
      <c r="M27" s="294" t="s">
        <v>85</v>
      </c>
    </row>
    <row r="28" spans="1:13" ht="22.5" hidden="1" customHeight="1">
      <c r="A28" s="296">
        <v>25</v>
      </c>
      <c r="B28" s="297" t="s">
        <v>120</v>
      </c>
      <c r="C28" s="304" t="s">
        <v>96</v>
      </c>
      <c r="D28" s="299">
        <f>16000000+8000000</f>
        <v>24000000</v>
      </c>
      <c r="E28" s="299"/>
      <c r="F28" s="300" t="s">
        <v>30</v>
      </c>
      <c r="G28" s="299"/>
      <c r="H28" s="301">
        <f t="shared" si="0"/>
        <v>24000000</v>
      </c>
      <c r="I28" s="300"/>
      <c r="J28" s="303" t="s">
        <v>240</v>
      </c>
      <c r="K28" s="293" t="s">
        <v>81</v>
      </c>
      <c r="L28" s="294" t="s">
        <v>60</v>
      </c>
      <c r="M28" s="294" t="s">
        <v>5</v>
      </c>
    </row>
    <row r="29" spans="1:13" ht="22.5" hidden="1" customHeight="1">
      <c r="A29" s="296">
        <v>26</v>
      </c>
      <c r="B29" s="297" t="s">
        <v>43</v>
      </c>
      <c r="C29" s="304" t="s">
        <v>96</v>
      </c>
      <c r="D29" s="299">
        <v>12000000</v>
      </c>
      <c r="E29" s="299"/>
      <c r="F29" s="300" t="s">
        <v>30</v>
      </c>
      <c r="G29" s="299"/>
      <c r="H29" s="301">
        <f t="shared" si="0"/>
        <v>12000000</v>
      </c>
      <c r="I29" s="300"/>
      <c r="J29" s="303" t="s">
        <v>240</v>
      </c>
      <c r="K29" s="293" t="s">
        <v>162</v>
      </c>
      <c r="L29" s="294" t="s">
        <v>63</v>
      </c>
      <c r="M29" s="294" t="s">
        <v>43</v>
      </c>
    </row>
    <row r="30" spans="1:13" ht="27" hidden="1" customHeight="1">
      <c r="A30" s="296">
        <v>27</v>
      </c>
      <c r="B30" s="297" t="s">
        <v>129</v>
      </c>
      <c r="C30" s="297" t="s">
        <v>96</v>
      </c>
      <c r="D30" s="299">
        <v>8000000</v>
      </c>
      <c r="E30" s="299"/>
      <c r="F30" s="300" t="s">
        <v>30</v>
      </c>
      <c r="G30" s="299"/>
      <c r="H30" s="301">
        <f t="shared" si="0"/>
        <v>8000000</v>
      </c>
      <c r="I30" s="300"/>
      <c r="J30" s="303" t="s">
        <v>240</v>
      </c>
      <c r="K30" s="293" t="s">
        <v>165</v>
      </c>
      <c r="L30" s="294" t="s">
        <v>56</v>
      </c>
      <c r="M30" s="294" t="s">
        <v>129</v>
      </c>
    </row>
    <row r="31" spans="1:13" ht="27" hidden="1" customHeight="1">
      <c r="A31" s="296">
        <v>28</v>
      </c>
      <c r="B31" s="297" t="s">
        <v>148</v>
      </c>
      <c r="C31" s="297" t="s">
        <v>96</v>
      </c>
      <c r="D31" s="299">
        <v>8000000</v>
      </c>
      <c r="E31" s="299"/>
      <c r="F31" s="300" t="s">
        <v>30</v>
      </c>
      <c r="G31" s="299"/>
      <c r="H31" s="301">
        <f t="shared" si="0"/>
        <v>8000000</v>
      </c>
      <c r="I31" s="300"/>
      <c r="J31" s="303" t="s">
        <v>240</v>
      </c>
      <c r="K31" s="293" t="s">
        <v>158</v>
      </c>
      <c r="L31" s="294" t="s">
        <v>57</v>
      </c>
      <c r="M31" s="294" t="s">
        <v>148</v>
      </c>
    </row>
    <row r="32" spans="1:13" s="316" customFormat="1" ht="41.25" hidden="1" customHeight="1">
      <c r="A32" s="296">
        <v>29</v>
      </c>
      <c r="B32" s="310" t="s">
        <v>150</v>
      </c>
      <c r="C32" s="310" t="s">
        <v>98</v>
      </c>
      <c r="D32" s="311">
        <v>7000000</v>
      </c>
      <c r="E32" s="311"/>
      <c r="F32" s="312" t="s">
        <v>30</v>
      </c>
      <c r="G32" s="311"/>
      <c r="H32" s="301">
        <f t="shared" si="0"/>
        <v>7000000</v>
      </c>
      <c r="I32" s="312"/>
      <c r="J32" s="313" t="s">
        <v>240</v>
      </c>
      <c r="K32" s="314" t="s">
        <v>159</v>
      </c>
      <c r="L32" s="315" t="s">
        <v>160</v>
      </c>
      <c r="M32" s="315" t="s">
        <v>150</v>
      </c>
    </row>
    <row r="33" spans="1:14" ht="41.25" hidden="1" customHeight="1">
      <c r="A33" s="296">
        <v>30</v>
      </c>
      <c r="B33" s="297" t="s">
        <v>166</v>
      </c>
      <c r="C33" s="297" t="s">
        <v>98</v>
      </c>
      <c r="D33" s="299">
        <v>9000000</v>
      </c>
      <c r="E33" s="299"/>
      <c r="F33" s="300" t="s">
        <v>30</v>
      </c>
      <c r="G33" s="299"/>
      <c r="H33" s="301">
        <f t="shared" si="0"/>
        <v>9000000</v>
      </c>
      <c r="I33" s="300"/>
      <c r="J33" s="313" t="s">
        <v>240</v>
      </c>
      <c r="K33" s="293" t="s">
        <v>172</v>
      </c>
      <c r="L33" s="294" t="s">
        <v>63</v>
      </c>
      <c r="M33" s="294" t="s">
        <v>166</v>
      </c>
    </row>
    <row r="34" spans="1:14" ht="22.5" hidden="1" customHeight="1">
      <c r="A34" s="296">
        <v>31</v>
      </c>
      <c r="B34" s="297" t="s">
        <v>25</v>
      </c>
      <c r="C34" s="304" t="s">
        <v>99</v>
      </c>
      <c r="D34" s="299">
        <v>12000000</v>
      </c>
      <c r="E34" s="299"/>
      <c r="F34" s="300" t="s">
        <v>30</v>
      </c>
      <c r="G34" s="299"/>
      <c r="H34" s="301">
        <f t="shared" si="0"/>
        <v>12000000</v>
      </c>
      <c r="I34" s="300"/>
      <c r="J34" s="313" t="s">
        <v>240</v>
      </c>
      <c r="K34" s="293" t="s">
        <v>79</v>
      </c>
      <c r="L34" s="294" t="s">
        <v>63</v>
      </c>
      <c r="M34" s="294" t="s">
        <v>78</v>
      </c>
    </row>
    <row r="35" spans="1:14" ht="22.5" hidden="1" customHeight="1">
      <c r="A35" s="296">
        <v>32</v>
      </c>
      <c r="B35" s="297" t="s">
        <v>6</v>
      </c>
      <c r="C35" s="304" t="s">
        <v>100</v>
      </c>
      <c r="D35" s="299">
        <v>15000000</v>
      </c>
      <c r="E35" s="299"/>
      <c r="F35" s="300" t="s">
        <v>24</v>
      </c>
      <c r="G35" s="299"/>
      <c r="H35" s="301">
        <f t="shared" si="0"/>
        <v>15000000</v>
      </c>
      <c r="I35" s="300"/>
      <c r="J35" s="313" t="s">
        <v>240</v>
      </c>
      <c r="K35" s="293" t="s">
        <v>82</v>
      </c>
      <c r="L35" s="294" t="s">
        <v>51</v>
      </c>
      <c r="M35" s="294" t="s">
        <v>6</v>
      </c>
    </row>
    <row r="36" spans="1:14" ht="21.75" hidden="1" customHeight="1">
      <c r="A36" s="296">
        <v>33</v>
      </c>
      <c r="B36" s="297" t="s">
        <v>45</v>
      </c>
      <c r="C36" s="304" t="s">
        <v>97</v>
      </c>
      <c r="D36" s="299">
        <v>13902000</v>
      </c>
      <c r="E36" s="299"/>
      <c r="F36" s="300" t="s">
        <v>29</v>
      </c>
      <c r="G36" s="299"/>
      <c r="H36" s="301">
        <f t="shared" si="0"/>
        <v>13902000</v>
      </c>
      <c r="I36" s="300"/>
      <c r="J36" s="313" t="s">
        <v>293</v>
      </c>
      <c r="K36" s="293"/>
      <c r="L36" s="294"/>
      <c r="M36" s="294" t="s">
        <v>45</v>
      </c>
    </row>
    <row r="37" spans="1:14" ht="22.5" hidden="1" customHeight="1">
      <c r="A37" s="296">
        <v>34</v>
      </c>
      <c r="B37" s="297" t="s">
        <v>35</v>
      </c>
      <c r="C37" s="304" t="s">
        <v>97</v>
      </c>
      <c r="D37" s="299">
        <v>8000000</v>
      </c>
      <c r="E37" s="299"/>
      <c r="F37" s="300" t="s">
        <v>29</v>
      </c>
      <c r="G37" s="299"/>
      <c r="H37" s="301">
        <f t="shared" si="0"/>
        <v>8000000</v>
      </c>
      <c r="I37" s="300"/>
      <c r="J37" s="313" t="s">
        <v>240</v>
      </c>
      <c r="K37" s="293" t="s">
        <v>251</v>
      </c>
      <c r="L37" s="294"/>
      <c r="M37" s="294" t="s">
        <v>35</v>
      </c>
    </row>
    <row r="38" spans="1:14" s="346" customFormat="1" ht="22.5" hidden="1" customHeight="1">
      <c r="A38" s="342">
        <v>35</v>
      </c>
      <c r="B38" s="343" t="s">
        <v>275</v>
      </c>
      <c r="C38" s="344" t="s">
        <v>276</v>
      </c>
      <c r="D38" s="301">
        <f>15000000/60*16</f>
        <v>4000000</v>
      </c>
      <c r="E38" s="301"/>
      <c r="F38" s="345" t="s">
        <v>29</v>
      </c>
      <c r="G38" s="301"/>
      <c r="H38" s="301">
        <f t="shared" si="0"/>
        <v>4000000</v>
      </c>
      <c r="I38" s="345"/>
      <c r="J38" s="343" t="s">
        <v>277</v>
      </c>
      <c r="K38" s="317" t="s">
        <v>289</v>
      </c>
      <c r="L38" s="294" t="s">
        <v>288</v>
      </c>
      <c r="M38" s="294" t="s">
        <v>275</v>
      </c>
      <c r="N38" s="285"/>
    </row>
    <row r="39" spans="1:14" ht="22.5" hidden="1" customHeight="1">
      <c r="A39" s="296">
        <v>36</v>
      </c>
      <c r="B39" s="297" t="s">
        <v>17</v>
      </c>
      <c r="C39" s="304" t="s">
        <v>101</v>
      </c>
      <c r="D39" s="299">
        <v>16500000</v>
      </c>
      <c r="E39" s="299"/>
      <c r="F39" s="300" t="s">
        <v>29</v>
      </c>
      <c r="G39" s="299"/>
      <c r="H39" s="301">
        <f t="shared" si="0"/>
        <v>16500000</v>
      </c>
      <c r="I39" s="300"/>
      <c r="J39" s="313" t="s">
        <v>240</v>
      </c>
      <c r="K39" s="293" t="s">
        <v>83</v>
      </c>
      <c r="L39" s="294" t="s">
        <v>64</v>
      </c>
      <c r="M39" s="294" t="s">
        <v>17</v>
      </c>
    </row>
    <row r="40" spans="1:14" ht="31.5" hidden="1" customHeight="1">
      <c r="A40" s="296">
        <v>37</v>
      </c>
      <c r="B40" s="297" t="s">
        <v>146</v>
      </c>
      <c r="C40" s="297" t="s">
        <v>100</v>
      </c>
      <c r="D40" s="299">
        <v>5000000</v>
      </c>
      <c r="E40" s="299"/>
      <c r="F40" s="300" t="s">
        <v>24</v>
      </c>
      <c r="G40" s="299"/>
      <c r="H40" s="301">
        <f t="shared" si="0"/>
        <v>5000000</v>
      </c>
      <c r="I40" s="300"/>
      <c r="J40" s="318" t="s">
        <v>295</v>
      </c>
      <c r="K40" s="293" t="s">
        <v>152</v>
      </c>
      <c r="L40" s="294" t="s">
        <v>57</v>
      </c>
      <c r="M40" s="294" t="s">
        <v>146</v>
      </c>
    </row>
    <row r="41" spans="1:14" ht="36.75" hidden="1" customHeight="1">
      <c r="A41" s="296">
        <v>38</v>
      </c>
      <c r="B41" s="297" t="s">
        <v>179</v>
      </c>
      <c r="C41" s="298" t="s">
        <v>136</v>
      </c>
      <c r="D41" s="299">
        <v>6500000</v>
      </c>
      <c r="E41" s="299"/>
      <c r="F41" s="300" t="s">
        <v>24</v>
      </c>
      <c r="G41" s="299"/>
      <c r="H41" s="301">
        <f t="shared" si="0"/>
        <v>6500000</v>
      </c>
      <c r="I41" s="300"/>
      <c r="J41" s="313" t="s">
        <v>240</v>
      </c>
      <c r="K41" s="293" t="s">
        <v>216</v>
      </c>
      <c r="L41" s="294" t="s">
        <v>51</v>
      </c>
      <c r="M41" s="294" t="s">
        <v>179</v>
      </c>
    </row>
    <row r="42" spans="1:14" ht="36.75" hidden="1" customHeight="1">
      <c r="A42" s="296">
        <v>39</v>
      </c>
      <c r="B42" s="297" t="s">
        <v>192</v>
      </c>
      <c r="C42" s="298" t="s">
        <v>136</v>
      </c>
      <c r="D42" s="299">
        <v>8000000</v>
      </c>
      <c r="E42" s="299"/>
      <c r="F42" s="300" t="s">
        <v>24</v>
      </c>
      <c r="G42" s="299"/>
      <c r="H42" s="301">
        <f t="shared" si="0"/>
        <v>8000000</v>
      </c>
      <c r="I42" s="300"/>
      <c r="J42" s="313" t="s">
        <v>240</v>
      </c>
      <c r="K42" s="293" t="s">
        <v>220</v>
      </c>
      <c r="L42" s="294" t="s">
        <v>54</v>
      </c>
      <c r="M42" s="294" t="s">
        <v>221</v>
      </c>
    </row>
    <row r="43" spans="1:14" ht="36.75" hidden="1" customHeight="1">
      <c r="A43" s="296">
        <v>40</v>
      </c>
      <c r="B43" s="297" t="s">
        <v>193</v>
      </c>
      <c r="C43" s="298" t="s">
        <v>302</v>
      </c>
      <c r="D43" s="299">
        <v>6500000</v>
      </c>
      <c r="E43" s="299"/>
      <c r="F43" s="300" t="s">
        <v>24</v>
      </c>
      <c r="G43" s="299"/>
      <c r="H43" s="301">
        <f t="shared" si="0"/>
        <v>6500000</v>
      </c>
      <c r="I43" s="300"/>
      <c r="J43" s="313" t="s">
        <v>240</v>
      </c>
      <c r="K43" s="293" t="s">
        <v>213</v>
      </c>
      <c r="L43" s="294" t="s">
        <v>54</v>
      </c>
      <c r="M43" s="294" t="s">
        <v>193</v>
      </c>
    </row>
    <row r="44" spans="1:14" ht="36.75" hidden="1" customHeight="1">
      <c r="A44" s="296">
        <v>41</v>
      </c>
      <c r="B44" s="297" t="s">
        <v>194</v>
      </c>
      <c r="C44" s="298" t="s">
        <v>303</v>
      </c>
      <c r="D44" s="299">
        <v>6500000</v>
      </c>
      <c r="E44" s="299"/>
      <c r="F44" s="300" t="s">
        <v>24</v>
      </c>
      <c r="G44" s="299"/>
      <c r="H44" s="301">
        <f t="shared" si="0"/>
        <v>6500000</v>
      </c>
      <c r="I44" s="300"/>
      <c r="J44" s="313" t="s">
        <v>240</v>
      </c>
      <c r="K44" s="293" t="s">
        <v>232</v>
      </c>
      <c r="L44" s="294" t="s">
        <v>51</v>
      </c>
      <c r="M44" s="294" t="s">
        <v>194</v>
      </c>
    </row>
    <row r="45" spans="1:14" ht="36.75" hidden="1" customHeight="1">
      <c r="A45" s="296">
        <v>42</v>
      </c>
      <c r="B45" s="297" t="s">
        <v>298</v>
      </c>
      <c r="C45" s="298" t="s">
        <v>302</v>
      </c>
      <c r="D45" s="299">
        <v>6500000</v>
      </c>
      <c r="E45" s="299"/>
      <c r="F45" s="300" t="s">
        <v>24</v>
      </c>
      <c r="G45" s="299"/>
      <c r="H45" s="301">
        <f t="shared" si="0"/>
        <v>6500000</v>
      </c>
      <c r="I45" s="300"/>
      <c r="J45" s="313" t="s">
        <v>240</v>
      </c>
      <c r="K45" s="293" t="s">
        <v>214</v>
      </c>
      <c r="L45" s="294" t="s">
        <v>138</v>
      </c>
      <c r="M45" s="294" t="s">
        <v>215</v>
      </c>
    </row>
    <row r="46" spans="1:14" ht="36.75" hidden="1" customHeight="1">
      <c r="A46" s="296">
        <v>43</v>
      </c>
      <c r="B46" s="297" t="s">
        <v>219</v>
      </c>
      <c r="C46" s="298" t="s">
        <v>302</v>
      </c>
      <c r="D46" s="299">
        <v>6500000</v>
      </c>
      <c r="E46" s="299"/>
      <c r="F46" s="300" t="s">
        <v>24</v>
      </c>
      <c r="G46" s="299"/>
      <c r="H46" s="301">
        <f t="shared" si="0"/>
        <v>6500000</v>
      </c>
      <c r="I46" s="300"/>
      <c r="J46" s="313" t="s">
        <v>294</v>
      </c>
      <c r="K46" s="293" t="s">
        <v>217</v>
      </c>
      <c r="L46" s="294" t="s">
        <v>218</v>
      </c>
      <c r="M46" s="294" t="s">
        <v>219</v>
      </c>
      <c r="N46" s="299" t="s">
        <v>273</v>
      </c>
    </row>
    <row r="47" spans="1:14" ht="36.75" hidden="1" customHeight="1">
      <c r="A47" s="342">
        <v>44</v>
      </c>
      <c r="B47" s="343" t="s">
        <v>225</v>
      </c>
      <c r="C47" s="347" t="s">
        <v>302</v>
      </c>
      <c r="D47" s="301">
        <f>(6500000*0.85/30)*3+(6500000/30)*27</f>
        <v>6402500</v>
      </c>
      <c r="E47" s="301"/>
      <c r="F47" s="345" t="s">
        <v>24</v>
      </c>
      <c r="G47" s="301"/>
      <c r="H47" s="301">
        <f t="shared" si="0"/>
        <v>6402500</v>
      </c>
      <c r="I47" s="345"/>
      <c r="J47" s="349" t="s">
        <v>307</v>
      </c>
      <c r="K47" s="293" t="s">
        <v>248</v>
      </c>
      <c r="L47" s="319" t="s">
        <v>249</v>
      </c>
      <c r="M47" s="297" t="s">
        <v>225</v>
      </c>
      <c r="N47" s="299" t="s">
        <v>272</v>
      </c>
    </row>
    <row r="48" spans="1:14" ht="36.75" hidden="1" customHeight="1">
      <c r="A48" s="296">
        <v>45</v>
      </c>
      <c r="B48" s="297" t="s">
        <v>202</v>
      </c>
      <c r="C48" s="298" t="s">
        <v>304</v>
      </c>
      <c r="D48" s="311">
        <v>7000000</v>
      </c>
      <c r="E48" s="299"/>
      <c r="F48" s="300" t="s">
        <v>30</v>
      </c>
      <c r="G48" s="299"/>
      <c r="H48" s="301">
        <f t="shared" si="0"/>
        <v>7000000</v>
      </c>
      <c r="I48" s="300"/>
      <c r="J48" s="313" t="s">
        <v>240</v>
      </c>
      <c r="K48" s="293" t="s">
        <v>235</v>
      </c>
      <c r="L48" s="294" t="s">
        <v>64</v>
      </c>
      <c r="M48" s="294" t="s">
        <v>236</v>
      </c>
      <c r="N48" s="299"/>
    </row>
    <row r="49" spans="1:15" ht="36.75" hidden="1" customHeight="1">
      <c r="A49" s="296">
        <v>46</v>
      </c>
      <c r="B49" s="297" t="s">
        <v>296</v>
      </c>
      <c r="C49" s="298" t="s">
        <v>304</v>
      </c>
      <c r="D49" s="311">
        <v>7000000</v>
      </c>
      <c r="E49" s="299"/>
      <c r="F49" s="300" t="s">
        <v>30</v>
      </c>
      <c r="G49" s="299"/>
      <c r="H49" s="301">
        <f t="shared" si="0"/>
        <v>7000000</v>
      </c>
      <c r="I49" s="300"/>
      <c r="J49" s="313" t="s">
        <v>240</v>
      </c>
      <c r="K49" s="293" t="s">
        <v>244</v>
      </c>
      <c r="L49" s="294" t="s">
        <v>245</v>
      </c>
      <c r="M49" s="297" t="s">
        <v>205</v>
      </c>
      <c r="N49" s="299"/>
    </row>
    <row r="50" spans="1:15" ht="36.75" hidden="1" customHeight="1">
      <c r="A50" s="296">
        <v>47</v>
      </c>
      <c r="B50" s="297" t="s">
        <v>206</v>
      </c>
      <c r="C50" s="298" t="s">
        <v>304</v>
      </c>
      <c r="D50" s="299">
        <v>7000000</v>
      </c>
      <c r="E50" s="299"/>
      <c r="F50" s="300" t="s">
        <v>30</v>
      </c>
      <c r="G50" s="299"/>
      <c r="H50" s="301">
        <f t="shared" si="0"/>
        <v>7000000</v>
      </c>
      <c r="I50" s="300"/>
      <c r="J50" s="313" t="s">
        <v>240</v>
      </c>
      <c r="K50" s="293" t="s">
        <v>246</v>
      </c>
      <c r="L50" s="294" t="s">
        <v>64</v>
      </c>
      <c r="M50" s="297" t="s">
        <v>280</v>
      </c>
      <c r="N50" s="299"/>
    </row>
    <row r="51" spans="1:15" ht="48" hidden="1" customHeight="1">
      <c r="A51" s="296">
        <v>48</v>
      </c>
      <c r="B51" s="297" t="s">
        <v>208</v>
      </c>
      <c r="C51" s="298" t="s">
        <v>304</v>
      </c>
      <c r="D51" s="299">
        <v>7000000</v>
      </c>
      <c r="E51" s="299"/>
      <c r="F51" s="300" t="s">
        <v>30</v>
      </c>
      <c r="G51" s="299"/>
      <c r="H51" s="301">
        <f t="shared" si="0"/>
        <v>7000000</v>
      </c>
      <c r="I51" s="300"/>
      <c r="J51" s="313" t="s">
        <v>240</v>
      </c>
      <c r="K51" s="293" t="s">
        <v>234</v>
      </c>
      <c r="L51" s="294" t="s">
        <v>133</v>
      </c>
      <c r="M51" s="297" t="s">
        <v>208</v>
      </c>
      <c r="N51" s="299"/>
    </row>
    <row r="52" spans="1:15" ht="36.75" hidden="1" customHeight="1">
      <c r="A52" s="296">
        <v>49</v>
      </c>
      <c r="B52" s="297" t="s">
        <v>226</v>
      </c>
      <c r="C52" s="298" t="s">
        <v>304</v>
      </c>
      <c r="D52" s="299">
        <v>7000000</v>
      </c>
      <c r="E52" s="299"/>
      <c r="F52" s="300" t="s">
        <v>30</v>
      </c>
      <c r="G52" s="299"/>
      <c r="H52" s="301">
        <f t="shared" si="0"/>
        <v>7000000</v>
      </c>
      <c r="I52" s="300"/>
      <c r="J52" s="313" t="s">
        <v>290</v>
      </c>
      <c r="K52" s="293" t="s">
        <v>250</v>
      </c>
      <c r="L52" s="294" t="s">
        <v>133</v>
      </c>
      <c r="M52" s="297" t="s">
        <v>226</v>
      </c>
      <c r="N52" s="299"/>
    </row>
    <row r="53" spans="1:15" ht="62.25" hidden="1" customHeight="1">
      <c r="A53" s="296">
        <v>50</v>
      </c>
      <c r="B53" s="297" t="s">
        <v>291</v>
      </c>
      <c r="C53" s="297"/>
      <c r="D53" s="299">
        <f>3000000/30*6.5</f>
        <v>650000</v>
      </c>
      <c r="E53" s="299"/>
      <c r="F53" s="300" t="s">
        <v>30</v>
      </c>
      <c r="G53" s="299"/>
      <c r="H53" s="301">
        <f t="shared" si="0"/>
        <v>650000</v>
      </c>
      <c r="I53" s="300"/>
      <c r="J53" s="350" t="s">
        <v>305</v>
      </c>
      <c r="K53" s="482" t="s">
        <v>306</v>
      </c>
      <c r="L53" s="483"/>
      <c r="M53" s="297" t="str">
        <f>+B53</f>
        <v>Hoàng Thị thu trang</v>
      </c>
      <c r="N53" s="299" t="s">
        <v>274</v>
      </c>
    </row>
    <row r="54" spans="1:15" ht="36.75" hidden="1" customHeight="1">
      <c r="A54" s="296">
        <v>51</v>
      </c>
      <c r="B54" s="297" t="s">
        <v>257</v>
      </c>
      <c r="C54" s="348" t="s">
        <v>136</v>
      </c>
      <c r="D54" s="299">
        <v>6000000</v>
      </c>
      <c r="E54" s="299"/>
      <c r="F54" s="300" t="s">
        <v>30</v>
      </c>
      <c r="G54" s="299"/>
      <c r="H54" s="301">
        <f t="shared" si="0"/>
        <v>6000000</v>
      </c>
      <c r="I54" s="300"/>
      <c r="J54" s="303" t="s">
        <v>283</v>
      </c>
      <c r="K54" s="293"/>
      <c r="L54" s="294"/>
      <c r="M54" s="297" t="str">
        <f>+B54</f>
        <v>Chu Quang Hưng</v>
      </c>
      <c r="N54" s="299"/>
    </row>
    <row r="55" spans="1:15" ht="36.75" hidden="1" customHeight="1">
      <c r="A55" s="296">
        <v>52</v>
      </c>
      <c r="B55" s="297" t="s">
        <v>269</v>
      </c>
      <c r="C55" s="297" t="s">
        <v>304</v>
      </c>
      <c r="D55" s="299">
        <v>5950000</v>
      </c>
      <c r="E55" s="299"/>
      <c r="F55" s="300" t="s">
        <v>30</v>
      </c>
      <c r="G55" s="299"/>
      <c r="H55" s="301">
        <f t="shared" si="0"/>
        <v>5950000</v>
      </c>
      <c r="I55" s="300"/>
      <c r="J55" s="303" t="s">
        <v>313</v>
      </c>
      <c r="K55" s="293" t="s">
        <v>267</v>
      </c>
      <c r="L55" s="294" t="s">
        <v>268</v>
      </c>
      <c r="M55" s="297" t="s">
        <v>269</v>
      </c>
      <c r="N55" s="299" t="s">
        <v>316</v>
      </c>
    </row>
    <row r="56" spans="1:15" ht="36.75" hidden="1" customHeight="1">
      <c r="A56" s="296">
        <v>53</v>
      </c>
      <c r="B56" s="297" t="s">
        <v>284</v>
      </c>
      <c r="C56" s="348" t="s">
        <v>304</v>
      </c>
      <c r="D56" s="299">
        <f>85%*7000000</f>
        <v>5950000</v>
      </c>
      <c r="E56" s="299"/>
      <c r="F56" s="300" t="s">
        <v>30</v>
      </c>
      <c r="G56" s="299"/>
      <c r="H56" s="301">
        <f t="shared" si="0"/>
        <v>5950000</v>
      </c>
      <c r="I56" s="300"/>
      <c r="J56" s="303" t="s">
        <v>312</v>
      </c>
      <c r="K56" s="293"/>
      <c r="L56" s="294"/>
      <c r="M56" s="297" t="str">
        <f>+B56</f>
        <v>Phạm Văn Lĩnh</v>
      </c>
      <c r="N56" s="299"/>
    </row>
    <row r="57" spans="1:15" s="326" customFormat="1" ht="19.5" hidden="1" customHeight="1">
      <c r="A57" s="478" t="s">
        <v>299</v>
      </c>
      <c r="B57" s="479"/>
      <c r="C57" s="320"/>
      <c r="D57" s="321">
        <f>SUM(D4:D56)</f>
        <v>665289500</v>
      </c>
      <c r="E57" s="321">
        <f>SUM(E27:E56)</f>
        <v>500000</v>
      </c>
      <c r="F57" s="321">
        <f t="shared" ref="F57:G57" si="2">SUM(F4:F56)</f>
        <v>0</v>
      </c>
      <c r="G57" s="321">
        <f t="shared" si="2"/>
        <v>0</v>
      </c>
      <c r="H57" s="322">
        <f>SUM(H4:H56)</f>
        <v>665789500</v>
      </c>
      <c r="I57" s="323">
        <f>SUM(I4:I56)</f>
        <v>114317500</v>
      </c>
      <c r="J57" s="324"/>
      <c r="K57" s="325"/>
      <c r="L57" s="289"/>
      <c r="M57" s="289"/>
    </row>
    <row r="58" spans="1:15" s="326" customFormat="1" ht="19.5" hidden="1" customHeight="1">
      <c r="A58" s="327">
        <v>1</v>
      </c>
      <c r="B58" s="328" t="s">
        <v>297</v>
      </c>
      <c r="C58" s="329"/>
      <c r="D58" s="330">
        <f>+H57</f>
        <v>665789500</v>
      </c>
      <c r="E58" s="330"/>
      <c r="F58" s="330"/>
      <c r="G58" s="330"/>
      <c r="H58" s="330">
        <f>+H57+I57</f>
        <v>780107000</v>
      </c>
      <c r="I58" s="330"/>
      <c r="J58" s="331"/>
      <c r="K58" s="332"/>
      <c r="L58" s="333"/>
      <c r="M58" s="333"/>
    </row>
    <row r="59" spans="1:15" ht="21" hidden="1" customHeight="1">
      <c r="B59" s="285" t="s">
        <v>46</v>
      </c>
      <c r="D59" s="335">
        <f>+H10</f>
        <v>8000000</v>
      </c>
      <c r="E59" s="335"/>
      <c r="I59" s="336">
        <f>+H57-H53-H10</f>
        <v>657139500</v>
      </c>
      <c r="J59" s="336">
        <f t="shared" ref="J59:M59" si="3">+I57-I53-I10</f>
        <v>114317500</v>
      </c>
      <c r="K59" s="336" t="e">
        <f t="shared" si="3"/>
        <v>#VALUE!</v>
      </c>
      <c r="L59" s="336" t="e">
        <f t="shared" si="3"/>
        <v>#VALUE!</v>
      </c>
      <c r="M59" s="336">
        <f t="shared" si="3"/>
        <v>0</v>
      </c>
      <c r="N59" s="336">
        <f>+H57-H53</f>
        <v>665139500</v>
      </c>
      <c r="O59" s="366" t="s">
        <v>318</v>
      </c>
    </row>
    <row r="60" spans="1:15" ht="21" hidden="1" customHeight="1">
      <c r="B60" s="285" t="s">
        <v>211</v>
      </c>
      <c r="D60" s="335">
        <f>+D58-D59</f>
        <v>657789500</v>
      </c>
      <c r="E60" s="335"/>
      <c r="F60" s="335"/>
      <c r="G60" s="335"/>
      <c r="H60" s="335"/>
      <c r="I60" s="335">
        <v>345545000</v>
      </c>
    </row>
    <row r="61" spans="1:15" ht="19.5" hidden="1" customHeight="1">
      <c r="B61" s="337" t="s">
        <v>22</v>
      </c>
      <c r="C61" s="338"/>
      <c r="D61" s="339">
        <f>SUMIF($F$4:$F$57,"idocNet",($H$4:$H$57))</f>
        <v>118275000</v>
      </c>
      <c r="E61" s="339"/>
      <c r="F61" s="340"/>
      <c r="G61" s="340"/>
      <c r="H61" s="340"/>
      <c r="I61" s="363">
        <f>+I59+I60</f>
        <v>1002684500</v>
      </c>
      <c r="J61" s="341"/>
    </row>
    <row r="62" spans="1:15" ht="19.5" hidden="1" customHeight="1">
      <c r="B62" s="337" t="s">
        <v>23</v>
      </c>
      <c r="C62" s="338"/>
      <c r="D62" s="339">
        <f>SUMIF($F$4:$F$57,"idocST",($H$4:$H$57))</f>
        <v>313854000</v>
      </c>
      <c r="E62" s="339"/>
      <c r="F62" s="340"/>
      <c r="G62" s="340"/>
      <c r="H62" s="340"/>
      <c r="I62" s="340">
        <v>996735000</v>
      </c>
      <c r="J62" s="341" t="s">
        <v>315</v>
      </c>
    </row>
    <row r="63" spans="1:15" ht="18.75" hidden="1" customHeight="1">
      <c r="B63" s="337" t="s">
        <v>24</v>
      </c>
      <c r="C63" s="338"/>
      <c r="D63" s="339">
        <f>SUMIF($F$4:$F$57,"Long Quang",($H$4:$H$57))</f>
        <v>233660500</v>
      </c>
      <c r="E63" s="339"/>
      <c r="F63" s="340"/>
      <c r="G63" s="340"/>
      <c r="H63" s="340"/>
      <c r="I63" s="340">
        <f>+I61-I62</f>
        <v>5949500</v>
      </c>
      <c r="J63" s="341" t="s">
        <v>314</v>
      </c>
    </row>
    <row r="64" spans="1:15" ht="22.5" hidden="1" customHeight="1">
      <c r="I64" s="364">
        <f>47740000-55000+955000000</f>
        <v>1002685000</v>
      </c>
      <c r="J64" s="341"/>
    </row>
    <row r="65" spans="2:10" ht="22.5" hidden="1" customHeight="1">
      <c r="B65" s="480" t="s">
        <v>309</v>
      </c>
      <c r="C65" s="480"/>
      <c r="E65" s="481" t="s">
        <v>310</v>
      </c>
      <c r="F65" s="481"/>
      <c r="H65" s="481" t="s">
        <v>311</v>
      </c>
      <c r="I65" s="481"/>
      <c r="J65" s="341"/>
    </row>
    <row r="66" spans="2:10" ht="22.5" hidden="1" customHeight="1">
      <c r="I66" s="362">
        <f>+I62-I60</f>
        <v>651190000</v>
      </c>
      <c r="J66" s="341"/>
    </row>
    <row r="67" spans="2:10" ht="22.5" hidden="1" customHeight="1">
      <c r="J67" s="341"/>
    </row>
    <row r="68" spans="2:10" ht="22.5" hidden="1" customHeight="1">
      <c r="J68" s="341"/>
    </row>
    <row r="69" spans="2:10" ht="22.5" hidden="1" customHeight="1">
      <c r="J69" s="341"/>
    </row>
    <row r="70" spans="2:10" ht="22.5" hidden="1" customHeight="1">
      <c r="J70" s="341"/>
    </row>
    <row r="71" spans="2:10" ht="22.5" hidden="1" customHeight="1">
      <c r="J71" s="341"/>
    </row>
    <row r="72" spans="2:10" ht="22.5" hidden="1" customHeight="1">
      <c r="J72" s="341"/>
    </row>
    <row r="73" spans="2:10" ht="22.5" hidden="1" customHeight="1">
      <c r="J73" s="341"/>
    </row>
    <row r="74" spans="2:10" ht="22.5" hidden="1" customHeight="1">
      <c r="J74" s="341"/>
    </row>
    <row r="75" spans="2:10" ht="22.5" hidden="1" customHeight="1">
      <c r="J75" s="341"/>
    </row>
    <row r="76" spans="2:10" ht="22.5" hidden="1" customHeight="1">
      <c r="J76" s="341"/>
    </row>
    <row r="77" spans="2:10" ht="22.5" hidden="1" customHeight="1">
      <c r="J77" s="341"/>
    </row>
  </sheetData>
  <autoFilter ref="A3:M77">
    <filterColumn colId="1">
      <filters>
        <filter val="Phạm Thị Hoa"/>
      </filters>
    </filterColumn>
  </autoFilter>
  <mergeCells count="7">
    <mergeCell ref="A1:J1"/>
    <mergeCell ref="A2:J2"/>
    <mergeCell ref="A57:B57"/>
    <mergeCell ref="K53:L53"/>
    <mergeCell ref="B65:C65"/>
    <mergeCell ref="E65:F65"/>
    <mergeCell ref="H65:I65"/>
  </mergeCells>
  <printOptions horizontalCentered="1"/>
  <pageMargins left="0.2" right="0" top="0.5" bottom="0.25" header="0.3" footer="0.3"/>
  <pageSetup paperSize="9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69"/>
  <sheetViews>
    <sheetView zoomScale="90" zoomScaleNormal="90" workbookViewId="0">
      <pane ySplit="3" topLeftCell="A16" activePane="bottomLeft" state="frozen"/>
      <selection pane="bottomLeft" activeCell="I15" sqref="I15"/>
    </sheetView>
  </sheetViews>
  <sheetFormatPr defaultRowHeight="22.5" customHeight="1"/>
  <cols>
    <col min="1" max="1" width="5.85546875" style="285" customWidth="1"/>
    <col min="2" max="2" width="21.28515625" style="285" customWidth="1"/>
    <col min="3" max="3" width="11" style="334" customWidth="1"/>
    <col min="4" max="4" width="14.7109375" style="336" hidden="1" customWidth="1"/>
    <col min="5" max="5" width="9.85546875" style="285" customWidth="1"/>
    <col min="6" max="6" width="13" style="336" hidden="1" customWidth="1"/>
    <col min="7" max="7" width="15.28515625" style="336" customWidth="1"/>
    <col min="8" max="8" width="17.5703125" style="334" customWidth="1"/>
    <col min="9" max="9" width="21.42578125" style="283" customWidth="1"/>
    <col min="10" max="10" width="14.42578125" style="284" customWidth="1"/>
    <col min="11" max="11" width="20" style="284" bestFit="1" customWidth="1"/>
    <col min="12" max="13" width="15.28515625" style="285" customWidth="1"/>
    <col min="14" max="16384" width="9.140625" style="285"/>
  </cols>
  <sheetData>
    <row r="1" spans="1:13" ht="22.5" customHeight="1">
      <c r="A1" s="468" t="s">
        <v>329</v>
      </c>
      <c r="B1" s="468"/>
      <c r="C1" s="468"/>
      <c r="D1" s="468"/>
      <c r="E1" s="468"/>
      <c r="F1" s="468"/>
      <c r="G1" s="468"/>
      <c r="H1" s="468"/>
    </row>
    <row r="2" spans="1:13" ht="22.5" customHeight="1">
      <c r="A2" s="469"/>
      <c r="B2" s="469"/>
      <c r="C2" s="469"/>
      <c r="D2" s="469"/>
      <c r="E2" s="469"/>
      <c r="F2" s="469"/>
      <c r="G2" s="469"/>
      <c r="H2" s="469"/>
      <c r="I2" s="283" t="s">
        <v>326</v>
      </c>
    </row>
    <row r="3" spans="1:13" s="295" customFormat="1" ht="63" customHeight="1">
      <c r="A3" s="286" t="s">
        <v>20</v>
      </c>
      <c r="B3" s="286" t="s">
        <v>13</v>
      </c>
      <c r="C3" s="287" t="s">
        <v>90</v>
      </c>
      <c r="D3" s="288" t="s">
        <v>278</v>
      </c>
      <c r="E3" s="292" t="s">
        <v>308</v>
      </c>
      <c r="F3" s="290" t="s">
        <v>286</v>
      </c>
      <c r="G3" s="290" t="s">
        <v>325</v>
      </c>
      <c r="H3" s="292" t="s">
        <v>279</v>
      </c>
      <c r="I3" s="293" t="s">
        <v>47</v>
      </c>
      <c r="J3" s="294" t="s">
        <v>48</v>
      </c>
      <c r="K3" s="294" t="s">
        <v>49</v>
      </c>
    </row>
    <row r="4" spans="1:13" ht="24" customHeight="1">
      <c r="A4" s="296">
        <v>1</v>
      </c>
      <c r="B4" s="297" t="s">
        <v>322</v>
      </c>
      <c r="C4" s="348" t="s">
        <v>323</v>
      </c>
      <c r="D4" s="299">
        <v>1000000</v>
      </c>
      <c r="E4" s="300" t="s">
        <v>29</v>
      </c>
      <c r="F4" s="299"/>
      <c r="G4" s="299">
        <v>1000000</v>
      </c>
      <c r="H4" s="303" t="s">
        <v>240</v>
      </c>
      <c r="I4" s="317" t="s">
        <v>324</v>
      </c>
      <c r="J4" s="294" t="s">
        <v>64</v>
      </c>
      <c r="K4" s="294" t="str">
        <f>+B4</f>
        <v>Lê Anh Đức</v>
      </c>
      <c r="L4" s="285">
        <f>+VLOOKUP(B4,[2]Sheet2!$B$4:$F$64,5,0)</f>
        <v>1000000</v>
      </c>
      <c r="M4" s="362">
        <f>+L4-G4</f>
        <v>0</v>
      </c>
    </row>
    <row r="5" spans="1:13" ht="24" customHeight="1">
      <c r="A5" s="296">
        <v>2</v>
      </c>
      <c r="B5" s="297" t="s">
        <v>327</v>
      </c>
      <c r="C5" s="348" t="s">
        <v>323</v>
      </c>
      <c r="D5" s="299">
        <v>1000000</v>
      </c>
      <c r="E5" s="300" t="s">
        <v>328</v>
      </c>
      <c r="F5" s="299"/>
      <c r="G5" s="299">
        <v>1000000</v>
      </c>
      <c r="H5" s="303" t="s">
        <v>240</v>
      </c>
      <c r="I5" s="317" t="s">
        <v>46</v>
      </c>
      <c r="J5" s="294"/>
      <c r="K5" s="294" t="str">
        <f>+B5</f>
        <v>Lê Thanh Tùng</v>
      </c>
      <c r="L5" s="285">
        <f>+VLOOKUP(B5,[2]Sheet2!$B$4:$F$64,5,0)</f>
        <v>1000000</v>
      </c>
      <c r="M5" s="362">
        <f>+L5-G5</f>
        <v>0</v>
      </c>
    </row>
    <row r="6" spans="1:13" ht="17.25" customHeight="1">
      <c r="A6" s="296">
        <v>3</v>
      </c>
      <c r="B6" s="297" t="s">
        <v>11</v>
      </c>
      <c r="C6" s="348" t="s">
        <v>301</v>
      </c>
      <c r="D6" s="299">
        <v>1000000</v>
      </c>
      <c r="E6" s="300" t="s">
        <v>24</v>
      </c>
      <c r="F6" s="299"/>
      <c r="G6" s="299">
        <f>+D6</f>
        <v>1000000</v>
      </c>
      <c r="H6" s="303" t="s">
        <v>240</v>
      </c>
      <c r="I6" s="293" t="s">
        <v>50</v>
      </c>
      <c r="J6" s="294" t="s">
        <v>51</v>
      </c>
      <c r="K6" s="294" t="s">
        <v>52</v>
      </c>
      <c r="L6" s="285">
        <f>+VLOOKUP(B6,[2]Sheet2!$B$4:$F$64,5,0)</f>
        <v>1000000</v>
      </c>
      <c r="M6" s="362">
        <f>+L6-G6</f>
        <v>0</v>
      </c>
    </row>
    <row r="7" spans="1:13" ht="24" customHeight="1">
      <c r="A7" s="296">
        <v>4</v>
      </c>
      <c r="B7" s="297" t="s">
        <v>8</v>
      </c>
      <c r="C7" s="348" t="s">
        <v>301</v>
      </c>
      <c r="D7" s="299">
        <v>1000000</v>
      </c>
      <c r="E7" s="300" t="s">
        <v>24</v>
      </c>
      <c r="F7" s="299"/>
      <c r="G7" s="299">
        <f>+D7</f>
        <v>1000000</v>
      </c>
      <c r="H7" s="303" t="s">
        <v>240</v>
      </c>
      <c r="I7" s="293" t="s">
        <v>84</v>
      </c>
      <c r="J7" s="294" t="s">
        <v>56</v>
      </c>
      <c r="K7" s="294" t="s">
        <v>8</v>
      </c>
      <c r="L7" s="285">
        <f>+VLOOKUP(B7,[2]Sheet2!$B$4:$F$64,5,0)</f>
        <v>1000000</v>
      </c>
      <c r="M7" s="362">
        <f t="shared" ref="M7:M54" si="0">+L7-G7</f>
        <v>0</v>
      </c>
    </row>
    <row r="8" spans="1:13" ht="24" customHeight="1">
      <c r="A8" s="296">
        <v>5</v>
      </c>
      <c r="B8" s="297" t="s">
        <v>7</v>
      </c>
      <c r="C8" s="304" t="s">
        <v>102</v>
      </c>
      <c r="D8" s="299">
        <v>1000000</v>
      </c>
      <c r="E8" s="300" t="s">
        <v>29</v>
      </c>
      <c r="F8" s="299"/>
      <c r="G8" s="299">
        <v>1000000</v>
      </c>
      <c r="H8" s="303" t="s">
        <v>240</v>
      </c>
      <c r="I8" s="293" t="s">
        <v>89</v>
      </c>
      <c r="J8" s="294" t="s">
        <v>51</v>
      </c>
      <c r="K8" s="294" t="s">
        <v>7</v>
      </c>
      <c r="L8" s="285">
        <f>+VLOOKUP(B8,[2]Sheet2!$B$4:$F$64,5,0)</f>
        <v>1000000</v>
      </c>
      <c r="M8" s="362">
        <f t="shared" si="0"/>
        <v>0</v>
      </c>
    </row>
    <row r="9" spans="1:13" ht="24" customHeight="1">
      <c r="A9" s="296">
        <v>6</v>
      </c>
      <c r="B9" s="297" t="s">
        <v>10</v>
      </c>
      <c r="C9" s="304" t="s">
        <v>93</v>
      </c>
      <c r="D9" s="299">
        <v>1000000</v>
      </c>
      <c r="E9" s="300" t="s">
        <v>24</v>
      </c>
      <c r="F9" s="299"/>
      <c r="G9" s="299">
        <f>+D9</f>
        <v>1000000</v>
      </c>
      <c r="H9" s="303" t="s">
        <v>240</v>
      </c>
      <c r="I9" s="293" t="s">
        <v>188</v>
      </c>
      <c r="J9" s="294" t="s">
        <v>56</v>
      </c>
      <c r="K9" s="294" t="s">
        <v>10</v>
      </c>
      <c r="L9" s="285">
        <f>+VLOOKUP(B9,[2]Sheet2!$B$4:$F$64,5,0)</f>
        <v>1000000</v>
      </c>
      <c r="M9" s="362">
        <f t="shared" si="0"/>
        <v>0</v>
      </c>
    </row>
    <row r="10" spans="1:13" ht="24" customHeight="1">
      <c r="A10" s="296">
        <v>7</v>
      </c>
      <c r="B10" s="297" t="s">
        <v>27</v>
      </c>
      <c r="C10" s="304" t="s">
        <v>93</v>
      </c>
      <c r="D10" s="299">
        <v>1000000</v>
      </c>
      <c r="E10" s="300" t="s">
        <v>29</v>
      </c>
      <c r="F10" s="299"/>
      <c r="G10" s="299">
        <v>1000000</v>
      </c>
      <c r="H10" s="303" t="s">
        <v>319</v>
      </c>
      <c r="I10" s="317" t="s">
        <v>321</v>
      </c>
      <c r="J10" s="294" t="s">
        <v>51</v>
      </c>
      <c r="K10" s="294" t="str">
        <f>+B10</f>
        <v>Phạm Vũ Ngân Hà</v>
      </c>
      <c r="L10" s="285">
        <f>+VLOOKUP(B10,[2]Sheet2!$B$4:$F$64,5,0)</f>
        <v>1000000</v>
      </c>
      <c r="M10" s="362">
        <f t="shared" si="0"/>
        <v>0</v>
      </c>
    </row>
    <row r="11" spans="1:13" ht="24" customHeight="1">
      <c r="A11" s="296">
        <v>8</v>
      </c>
      <c r="B11" s="297" t="s">
        <v>33</v>
      </c>
      <c r="C11" s="304" t="s">
        <v>93</v>
      </c>
      <c r="D11" s="299">
        <v>500000</v>
      </c>
      <c r="E11" s="300" t="s">
        <v>24</v>
      </c>
      <c r="F11" s="299"/>
      <c r="G11" s="299">
        <f t="shared" ref="G11:G12" si="1">+D11</f>
        <v>500000</v>
      </c>
      <c r="H11" s="303" t="s">
        <v>240</v>
      </c>
      <c r="I11" s="293" t="s">
        <v>65</v>
      </c>
      <c r="J11" s="294" t="s">
        <v>64</v>
      </c>
      <c r="K11" s="294" t="s">
        <v>33</v>
      </c>
      <c r="L11" s="285">
        <f>+VLOOKUP(B11,[2]Sheet2!$B$4:$F$64,5,0)</f>
        <v>500000</v>
      </c>
      <c r="M11" s="362">
        <f t="shared" si="0"/>
        <v>0</v>
      </c>
    </row>
    <row r="12" spans="1:13" ht="24" customHeight="1">
      <c r="A12" s="296">
        <v>9</v>
      </c>
      <c r="B12" s="305" t="s">
        <v>134</v>
      </c>
      <c r="C12" s="306" t="s">
        <v>93</v>
      </c>
      <c r="D12" s="307">
        <v>500000</v>
      </c>
      <c r="E12" s="308" t="s">
        <v>24</v>
      </c>
      <c r="F12" s="307"/>
      <c r="G12" s="299">
        <f t="shared" si="1"/>
        <v>500000</v>
      </c>
      <c r="H12" s="303" t="s">
        <v>282</v>
      </c>
      <c r="I12" s="283" t="s">
        <v>46</v>
      </c>
      <c r="L12" s="285">
        <f>+VLOOKUP(B12,[2]Sheet2!$B$4:$F$64,5,0)</f>
        <v>500000</v>
      </c>
      <c r="M12" s="362">
        <f t="shared" si="0"/>
        <v>0</v>
      </c>
    </row>
    <row r="13" spans="1:13" ht="24" customHeight="1">
      <c r="A13" s="296">
        <v>10</v>
      </c>
      <c r="B13" s="297" t="s">
        <v>28</v>
      </c>
      <c r="C13" s="304" t="s">
        <v>93</v>
      </c>
      <c r="D13" s="299">
        <v>1000000</v>
      </c>
      <c r="E13" s="300" t="s">
        <v>30</v>
      </c>
      <c r="F13" s="299"/>
      <c r="G13" s="299">
        <f>+D13</f>
        <v>1000000</v>
      </c>
      <c r="H13" s="303" t="s">
        <v>240</v>
      </c>
      <c r="I13" s="293" t="s">
        <v>70</v>
      </c>
      <c r="J13" s="294" t="s">
        <v>51</v>
      </c>
      <c r="K13" s="294" t="s">
        <v>28</v>
      </c>
      <c r="L13" s="285">
        <f>+VLOOKUP(B13,[2]Sheet2!$B$4:$F$64,5,0)</f>
        <v>1000000</v>
      </c>
      <c r="M13" s="362">
        <f t="shared" si="0"/>
        <v>0</v>
      </c>
    </row>
    <row r="14" spans="1:13" ht="24" customHeight="1">
      <c r="A14" s="296">
        <v>11</v>
      </c>
      <c r="B14" s="297" t="s">
        <v>42</v>
      </c>
      <c r="C14" s="304" t="s">
        <v>93</v>
      </c>
      <c r="D14" s="299">
        <v>500000</v>
      </c>
      <c r="E14" s="300" t="s">
        <v>24</v>
      </c>
      <c r="F14" s="299"/>
      <c r="G14" s="299">
        <f t="shared" ref="G14:G16" si="2">+D14</f>
        <v>500000</v>
      </c>
      <c r="H14" s="303" t="s">
        <v>240</v>
      </c>
      <c r="I14" s="293" t="s">
        <v>123</v>
      </c>
      <c r="J14" s="294" t="s">
        <v>64</v>
      </c>
      <c r="K14" s="294" t="s">
        <v>42</v>
      </c>
      <c r="L14" s="285">
        <f>+VLOOKUP(B14,[2]Sheet2!$B$4:$F$64,5,0)</f>
        <v>500000</v>
      </c>
      <c r="M14" s="362">
        <f t="shared" si="0"/>
        <v>0</v>
      </c>
    </row>
    <row r="15" spans="1:13" ht="24" customHeight="1">
      <c r="A15" s="296">
        <v>12</v>
      </c>
      <c r="B15" s="297" t="s">
        <v>31</v>
      </c>
      <c r="C15" s="304" t="s">
        <v>94</v>
      </c>
      <c r="D15" s="299">
        <v>1000000</v>
      </c>
      <c r="E15" s="300" t="s">
        <v>24</v>
      </c>
      <c r="F15" s="299"/>
      <c r="G15" s="299">
        <f t="shared" si="2"/>
        <v>1000000</v>
      </c>
      <c r="H15" s="303" t="s">
        <v>240</v>
      </c>
      <c r="I15" s="293" t="s">
        <v>88</v>
      </c>
      <c r="J15" s="294" t="s">
        <v>60</v>
      </c>
      <c r="K15" s="294" t="s">
        <v>31</v>
      </c>
      <c r="L15" s="285">
        <f>+VLOOKUP(B15,[2]Sheet2!$B$4:$F$64,5,0)</f>
        <v>1000000</v>
      </c>
      <c r="M15" s="362">
        <f t="shared" si="0"/>
        <v>0</v>
      </c>
    </row>
    <row r="16" spans="1:13" ht="24" customHeight="1">
      <c r="A16" s="296">
        <v>13</v>
      </c>
      <c r="B16" s="297" t="s">
        <v>3</v>
      </c>
      <c r="C16" s="304" t="s">
        <v>94</v>
      </c>
      <c r="D16" s="299">
        <v>1000000</v>
      </c>
      <c r="E16" s="300" t="s">
        <v>24</v>
      </c>
      <c r="F16" s="299"/>
      <c r="G16" s="299">
        <f t="shared" si="2"/>
        <v>1000000</v>
      </c>
      <c r="H16" s="303" t="s">
        <v>293</v>
      </c>
      <c r="I16" s="293" t="s">
        <v>189</v>
      </c>
      <c r="J16" s="294" t="s">
        <v>63</v>
      </c>
      <c r="K16" s="294" t="s">
        <v>190</v>
      </c>
      <c r="L16" s="285">
        <f>+VLOOKUP(B16,[2]Sheet2!$B$4:$F$64,5,0)</f>
        <v>1000000</v>
      </c>
      <c r="M16" s="362">
        <f t="shared" si="0"/>
        <v>0</v>
      </c>
    </row>
    <row r="17" spans="1:13" ht="24" customHeight="1">
      <c r="A17" s="296">
        <v>14</v>
      </c>
      <c r="B17" s="297" t="s">
        <v>37</v>
      </c>
      <c r="C17" s="304" t="s">
        <v>94</v>
      </c>
      <c r="D17" s="299">
        <v>500000</v>
      </c>
      <c r="E17" s="300" t="s">
        <v>30</v>
      </c>
      <c r="F17" s="299"/>
      <c r="G17" s="299">
        <f t="shared" ref="G17:G25" si="3">+D17</f>
        <v>500000</v>
      </c>
      <c r="H17" s="303" t="s">
        <v>240</v>
      </c>
      <c r="I17" s="293" t="s">
        <v>62</v>
      </c>
      <c r="J17" s="294" t="s">
        <v>51</v>
      </c>
      <c r="K17" s="294" t="s">
        <v>37</v>
      </c>
      <c r="L17" s="285">
        <f>+VLOOKUP(B17,[2]Sheet2!$B$4:$F$64,5,0)</f>
        <v>500000</v>
      </c>
      <c r="M17" s="362">
        <f t="shared" si="0"/>
        <v>0</v>
      </c>
    </row>
    <row r="18" spans="1:13" ht="24" customHeight="1">
      <c r="A18" s="296">
        <v>15</v>
      </c>
      <c r="B18" s="297" t="s">
        <v>38</v>
      </c>
      <c r="C18" s="304" t="s">
        <v>94</v>
      </c>
      <c r="D18" s="299">
        <v>500000</v>
      </c>
      <c r="E18" s="300" t="s">
        <v>30</v>
      </c>
      <c r="F18" s="299"/>
      <c r="G18" s="299">
        <f t="shared" si="3"/>
        <v>500000</v>
      </c>
      <c r="H18" s="303" t="s">
        <v>240</v>
      </c>
      <c r="I18" s="293" t="s">
        <v>61</v>
      </c>
      <c r="J18" s="294" t="s">
        <v>54</v>
      </c>
      <c r="K18" s="294" t="s">
        <v>38</v>
      </c>
      <c r="L18" s="285">
        <f>+VLOOKUP(B18,[2]Sheet2!$B$4:$F$64,5,0)</f>
        <v>500000</v>
      </c>
      <c r="M18" s="362">
        <f t="shared" si="0"/>
        <v>0</v>
      </c>
    </row>
    <row r="19" spans="1:13" ht="24" customHeight="1">
      <c r="A19" s="296">
        <v>16</v>
      </c>
      <c r="B19" s="297" t="s">
        <v>40</v>
      </c>
      <c r="C19" s="304" t="s">
        <v>94</v>
      </c>
      <c r="D19" s="299">
        <v>500000</v>
      </c>
      <c r="E19" s="300" t="s">
        <v>30</v>
      </c>
      <c r="F19" s="299"/>
      <c r="G19" s="299">
        <f t="shared" si="3"/>
        <v>500000</v>
      </c>
      <c r="H19" s="303" t="s">
        <v>240</v>
      </c>
      <c r="I19" s="293" t="s">
        <v>145</v>
      </c>
      <c r="J19" s="294" t="s">
        <v>57</v>
      </c>
      <c r="K19" s="294" t="s">
        <v>40</v>
      </c>
      <c r="L19" s="285">
        <f>+VLOOKUP(B19,[2]Sheet2!$B$4:$F$64,5,0)</f>
        <v>500000</v>
      </c>
      <c r="M19" s="362">
        <f t="shared" si="0"/>
        <v>0</v>
      </c>
    </row>
    <row r="20" spans="1:13" ht="25.5" customHeight="1">
      <c r="A20" s="296">
        <v>17</v>
      </c>
      <c r="B20" s="297" t="s">
        <v>41</v>
      </c>
      <c r="C20" s="304" t="s">
        <v>94</v>
      </c>
      <c r="D20" s="299">
        <v>200000</v>
      </c>
      <c r="E20" s="300" t="s">
        <v>30</v>
      </c>
      <c r="F20" s="299"/>
      <c r="G20" s="299">
        <f>+D20</f>
        <v>200000</v>
      </c>
      <c r="H20" s="303" t="s">
        <v>240</v>
      </c>
      <c r="I20" s="293" t="s">
        <v>58</v>
      </c>
      <c r="J20" s="294" t="s">
        <v>56</v>
      </c>
      <c r="K20" s="294" t="s">
        <v>41</v>
      </c>
      <c r="L20" s="285">
        <f>+VLOOKUP(B20,[2]Sheet2!$B$4:$F$64,5,0)</f>
        <v>200000</v>
      </c>
      <c r="M20" s="362">
        <f t="shared" si="0"/>
        <v>0</v>
      </c>
    </row>
    <row r="21" spans="1:13" ht="22.5" customHeight="1">
      <c r="A21" s="296">
        <v>18</v>
      </c>
      <c r="B21" s="297" t="s">
        <v>127</v>
      </c>
      <c r="C21" s="304" t="s">
        <v>94</v>
      </c>
      <c r="D21" s="299">
        <v>500000</v>
      </c>
      <c r="E21" s="300" t="s">
        <v>24</v>
      </c>
      <c r="F21" s="299"/>
      <c r="G21" s="299">
        <f t="shared" si="3"/>
        <v>500000</v>
      </c>
      <c r="H21" s="303" t="s">
        <v>240</v>
      </c>
      <c r="I21" s="293" t="s">
        <v>131</v>
      </c>
      <c r="J21" s="294" t="s">
        <v>56</v>
      </c>
      <c r="K21" s="294" t="s">
        <v>127</v>
      </c>
      <c r="L21" s="285">
        <f>+VLOOKUP(B21,[2]Sheet2!$B$4:$F$64,5,0)</f>
        <v>500000</v>
      </c>
      <c r="M21" s="362">
        <f t="shared" si="0"/>
        <v>0</v>
      </c>
    </row>
    <row r="22" spans="1:13" ht="22.5" customHeight="1">
      <c r="A22" s="296">
        <v>19</v>
      </c>
      <c r="B22" s="297" t="s">
        <v>9</v>
      </c>
      <c r="C22" s="304" t="s">
        <v>95</v>
      </c>
      <c r="D22" s="299">
        <v>1000000</v>
      </c>
      <c r="E22" s="300" t="s">
        <v>30</v>
      </c>
      <c r="F22" s="299"/>
      <c r="G22" s="299">
        <f t="shared" si="3"/>
        <v>1000000</v>
      </c>
      <c r="H22" s="303" t="s">
        <v>240</v>
      </c>
      <c r="I22" s="293" t="s">
        <v>53</v>
      </c>
      <c r="J22" s="294" t="s">
        <v>51</v>
      </c>
      <c r="K22" s="294" t="s">
        <v>9</v>
      </c>
      <c r="L22" s="285">
        <f>+VLOOKUP(B22,[2]Sheet2!$B$4:$F$64,5,0)</f>
        <v>1000000</v>
      </c>
      <c r="M22" s="362">
        <f t="shared" si="0"/>
        <v>0</v>
      </c>
    </row>
    <row r="23" spans="1:13" ht="22.5" customHeight="1">
      <c r="A23" s="296">
        <v>20</v>
      </c>
      <c r="B23" s="297" t="s">
        <v>112</v>
      </c>
      <c r="C23" s="304" t="s">
        <v>95</v>
      </c>
      <c r="D23" s="299">
        <v>1000000</v>
      </c>
      <c r="E23" s="300" t="s">
        <v>30</v>
      </c>
      <c r="F23" s="299"/>
      <c r="G23" s="299">
        <f t="shared" si="3"/>
        <v>1000000</v>
      </c>
      <c r="H23" s="303" t="s">
        <v>240</v>
      </c>
      <c r="I23" s="293" t="s">
        <v>77</v>
      </c>
      <c r="J23" s="294" t="s">
        <v>56</v>
      </c>
      <c r="K23" s="294" t="s">
        <v>16</v>
      </c>
      <c r="L23" s="285">
        <f>+VLOOKUP(B23,[2]Sheet2!$B$4:$F$64,5,0)</f>
        <v>1000000</v>
      </c>
      <c r="M23" s="362">
        <f t="shared" si="0"/>
        <v>0</v>
      </c>
    </row>
    <row r="24" spans="1:13" ht="22.5" customHeight="1">
      <c r="A24" s="296">
        <v>21</v>
      </c>
      <c r="B24" s="297" t="s">
        <v>26</v>
      </c>
      <c r="C24" s="304" t="s">
        <v>95</v>
      </c>
      <c r="D24" s="299">
        <v>1000000</v>
      </c>
      <c r="E24" s="300" t="s">
        <v>30</v>
      </c>
      <c r="F24" s="299"/>
      <c r="G24" s="299">
        <f t="shared" si="3"/>
        <v>1000000</v>
      </c>
      <c r="H24" s="303" t="s">
        <v>240</v>
      </c>
      <c r="I24" s="293" t="s">
        <v>72</v>
      </c>
      <c r="J24" s="294" t="s">
        <v>54</v>
      </c>
      <c r="K24" s="294" t="s">
        <v>26</v>
      </c>
      <c r="L24" s="285">
        <f>+VLOOKUP(B24,[2]Sheet2!$B$4:$F$64,5,0)</f>
        <v>1000000</v>
      </c>
      <c r="M24" s="362">
        <f t="shared" si="0"/>
        <v>0</v>
      </c>
    </row>
    <row r="25" spans="1:13" ht="22.5" customHeight="1">
      <c r="A25" s="296">
        <v>22</v>
      </c>
      <c r="B25" s="297" t="s">
        <v>32</v>
      </c>
      <c r="C25" s="304" t="s">
        <v>95</v>
      </c>
      <c r="D25" s="299">
        <v>1000000</v>
      </c>
      <c r="E25" s="300" t="s">
        <v>30</v>
      </c>
      <c r="F25" s="299"/>
      <c r="G25" s="299">
        <f t="shared" si="3"/>
        <v>1000000</v>
      </c>
      <c r="H25" s="303" t="s">
        <v>240</v>
      </c>
      <c r="I25" s="293" t="s">
        <v>68</v>
      </c>
      <c r="J25" s="294" t="s">
        <v>56</v>
      </c>
      <c r="K25" s="294" t="s">
        <v>32</v>
      </c>
      <c r="L25" s="285">
        <f>+VLOOKUP(B25,[2]Sheet2!$B$4:$F$64,5,0)</f>
        <v>1000000</v>
      </c>
      <c r="M25" s="362">
        <f t="shared" si="0"/>
        <v>0</v>
      </c>
    </row>
    <row r="26" spans="1:13" ht="22.5" customHeight="1">
      <c r="A26" s="296">
        <v>23</v>
      </c>
      <c r="B26" s="297" t="s">
        <v>39</v>
      </c>
      <c r="C26" s="304" t="s">
        <v>95</v>
      </c>
      <c r="D26" s="299">
        <v>500000</v>
      </c>
      <c r="E26" s="300" t="s">
        <v>24</v>
      </c>
      <c r="F26" s="299"/>
      <c r="G26" s="299">
        <f>+D26</f>
        <v>500000</v>
      </c>
      <c r="H26" s="303" t="s">
        <v>240</v>
      </c>
      <c r="I26" s="293" t="s">
        <v>59</v>
      </c>
      <c r="J26" s="294" t="s">
        <v>60</v>
      </c>
      <c r="K26" s="294" t="s">
        <v>39</v>
      </c>
      <c r="L26" s="285">
        <f>+VLOOKUP(B26,[2]Sheet2!$B$4:$F$64,5,0)</f>
        <v>500000</v>
      </c>
      <c r="M26" s="362">
        <f t="shared" si="0"/>
        <v>0</v>
      </c>
    </row>
    <row r="27" spans="1:13" ht="22.5" customHeight="1">
      <c r="A27" s="296">
        <v>24</v>
      </c>
      <c r="B27" s="297" t="s">
        <v>44</v>
      </c>
      <c r="C27" s="304" t="s">
        <v>95</v>
      </c>
      <c r="D27" s="299">
        <v>500000</v>
      </c>
      <c r="E27" s="300" t="s">
        <v>30</v>
      </c>
      <c r="F27" s="299"/>
      <c r="G27" s="299">
        <f>+D27</f>
        <v>500000</v>
      </c>
      <c r="H27" s="303" t="s">
        <v>240</v>
      </c>
      <c r="I27" s="293" t="s">
        <v>55</v>
      </c>
      <c r="J27" s="294" t="s">
        <v>56</v>
      </c>
      <c r="K27" s="294" t="s">
        <v>44</v>
      </c>
      <c r="L27" s="285">
        <f>+VLOOKUP(B27,[2]Sheet2!$B$4:$F$64,5,0)</f>
        <v>500000</v>
      </c>
      <c r="M27" s="362">
        <f t="shared" si="0"/>
        <v>0</v>
      </c>
    </row>
    <row r="28" spans="1:13" ht="27" customHeight="1">
      <c r="A28" s="296">
        <v>25</v>
      </c>
      <c r="B28" s="297" t="s">
        <v>128</v>
      </c>
      <c r="C28" s="297" t="s">
        <v>95</v>
      </c>
      <c r="D28" s="299">
        <v>500000</v>
      </c>
      <c r="E28" s="300" t="s">
        <v>24</v>
      </c>
      <c r="F28" s="299"/>
      <c r="G28" s="299">
        <f>+D28</f>
        <v>500000</v>
      </c>
      <c r="H28" s="303" t="s">
        <v>240</v>
      </c>
      <c r="I28" s="293" t="s">
        <v>139</v>
      </c>
      <c r="J28" s="294" t="s">
        <v>138</v>
      </c>
      <c r="K28" s="294" t="s">
        <v>140</v>
      </c>
      <c r="L28" s="285">
        <f>+VLOOKUP(B28,[2]Sheet2!$B$4:$F$64,5,0)</f>
        <v>500000</v>
      </c>
      <c r="M28" s="362">
        <f t="shared" si="0"/>
        <v>0</v>
      </c>
    </row>
    <row r="29" spans="1:13" ht="49.5" customHeight="1">
      <c r="A29" s="296">
        <v>26</v>
      </c>
      <c r="B29" s="297" t="s">
        <v>121</v>
      </c>
      <c r="C29" s="304" t="s">
        <v>96</v>
      </c>
      <c r="D29" s="299">
        <v>1000000</v>
      </c>
      <c r="E29" s="300" t="s">
        <v>30</v>
      </c>
      <c r="F29" s="299"/>
      <c r="G29" s="299">
        <f t="shared" ref="G29:G36" si="4">+D29</f>
        <v>1000000</v>
      </c>
      <c r="H29" s="303" t="s">
        <v>240</v>
      </c>
      <c r="I29" s="293" t="s">
        <v>86</v>
      </c>
      <c r="J29" s="294" t="s">
        <v>60</v>
      </c>
      <c r="K29" s="294" t="s">
        <v>85</v>
      </c>
      <c r="L29" s="285">
        <f>+VLOOKUP(B29,[2]Sheet2!$B$4:$F$64,5,0)</f>
        <v>1000000</v>
      </c>
      <c r="M29" s="362">
        <f t="shared" si="0"/>
        <v>0</v>
      </c>
    </row>
    <row r="30" spans="1:13" ht="22.5" customHeight="1">
      <c r="A30" s="296">
        <v>27</v>
      </c>
      <c r="B30" s="297" t="s">
        <v>120</v>
      </c>
      <c r="C30" s="304" t="s">
        <v>96</v>
      </c>
      <c r="D30" s="299">
        <v>1000000</v>
      </c>
      <c r="E30" s="300" t="s">
        <v>30</v>
      </c>
      <c r="F30" s="299"/>
      <c r="G30" s="299">
        <f t="shared" si="4"/>
        <v>1000000</v>
      </c>
      <c r="H30" s="303" t="s">
        <v>240</v>
      </c>
      <c r="I30" s="293" t="s">
        <v>81</v>
      </c>
      <c r="J30" s="294" t="s">
        <v>60</v>
      </c>
      <c r="K30" s="294" t="s">
        <v>5</v>
      </c>
      <c r="L30" s="285">
        <f>+VLOOKUP(B30,[2]Sheet2!$B$4:$F$64,5,0)</f>
        <v>1000000</v>
      </c>
      <c r="M30" s="362">
        <f t="shared" si="0"/>
        <v>0</v>
      </c>
    </row>
    <row r="31" spans="1:13" ht="22.5" customHeight="1">
      <c r="A31" s="296">
        <v>28</v>
      </c>
      <c r="B31" s="297" t="s">
        <v>43</v>
      </c>
      <c r="C31" s="304" t="s">
        <v>96</v>
      </c>
      <c r="D31" s="299">
        <v>500000</v>
      </c>
      <c r="E31" s="300" t="s">
        <v>30</v>
      </c>
      <c r="F31" s="299"/>
      <c r="G31" s="299">
        <f t="shared" si="4"/>
        <v>500000</v>
      </c>
      <c r="H31" s="303" t="s">
        <v>240</v>
      </c>
      <c r="I31" s="293" t="s">
        <v>162</v>
      </c>
      <c r="J31" s="294" t="s">
        <v>63</v>
      </c>
      <c r="K31" s="294" t="s">
        <v>43</v>
      </c>
      <c r="L31" s="285">
        <f>+VLOOKUP(B31,[2]Sheet2!$B$4:$F$64,5,0)</f>
        <v>500000</v>
      </c>
      <c r="M31" s="362">
        <f t="shared" si="0"/>
        <v>0</v>
      </c>
    </row>
    <row r="32" spans="1:13" ht="27" customHeight="1">
      <c r="A32" s="296">
        <v>29</v>
      </c>
      <c r="B32" s="297" t="s">
        <v>129</v>
      </c>
      <c r="C32" s="297" t="s">
        <v>96</v>
      </c>
      <c r="D32" s="299">
        <v>500000</v>
      </c>
      <c r="E32" s="300" t="s">
        <v>30</v>
      </c>
      <c r="F32" s="299"/>
      <c r="G32" s="299">
        <f t="shared" si="4"/>
        <v>500000</v>
      </c>
      <c r="H32" s="303" t="s">
        <v>240</v>
      </c>
      <c r="I32" s="293" t="s">
        <v>165</v>
      </c>
      <c r="J32" s="294" t="s">
        <v>56</v>
      </c>
      <c r="K32" s="294" t="s">
        <v>129</v>
      </c>
      <c r="L32" s="285">
        <f>+VLOOKUP(B32,[2]Sheet2!$B$4:$F$64,5,0)</f>
        <v>500000</v>
      </c>
      <c r="M32" s="362">
        <f t="shared" si="0"/>
        <v>0</v>
      </c>
    </row>
    <row r="33" spans="1:13" ht="27" customHeight="1">
      <c r="A33" s="296">
        <v>30</v>
      </c>
      <c r="B33" s="297" t="s">
        <v>148</v>
      </c>
      <c r="C33" s="297" t="s">
        <v>96</v>
      </c>
      <c r="D33" s="299">
        <v>200000</v>
      </c>
      <c r="E33" s="300" t="s">
        <v>24</v>
      </c>
      <c r="F33" s="299"/>
      <c r="G33" s="299">
        <f>+D33</f>
        <v>200000</v>
      </c>
      <c r="H33" s="303" t="s">
        <v>240</v>
      </c>
      <c r="I33" s="293" t="s">
        <v>158</v>
      </c>
      <c r="J33" s="294" t="s">
        <v>57</v>
      </c>
      <c r="K33" s="294" t="s">
        <v>148</v>
      </c>
      <c r="L33" s="285">
        <f>+VLOOKUP(B33,[2]Sheet2!$B$4:$F$64,5,0)</f>
        <v>200000</v>
      </c>
      <c r="M33" s="362">
        <f t="shared" si="0"/>
        <v>0</v>
      </c>
    </row>
    <row r="34" spans="1:13" s="316" customFormat="1" ht="41.25" customHeight="1">
      <c r="A34" s="296">
        <v>31</v>
      </c>
      <c r="B34" s="310" t="s">
        <v>150</v>
      </c>
      <c r="C34" s="310" t="s">
        <v>98</v>
      </c>
      <c r="D34" s="311">
        <v>200000</v>
      </c>
      <c r="E34" s="300" t="s">
        <v>24</v>
      </c>
      <c r="F34" s="311"/>
      <c r="G34" s="299">
        <f t="shared" si="4"/>
        <v>200000</v>
      </c>
      <c r="H34" s="313" t="s">
        <v>240</v>
      </c>
      <c r="I34" s="314" t="s">
        <v>159</v>
      </c>
      <c r="J34" s="315" t="s">
        <v>160</v>
      </c>
      <c r="K34" s="315" t="s">
        <v>150</v>
      </c>
      <c r="L34" s="285">
        <f>+VLOOKUP(B34,[2]Sheet2!$B$4:$F$64,5,0)</f>
        <v>200000</v>
      </c>
      <c r="M34" s="362">
        <f t="shared" si="0"/>
        <v>0</v>
      </c>
    </row>
    <row r="35" spans="1:13" ht="41.25" customHeight="1">
      <c r="A35" s="296">
        <v>32</v>
      </c>
      <c r="B35" s="297" t="s">
        <v>166</v>
      </c>
      <c r="C35" s="297" t="s">
        <v>98</v>
      </c>
      <c r="D35" s="299">
        <v>200000</v>
      </c>
      <c r="E35" s="300" t="s">
        <v>30</v>
      </c>
      <c r="F35" s="299"/>
      <c r="G35" s="299">
        <f t="shared" si="4"/>
        <v>200000</v>
      </c>
      <c r="H35" s="313" t="s">
        <v>240</v>
      </c>
      <c r="I35" s="293" t="s">
        <v>172</v>
      </c>
      <c r="J35" s="294" t="s">
        <v>63</v>
      </c>
      <c r="K35" s="294" t="s">
        <v>166</v>
      </c>
      <c r="L35" s="285">
        <f>+VLOOKUP(B35,[2]Sheet2!$B$4:$F$64,5,0)</f>
        <v>200000</v>
      </c>
      <c r="M35" s="362">
        <f t="shared" si="0"/>
        <v>0</v>
      </c>
    </row>
    <row r="36" spans="1:13" ht="22.5" customHeight="1">
      <c r="A36" s="296">
        <v>33</v>
      </c>
      <c r="B36" s="297" t="s">
        <v>25</v>
      </c>
      <c r="C36" s="304" t="s">
        <v>99</v>
      </c>
      <c r="D36" s="299">
        <v>1000000</v>
      </c>
      <c r="E36" s="300" t="s">
        <v>30</v>
      </c>
      <c r="F36" s="299"/>
      <c r="G36" s="299">
        <f t="shared" si="4"/>
        <v>1000000</v>
      </c>
      <c r="H36" s="313" t="s">
        <v>240</v>
      </c>
      <c r="I36" s="293" t="s">
        <v>79</v>
      </c>
      <c r="J36" s="294" t="s">
        <v>63</v>
      </c>
      <c r="K36" s="294" t="s">
        <v>78</v>
      </c>
      <c r="L36" s="285">
        <f>+VLOOKUP(B36,[2]Sheet2!$B$4:$F$64,5,0)</f>
        <v>1000000</v>
      </c>
      <c r="M36" s="362">
        <f t="shared" si="0"/>
        <v>0</v>
      </c>
    </row>
    <row r="37" spans="1:13" ht="22.5" customHeight="1">
      <c r="A37" s="296">
        <v>34</v>
      </c>
      <c r="B37" s="297" t="s">
        <v>6</v>
      </c>
      <c r="C37" s="304" t="s">
        <v>100</v>
      </c>
      <c r="D37" s="299">
        <v>1000000</v>
      </c>
      <c r="E37" s="300" t="s">
        <v>24</v>
      </c>
      <c r="F37" s="299"/>
      <c r="G37" s="299">
        <f>+D37</f>
        <v>1000000</v>
      </c>
      <c r="H37" s="313" t="s">
        <v>240</v>
      </c>
      <c r="I37" s="293" t="s">
        <v>82</v>
      </c>
      <c r="J37" s="294" t="s">
        <v>51</v>
      </c>
      <c r="K37" s="294" t="s">
        <v>6</v>
      </c>
      <c r="L37" s="285">
        <f>+VLOOKUP(B37,[2]Sheet2!$B$4:$F$64,5,0)</f>
        <v>1000000</v>
      </c>
      <c r="M37" s="362">
        <f t="shared" si="0"/>
        <v>0</v>
      </c>
    </row>
    <row r="38" spans="1:13" ht="21.75" customHeight="1">
      <c r="A38" s="296">
        <v>35</v>
      </c>
      <c r="B38" s="297" t="s">
        <v>45</v>
      </c>
      <c r="C38" s="304" t="s">
        <v>97</v>
      </c>
      <c r="D38" s="299">
        <v>1000000</v>
      </c>
      <c r="E38" s="300" t="s">
        <v>29</v>
      </c>
      <c r="F38" s="299"/>
      <c r="G38" s="299">
        <v>1000000</v>
      </c>
      <c r="H38" s="313" t="s">
        <v>293</v>
      </c>
      <c r="I38" s="317" t="s">
        <v>320</v>
      </c>
      <c r="J38" s="294" t="s">
        <v>64</v>
      </c>
      <c r="K38" s="294" t="s">
        <v>45</v>
      </c>
      <c r="L38" s="285">
        <f>+VLOOKUP(B38,[2]Sheet2!$B$4:$F$64,5,0)</f>
        <v>1000000</v>
      </c>
      <c r="M38" s="362">
        <f t="shared" si="0"/>
        <v>0</v>
      </c>
    </row>
    <row r="39" spans="1:13" ht="22.5" customHeight="1">
      <c r="A39" s="296">
        <v>36</v>
      </c>
      <c r="B39" s="297" t="s">
        <v>35</v>
      </c>
      <c r="C39" s="304" t="s">
        <v>97</v>
      </c>
      <c r="D39" s="299">
        <v>500000</v>
      </c>
      <c r="E39" s="300" t="s">
        <v>29</v>
      </c>
      <c r="F39" s="299"/>
      <c r="G39" s="299">
        <f>+D39</f>
        <v>500000</v>
      </c>
      <c r="H39" s="313" t="s">
        <v>240</v>
      </c>
      <c r="I39" s="293" t="s">
        <v>251</v>
      </c>
      <c r="J39" s="294"/>
      <c r="K39" s="294" t="s">
        <v>35</v>
      </c>
      <c r="L39" s="285">
        <f>+VLOOKUP(B39,[2]Sheet2!$B$4:$F$64,5,0)</f>
        <v>500000</v>
      </c>
      <c r="M39" s="362">
        <f t="shared" si="0"/>
        <v>0</v>
      </c>
    </row>
    <row r="40" spans="1:13" ht="22.5" customHeight="1">
      <c r="A40" s="296">
        <v>37</v>
      </c>
      <c r="B40" s="297" t="s">
        <v>275</v>
      </c>
      <c r="C40" s="304" t="s">
        <v>276</v>
      </c>
      <c r="D40" s="299">
        <v>200000</v>
      </c>
      <c r="E40" s="300" t="s">
        <v>24</v>
      </c>
      <c r="F40" s="299"/>
      <c r="G40" s="299">
        <f>+D40</f>
        <v>200000</v>
      </c>
      <c r="H40" s="297" t="s">
        <v>277</v>
      </c>
      <c r="I40" s="317" t="s">
        <v>289</v>
      </c>
      <c r="J40" s="294" t="s">
        <v>288</v>
      </c>
      <c r="K40" s="294" t="s">
        <v>275</v>
      </c>
      <c r="L40" s="285">
        <f>+VLOOKUP(B40,[2]Sheet2!$B$4:$F$64,5,0)</f>
        <v>200000</v>
      </c>
      <c r="M40" s="362">
        <f t="shared" si="0"/>
        <v>0</v>
      </c>
    </row>
    <row r="41" spans="1:13" ht="22.5" customHeight="1">
      <c r="A41" s="296">
        <v>38</v>
      </c>
      <c r="B41" s="297" t="s">
        <v>17</v>
      </c>
      <c r="C41" s="304" t="s">
        <v>101</v>
      </c>
      <c r="D41" s="299">
        <v>1000000</v>
      </c>
      <c r="E41" s="300" t="s">
        <v>29</v>
      </c>
      <c r="F41" s="299"/>
      <c r="G41" s="299">
        <f>+D41</f>
        <v>1000000</v>
      </c>
      <c r="H41" s="313" t="s">
        <v>240</v>
      </c>
      <c r="I41" s="293" t="s">
        <v>83</v>
      </c>
      <c r="J41" s="294" t="s">
        <v>64</v>
      </c>
      <c r="K41" s="294" t="s">
        <v>17</v>
      </c>
      <c r="L41" s="285">
        <f>+VLOOKUP(B41,[2]Sheet2!$B$4:$F$64,5,0)</f>
        <v>1000000</v>
      </c>
      <c r="M41" s="362">
        <f t="shared" si="0"/>
        <v>0</v>
      </c>
    </row>
    <row r="42" spans="1:13" ht="36.75" customHeight="1">
      <c r="A42" s="296">
        <v>39</v>
      </c>
      <c r="B42" s="297" t="s">
        <v>179</v>
      </c>
      <c r="C42" s="348" t="s">
        <v>136</v>
      </c>
      <c r="D42" s="299">
        <v>200000</v>
      </c>
      <c r="E42" s="300" t="s">
        <v>24</v>
      </c>
      <c r="F42" s="299"/>
      <c r="G42" s="299">
        <f t="shared" ref="G42:G47" si="5">+D42</f>
        <v>200000</v>
      </c>
      <c r="H42" s="313" t="s">
        <v>240</v>
      </c>
      <c r="I42" s="293" t="s">
        <v>216</v>
      </c>
      <c r="J42" s="294" t="s">
        <v>51</v>
      </c>
      <c r="K42" s="294" t="s">
        <v>179</v>
      </c>
      <c r="L42" s="285">
        <f>+VLOOKUP(B42,[2]Sheet2!$B$4:$F$64,5,0)</f>
        <v>200000</v>
      </c>
      <c r="M42" s="362">
        <f t="shared" si="0"/>
        <v>0</v>
      </c>
    </row>
    <row r="43" spans="1:13" ht="36.75" customHeight="1">
      <c r="A43" s="296">
        <v>40</v>
      </c>
      <c r="B43" s="297" t="s">
        <v>192</v>
      </c>
      <c r="C43" s="348" t="s">
        <v>136</v>
      </c>
      <c r="D43" s="299">
        <v>200000</v>
      </c>
      <c r="E43" s="300" t="s">
        <v>24</v>
      </c>
      <c r="F43" s="299"/>
      <c r="G43" s="299">
        <f t="shared" si="5"/>
        <v>200000</v>
      </c>
      <c r="H43" s="313" t="s">
        <v>240</v>
      </c>
      <c r="I43" s="293" t="s">
        <v>220</v>
      </c>
      <c r="J43" s="294" t="s">
        <v>54</v>
      </c>
      <c r="K43" s="294" t="s">
        <v>221</v>
      </c>
      <c r="L43" s="285">
        <f>+VLOOKUP(B43,[2]Sheet2!$B$4:$F$64,5,0)</f>
        <v>200000</v>
      </c>
      <c r="M43" s="362">
        <f t="shared" si="0"/>
        <v>0</v>
      </c>
    </row>
    <row r="44" spans="1:13" ht="36.75" customHeight="1">
      <c r="A44" s="296">
        <v>41</v>
      </c>
      <c r="B44" s="297" t="s">
        <v>193</v>
      </c>
      <c r="C44" s="348" t="s">
        <v>302</v>
      </c>
      <c r="D44" s="299">
        <v>200000</v>
      </c>
      <c r="E44" s="300" t="s">
        <v>24</v>
      </c>
      <c r="F44" s="299"/>
      <c r="G44" s="299">
        <f t="shared" si="5"/>
        <v>200000</v>
      </c>
      <c r="H44" s="313" t="s">
        <v>240</v>
      </c>
      <c r="I44" s="293" t="s">
        <v>213</v>
      </c>
      <c r="J44" s="294" t="s">
        <v>54</v>
      </c>
      <c r="K44" s="294" t="s">
        <v>193</v>
      </c>
      <c r="L44" s="285">
        <f>+VLOOKUP(B44,[2]Sheet2!$B$4:$F$64,5,0)</f>
        <v>200000</v>
      </c>
      <c r="M44" s="362">
        <f t="shared" si="0"/>
        <v>0</v>
      </c>
    </row>
    <row r="45" spans="1:13" ht="36.75" customHeight="1">
      <c r="A45" s="296">
        <v>42</v>
      </c>
      <c r="B45" s="297" t="s">
        <v>194</v>
      </c>
      <c r="C45" s="348" t="s">
        <v>303</v>
      </c>
      <c r="D45" s="299">
        <v>200000</v>
      </c>
      <c r="E45" s="300" t="s">
        <v>24</v>
      </c>
      <c r="F45" s="299"/>
      <c r="G45" s="299">
        <f t="shared" si="5"/>
        <v>200000</v>
      </c>
      <c r="H45" s="313" t="s">
        <v>240</v>
      </c>
      <c r="I45" s="293" t="s">
        <v>232</v>
      </c>
      <c r="J45" s="294" t="s">
        <v>51</v>
      </c>
      <c r="K45" s="294" t="s">
        <v>194</v>
      </c>
      <c r="L45" s="285">
        <f>+VLOOKUP(B45,[2]Sheet2!$B$4:$F$64,5,0)</f>
        <v>200000</v>
      </c>
      <c r="M45" s="362">
        <f t="shared" si="0"/>
        <v>0</v>
      </c>
    </row>
    <row r="46" spans="1:13" ht="36.75" customHeight="1">
      <c r="A46" s="296">
        <v>43</v>
      </c>
      <c r="B46" s="297" t="s">
        <v>298</v>
      </c>
      <c r="C46" s="348" t="s">
        <v>302</v>
      </c>
      <c r="D46" s="299">
        <v>200000</v>
      </c>
      <c r="E46" s="300" t="s">
        <v>24</v>
      </c>
      <c r="F46" s="299"/>
      <c r="G46" s="299">
        <f t="shared" si="5"/>
        <v>200000</v>
      </c>
      <c r="H46" s="313" t="s">
        <v>240</v>
      </c>
      <c r="I46" s="293" t="s">
        <v>214</v>
      </c>
      <c r="J46" s="294" t="s">
        <v>138</v>
      </c>
      <c r="K46" s="294" t="s">
        <v>215</v>
      </c>
      <c r="L46" s="285">
        <f>+VLOOKUP(B46,[2]Sheet2!$B$4:$F$64,5,0)</f>
        <v>200000</v>
      </c>
      <c r="M46" s="362">
        <f t="shared" si="0"/>
        <v>0</v>
      </c>
    </row>
    <row r="47" spans="1:13" ht="36.75" customHeight="1">
      <c r="A47" s="296">
        <v>44</v>
      </c>
      <c r="B47" s="297" t="s">
        <v>225</v>
      </c>
      <c r="C47" s="348" t="s">
        <v>302</v>
      </c>
      <c r="D47" s="299">
        <v>200000</v>
      </c>
      <c r="E47" s="300" t="s">
        <v>24</v>
      </c>
      <c r="F47" s="299"/>
      <c r="G47" s="299">
        <f t="shared" si="5"/>
        <v>200000</v>
      </c>
      <c r="H47" s="318" t="s">
        <v>307</v>
      </c>
      <c r="I47" s="293" t="s">
        <v>248</v>
      </c>
      <c r="J47" s="319" t="s">
        <v>249</v>
      </c>
      <c r="K47" s="297" t="s">
        <v>225</v>
      </c>
      <c r="L47" s="285">
        <f>+VLOOKUP(B47,[2]Sheet2!$B$4:$F$64,5,0)</f>
        <v>200000</v>
      </c>
      <c r="M47" s="362">
        <f t="shared" si="0"/>
        <v>0</v>
      </c>
    </row>
    <row r="48" spans="1:13" ht="36.75" customHeight="1">
      <c r="A48" s="296">
        <v>45</v>
      </c>
      <c r="B48" s="297" t="s">
        <v>202</v>
      </c>
      <c r="C48" s="348" t="s">
        <v>304</v>
      </c>
      <c r="D48" s="311">
        <v>200000</v>
      </c>
      <c r="E48" s="300" t="s">
        <v>24</v>
      </c>
      <c r="F48" s="299"/>
      <c r="G48" s="299">
        <f t="shared" ref="G48:G54" si="6">+D48</f>
        <v>200000</v>
      </c>
      <c r="H48" s="313" t="s">
        <v>240</v>
      </c>
      <c r="I48" s="293" t="s">
        <v>235</v>
      </c>
      <c r="J48" s="294" t="s">
        <v>64</v>
      </c>
      <c r="K48" s="294" t="s">
        <v>236</v>
      </c>
      <c r="L48" s="285">
        <f>+VLOOKUP(B48,[2]Sheet2!$B$4:$F$64,5,0)</f>
        <v>200000</v>
      </c>
      <c r="M48" s="362">
        <f t="shared" si="0"/>
        <v>0</v>
      </c>
    </row>
    <row r="49" spans="1:13" ht="36.75" customHeight="1">
      <c r="A49" s="296">
        <v>46</v>
      </c>
      <c r="B49" s="297" t="s">
        <v>296</v>
      </c>
      <c r="C49" s="348" t="s">
        <v>304</v>
      </c>
      <c r="D49" s="311">
        <v>200000</v>
      </c>
      <c r="E49" s="300" t="s">
        <v>24</v>
      </c>
      <c r="F49" s="299"/>
      <c r="G49" s="299">
        <f t="shared" si="6"/>
        <v>200000</v>
      </c>
      <c r="H49" s="313" t="s">
        <v>240</v>
      </c>
      <c r="I49" s="293" t="s">
        <v>244</v>
      </c>
      <c r="J49" s="294" t="s">
        <v>245</v>
      </c>
      <c r="K49" s="297" t="s">
        <v>205</v>
      </c>
      <c r="L49" s="285">
        <f>+VLOOKUP(B49,[2]Sheet2!$B$4:$F$64,5,0)</f>
        <v>200000</v>
      </c>
      <c r="M49" s="362">
        <f t="shared" si="0"/>
        <v>0</v>
      </c>
    </row>
    <row r="50" spans="1:13" ht="36.75" customHeight="1">
      <c r="A50" s="296">
        <v>47</v>
      </c>
      <c r="B50" s="297" t="s">
        <v>206</v>
      </c>
      <c r="C50" s="348" t="s">
        <v>304</v>
      </c>
      <c r="D50" s="311">
        <v>200000</v>
      </c>
      <c r="E50" s="300" t="s">
        <v>24</v>
      </c>
      <c r="F50" s="299"/>
      <c r="G50" s="299">
        <f t="shared" si="6"/>
        <v>200000</v>
      </c>
      <c r="H50" s="313" t="s">
        <v>240</v>
      </c>
      <c r="I50" s="293" t="s">
        <v>246</v>
      </c>
      <c r="J50" s="294" t="s">
        <v>64</v>
      </c>
      <c r="K50" s="297" t="s">
        <v>280</v>
      </c>
      <c r="L50" s="285">
        <f>+VLOOKUP(B50,[2]Sheet2!$B$4:$F$64,5,0)</f>
        <v>200000</v>
      </c>
      <c r="M50" s="362">
        <f t="shared" si="0"/>
        <v>0</v>
      </c>
    </row>
    <row r="51" spans="1:13" ht="48" customHeight="1">
      <c r="A51" s="296">
        <v>48</v>
      </c>
      <c r="B51" s="297" t="s">
        <v>208</v>
      </c>
      <c r="C51" s="348" t="s">
        <v>304</v>
      </c>
      <c r="D51" s="299">
        <v>200000</v>
      </c>
      <c r="E51" s="300" t="s">
        <v>30</v>
      </c>
      <c r="F51" s="299"/>
      <c r="G51" s="299">
        <f t="shared" si="6"/>
        <v>200000</v>
      </c>
      <c r="H51" s="313" t="s">
        <v>240</v>
      </c>
      <c r="I51" s="293" t="s">
        <v>234</v>
      </c>
      <c r="J51" s="294" t="s">
        <v>133</v>
      </c>
      <c r="K51" s="297" t="s">
        <v>208</v>
      </c>
      <c r="L51" s="285">
        <f>+VLOOKUP(B51,[2]Sheet2!$B$4:$F$64,5,0)</f>
        <v>200000</v>
      </c>
      <c r="M51" s="362">
        <f t="shared" si="0"/>
        <v>0</v>
      </c>
    </row>
    <row r="52" spans="1:13" ht="36.75" customHeight="1">
      <c r="A52" s="296">
        <v>49</v>
      </c>
      <c r="B52" s="297" t="s">
        <v>226</v>
      </c>
      <c r="C52" s="348" t="s">
        <v>304</v>
      </c>
      <c r="D52" s="299">
        <v>200000</v>
      </c>
      <c r="E52" s="300" t="s">
        <v>30</v>
      </c>
      <c r="F52" s="299"/>
      <c r="G52" s="299">
        <f t="shared" si="6"/>
        <v>200000</v>
      </c>
      <c r="H52" s="313" t="s">
        <v>290</v>
      </c>
      <c r="I52" s="293" t="s">
        <v>250</v>
      </c>
      <c r="J52" s="294" t="s">
        <v>133</v>
      </c>
      <c r="K52" s="297" t="s">
        <v>226</v>
      </c>
      <c r="L52" s="285">
        <f>+VLOOKUP(B52,[2]Sheet2!$B$4:$F$64,5,0)</f>
        <v>200000</v>
      </c>
      <c r="M52" s="362">
        <f t="shared" si="0"/>
        <v>0</v>
      </c>
    </row>
    <row r="53" spans="1:13" ht="36.75" customHeight="1">
      <c r="A53" s="296">
        <v>50</v>
      </c>
      <c r="B53" s="297" t="s">
        <v>257</v>
      </c>
      <c r="C53" s="348" t="s">
        <v>136</v>
      </c>
      <c r="D53" s="299">
        <v>200000</v>
      </c>
      <c r="E53" s="300" t="s">
        <v>24</v>
      </c>
      <c r="F53" s="299"/>
      <c r="G53" s="299">
        <f t="shared" si="6"/>
        <v>200000</v>
      </c>
      <c r="H53" s="303" t="s">
        <v>283</v>
      </c>
      <c r="I53" s="293"/>
      <c r="J53" s="294"/>
      <c r="K53" s="297" t="str">
        <f>+B53</f>
        <v>Chu Quang Hưng</v>
      </c>
      <c r="L53" s="285">
        <f>+VLOOKUP(B53,[2]Sheet2!$B$4:$F$64,5,0)</f>
        <v>200000</v>
      </c>
      <c r="M53" s="362">
        <f t="shared" si="0"/>
        <v>0</v>
      </c>
    </row>
    <row r="54" spans="1:13" ht="36.75" customHeight="1">
      <c r="A54" s="296">
        <v>51</v>
      </c>
      <c r="B54" s="297" t="s">
        <v>284</v>
      </c>
      <c r="C54" s="348" t="s">
        <v>304</v>
      </c>
      <c r="D54" s="299">
        <v>200000</v>
      </c>
      <c r="E54" s="300" t="s">
        <v>30</v>
      </c>
      <c r="F54" s="299"/>
      <c r="G54" s="299">
        <f t="shared" si="6"/>
        <v>200000</v>
      </c>
      <c r="H54" s="303" t="s">
        <v>312</v>
      </c>
      <c r="I54" s="293"/>
      <c r="J54" s="294"/>
      <c r="K54" s="297" t="str">
        <f>+B54</f>
        <v>Phạm Văn Lĩnh</v>
      </c>
      <c r="L54" s="285">
        <f>+VLOOKUP(B54,[2]Sheet2!$B$4:$F$64,5,0)</f>
        <v>200000</v>
      </c>
      <c r="M54" s="362">
        <f t="shared" si="0"/>
        <v>0</v>
      </c>
    </row>
    <row r="55" spans="1:13" s="326" customFormat="1" ht="19.5" customHeight="1">
      <c r="A55" s="478" t="s">
        <v>299</v>
      </c>
      <c r="B55" s="479"/>
      <c r="C55" s="320"/>
      <c r="D55" s="321">
        <f>SUM(D4:D54)</f>
        <v>30100000</v>
      </c>
      <c r="E55" s="321">
        <f>SUM(E6:E54)</f>
        <v>0</v>
      </c>
      <c r="F55" s="321">
        <f>SUM(F6:F54)</f>
        <v>0</v>
      </c>
      <c r="G55" s="299">
        <f>SUM(G4:G54)</f>
        <v>30100000</v>
      </c>
      <c r="H55" s="324"/>
      <c r="I55" s="325"/>
      <c r="J55" s="289"/>
      <c r="K55" s="289"/>
    </row>
    <row r="56" spans="1:13" ht="22.5" customHeight="1">
      <c r="H56" s="341">
        <v>30100000</v>
      </c>
    </row>
    <row r="57" spans="1:13" s="283" customFormat="1" ht="22.5" customHeight="1">
      <c r="B57" s="480" t="s">
        <v>309</v>
      </c>
      <c r="C57" s="480"/>
      <c r="D57" s="336"/>
      <c r="E57" s="365"/>
      <c r="F57" s="336"/>
      <c r="G57" s="365" t="s">
        <v>311</v>
      </c>
      <c r="H57" s="341">
        <f>+H56-G55</f>
        <v>0</v>
      </c>
      <c r="J57" s="284"/>
      <c r="K57" s="284"/>
    </row>
    <row r="58" spans="1:13" s="283" customFormat="1" ht="22.5" customHeight="1">
      <c r="B58" s="285"/>
      <c r="C58" s="334"/>
      <c r="D58" s="336"/>
      <c r="E58" s="285"/>
      <c r="F58" s="336"/>
      <c r="G58" s="336"/>
      <c r="H58" s="341"/>
      <c r="J58" s="284"/>
      <c r="K58" s="284"/>
    </row>
    <row r="59" spans="1:13" s="283" customFormat="1" ht="22.5" customHeight="1">
      <c r="B59" s="285"/>
      <c r="C59" s="334"/>
      <c r="D59" s="336"/>
      <c r="E59" s="285"/>
      <c r="F59" s="336"/>
      <c r="G59" s="336"/>
      <c r="H59" s="341"/>
      <c r="J59" s="284"/>
      <c r="K59" s="284"/>
    </row>
    <row r="60" spans="1:13" s="283" customFormat="1" ht="22.5" customHeight="1">
      <c r="B60" s="285"/>
      <c r="C60" s="334"/>
      <c r="D60" s="336"/>
      <c r="E60" s="285"/>
      <c r="F60" s="336"/>
      <c r="G60" s="336"/>
      <c r="H60" s="341"/>
      <c r="J60" s="284"/>
      <c r="K60" s="284"/>
    </row>
    <row r="61" spans="1:13" s="283" customFormat="1" ht="22.5" customHeight="1">
      <c r="B61" s="285"/>
      <c r="C61" s="334"/>
      <c r="D61" s="336"/>
      <c r="E61" s="285"/>
      <c r="F61" s="336"/>
      <c r="G61" s="336"/>
      <c r="H61" s="341"/>
      <c r="J61" s="284"/>
      <c r="K61" s="284"/>
    </row>
    <row r="62" spans="1:13" s="283" customFormat="1" ht="22.5" customHeight="1">
      <c r="B62" s="285"/>
      <c r="C62" s="334"/>
      <c r="D62" s="336"/>
      <c r="E62" s="285"/>
      <c r="F62" s="336"/>
      <c r="G62" s="336"/>
      <c r="H62" s="341"/>
      <c r="J62" s="284"/>
      <c r="K62" s="284"/>
    </row>
    <row r="63" spans="1:13" s="283" customFormat="1" ht="22.5" customHeight="1">
      <c r="B63" s="285"/>
      <c r="C63" s="334"/>
      <c r="D63" s="336"/>
      <c r="E63" s="285"/>
      <c r="F63" s="336"/>
      <c r="G63" s="336"/>
      <c r="H63" s="341"/>
      <c r="J63" s="284"/>
      <c r="K63" s="284"/>
    </row>
    <row r="64" spans="1:13" s="283" customFormat="1" ht="22.5" customHeight="1">
      <c r="B64" s="285"/>
      <c r="C64" s="334"/>
      <c r="D64" s="336"/>
      <c r="E64" s="285"/>
      <c r="F64" s="336"/>
      <c r="G64" s="336"/>
      <c r="H64" s="341"/>
      <c r="J64" s="284"/>
      <c r="K64" s="284"/>
    </row>
    <row r="65" spans="2:11" s="283" customFormat="1" ht="22.5" customHeight="1">
      <c r="B65" s="285"/>
      <c r="C65" s="334"/>
      <c r="D65" s="336"/>
      <c r="E65" s="285"/>
      <c r="F65" s="336"/>
      <c r="G65" s="336"/>
      <c r="H65" s="341"/>
      <c r="J65" s="284"/>
      <c r="K65" s="284"/>
    </row>
    <row r="66" spans="2:11" s="283" customFormat="1" ht="22.5" customHeight="1">
      <c r="B66" s="285"/>
      <c r="C66" s="334"/>
      <c r="D66" s="336"/>
      <c r="E66" s="285"/>
      <c r="F66" s="336"/>
      <c r="G66" s="336"/>
      <c r="H66" s="341"/>
      <c r="J66" s="284"/>
      <c r="K66" s="284"/>
    </row>
    <row r="67" spans="2:11" s="283" customFormat="1" ht="22.5" customHeight="1">
      <c r="B67" s="285"/>
      <c r="C67" s="334"/>
      <c r="D67" s="336"/>
      <c r="E67" s="285"/>
      <c r="F67" s="336"/>
      <c r="G67" s="336"/>
      <c r="H67" s="341"/>
      <c r="J67" s="284"/>
      <c r="K67" s="284"/>
    </row>
    <row r="68" spans="2:11" s="283" customFormat="1" ht="22.5" customHeight="1">
      <c r="B68" s="285"/>
      <c r="C68" s="334"/>
      <c r="D68" s="336"/>
      <c r="E68" s="285"/>
      <c r="F68" s="336"/>
      <c r="G68" s="336"/>
      <c r="H68" s="341"/>
      <c r="J68" s="284"/>
      <c r="K68" s="284"/>
    </row>
    <row r="69" spans="2:11" s="283" customFormat="1" ht="22.5" customHeight="1">
      <c r="B69" s="285"/>
      <c r="C69" s="334"/>
      <c r="D69" s="336"/>
      <c r="E69" s="285"/>
      <c r="F69" s="336"/>
      <c r="G69" s="336"/>
      <c r="H69" s="341"/>
      <c r="J69" s="284"/>
      <c r="K69" s="284"/>
    </row>
  </sheetData>
  <autoFilter ref="A3:M57"/>
  <mergeCells count="4">
    <mergeCell ref="A1:H1"/>
    <mergeCell ref="A2:H2"/>
    <mergeCell ref="A55:B55"/>
    <mergeCell ref="B57:C57"/>
  </mergeCells>
  <printOptions horizontalCentered="1"/>
  <pageMargins left="0.2" right="0" top="0.5" bottom="0.25" header="0.3" footer="0.3"/>
  <pageSetup paperSize="9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77"/>
  <sheetViews>
    <sheetView zoomScale="90" zoomScaleNormal="90" workbookViewId="0">
      <pane ySplit="3" topLeftCell="A52" activePane="bottomLeft" state="frozen"/>
      <selection pane="bottomLeft" activeCell="B3" sqref="B1:B1048576"/>
    </sheetView>
  </sheetViews>
  <sheetFormatPr defaultRowHeight="22.5" customHeight="1"/>
  <cols>
    <col min="1" max="1" width="5.85546875" style="285" customWidth="1"/>
    <col min="2" max="2" width="22.42578125" style="285" customWidth="1"/>
    <col min="3" max="3" width="11" style="334" customWidth="1"/>
    <col min="4" max="4" width="14.7109375" style="336" customWidth="1"/>
    <col min="5" max="5" width="9.28515625" style="336" customWidth="1"/>
    <col min="6" max="6" width="9.85546875" style="285" customWidth="1"/>
    <col min="7" max="7" width="13" style="336" customWidth="1"/>
    <col min="8" max="8" width="15.28515625" style="336" customWidth="1"/>
    <col min="9" max="9" width="15.28515625" style="285" customWidth="1"/>
    <col min="10" max="10" width="25.7109375" style="334" hidden="1" customWidth="1"/>
    <col min="11" max="11" width="26.5703125" style="283" hidden="1" customWidth="1"/>
    <col min="12" max="12" width="18.42578125" style="284" hidden="1" customWidth="1"/>
    <col min="13" max="13" width="27.28515625" style="284" hidden="1" customWidth="1"/>
    <col min="14" max="16" width="15.28515625" style="285" customWidth="1"/>
    <col min="17" max="16384" width="9.140625" style="285"/>
  </cols>
  <sheetData>
    <row r="1" spans="1:14" ht="22.5" customHeight="1">
      <c r="A1" s="468" t="s">
        <v>14</v>
      </c>
      <c r="B1" s="468"/>
      <c r="C1" s="468"/>
      <c r="D1" s="468"/>
      <c r="E1" s="468"/>
      <c r="F1" s="468"/>
      <c r="G1" s="468"/>
      <c r="H1" s="468"/>
      <c r="I1" s="468"/>
      <c r="J1" s="468"/>
    </row>
    <row r="2" spans="1:14" ht="22.5" customHeight="1">
      <c r="A2" s="469" t="s">
        <v>300</v>
      </c>
      <c r="B2" s="469"/>
      <c r="C2" s="469"/>
      <c r="D2" s="469"/>
      <c r="E2" s="469"/>
      <c r="F2" s="469"/>
      <c r="G2" s="469"/>
      <c r="H2" s="469"/>
      <c r="I2" s="469"/>
      <c r="J2" s="469"/>
    </row>
    <row r="3" spans="1:14" s="295" customFormat="1" ht="63" customHeight="1">
      <c r="A3" s="286" t="s">
        <v>20</v>
      </c>
      <c r="B3" s="286" t="s">
        <v>13</v>
      </c>
      <c r="C3" s="287" t="s">
        <v>90</v>
      </c>
      <c r="D3" s="288" t="s">
        <v>278</v>
      </c>
      <c r="E3" s="288" t="s">
        <v>285</v>
      </c>
      <c r="F3" s="292" t="s">
        <v>308</v>
      </c>
      <c r="G3" s="290" t="s">
        <v>286</v>
      </c>
      <c r="H3" s="291" t="s">
        <v>287</v>
      </c>
      <c r="I3" s="292" t="s">
        <v>281</v>
      </c>
      <c r="J3" s="292" t="s">
        <v>279</v>
      </c>
      <c r="K3" s="293" t="s">
        <v>47</v>
      </c>
      <c r="L3" s="294" t="s">
        <v>48</v>
      </c>
      <c r="M3" s="294" t="s">
        <v>49</v>
      </c>
    </row>
    <row r="4" spans="1:14" ht="24" customHeight="1">
      <c r="A4" s="296">
        <v>1</v>
      </c>
      <c r="B4" s="297" t="s">
        <v>11</v>
      </c>
      <c r="C4" s="298" t="s">
        <v>301</v>
      </c>
      <c r="D4" s="299">
        <v>45178000</v>
      </c>
      <c r="E4" s="299"/>
      <c r="F4" s="300" t="s">
        <v>24</v>
      </c>
      <c r="G4" s="299"/>
      <c r="H4" s="301">
        <f>D4+G4+E4</f>
        <v>45178000</v>
      </c>
      <c r="I4" s="302">
        <f>D4/2</f>
        <v>22589000</v>
      </c>
      <c r="J4" s="303" t="s">
        <v>240</v>
      </c>
      <c r="K4" s="293" t="s">
        <v>50</v>
      </c>
      <c r="L4" s="294" t="s">
        <v>51</v>
      </c>
      <c r="M4" s="294" t="s">
        <v>52</v>
      </c>
      <c r="N4" s="285" t="e">
        <f>+VLOOKUP(D4,[1]data!$E$5:$E$49,3,0)</f>
        <v>#REF!</v>
      </c>
    </row>
    <row r="5" spans="1:14" ht="24" customHeight="1">
      <c r="A5" s="296">
        <v>2</v>
      </c>
      <c r="B5" s="297" t="s">
        <v>8</v>
      </c>
      <c r="C5" s="298" t="s">
        <v>301</v>
      </c>
      <c r="D5" s="299">
        <v>42960000</v>
      </c>
      <c r="E5" s="299"/>
      <c r="F5" s="300" t="s">
        <v>29</v>
      </c>
      <c r="G5" s="299"/>
      <c r="H5" s="301">
        <f t="shared" ref="H5:H56" si="0">D5+G5+E5</f>
        <v>42960000</v>
      </c>
      <c r="I5" s="302">
        <f t="shared" ref="I5:I7" si="1">D5/2</f>
        <v>21480000</v>
      </c>
      <c r="J5" s="303" t="s">
        <v>240</v>
      </c>
      <c r="K5" s="293" t="s">
        <v>84</v>
      </c>
      <c r="L5" s="294" t="s">
        <v>56</v>
      </c>
      <c r="M5" s="294" t="s">
        <v>8</v>
      </c>
    </row>
    <row r="6" spans="1:14" ht="24" customHeight="1">
      <c r="A6" s="296">
        <v>3</v>
      </c>
      <c r="B6" s="297" t="s">
        <v>7</v>
      </c>
      <c r="C6" s="304" t="s">
        <v>102</v>
      </c>
      <c r="D6" s="299">
        <v>20913000</v>
      </c>
      <c r="E6" s="299"/>
      <c r="F6" s="300" t="s">
        <v>29</v>
      </c>
      <c r="G6" s="299"/>
      <c r="H6" s="301">
        <f t="shared" si="0"/>
        <v>20913000</v>
      </c>
      <c r="I6" s="302">
        <f t="shared" si="1"/>
        <v>10456500</v>
      </c>
      <c r="J6" s="303" t="s">
        <v>240</v>
      </c>
      <c r="K6" s="293" t="s">
        <v>89</v>
      </c>
      <c r="L6" s="294" t="s">
        <v>51</v>
      </c>
      <c r="M6" s="294" t="s">
        <v>7</v>
      </c>
    </row>
    <row r="7" spans="1:14" ht="24" customHeight="1">
      <c r="A7" s="296">
        <v>4</v>
      </c>
      <c r="B7" s="297" t="s">
        <v>10</v>
      </c>
      <c r="C7" s="304" t="s">
        <v>93</v>
      </c>
      <c r="D7" s="299">
        <v>28753000</v>
      </c>
      <c r="E7" s="299"/>
      <c r="F7" s="300" t="s">
        <v>24</v>
      </c>
      <c r="G7" s="299"/>
      <c r="H7" s="301">
        <f t="shared" si="0"/>
        <v>28753000</v>
      </c>
      <c r="I7" s="302">
        <f t="shared" si="1"/>
        <v>14376500</v>
      </c>
      <c r="J7" s="303" t="s">
        <v>240</v>
      </c>
      <c r="K7" s="293" t="s">
        <v>188</v>
      </c>
      <c r="L7" s="294" t="s">
        <v>56</v>
      </c>
      <c r="M7" s="294" t="s">
        <v>10</v>
      </c>
    </row>
    <row r="8" spans="1:14" ht="24" customHeight="1">
      <c r="A8" s="296">
        <v>5</v>
      </c>
      <c r="B8" s="297" t="s">
        <v>161</v>
      </c>
      <c r="C8" s="304" t="s">
        <v>93</v>
      </c>
      <c r="D8" s="299">
        <v>12000000</v>
      </c>
      <c r="E8" s="299"/>
      <c r="F8" s="300" t="s">
        <v>29</v>
      </c>
      <c r="G8" s="299"/>
      <c r="H8" s="301">
        <f t="shared" si="0"/>
        <v>12000000</v>
      </c>
      <c r="I8" s="300"/>
      <c r="J8" s="303" t="s">
        <v>292</v>
      </c>
      <c r="K8" s="293" t="s">
        <v>80</v>
      </c>
      <c r="L8" s="294" t="s">
        <v>51</v>
      </c>
      <c r="M8" s="294" t="s">
        <v>4</v>
      </c>
    </row>
    <row r="9" spans="1:14" ht="24" customHeight="1">
      <c r="A9" s="296">
        <v>6</v>
      </c>
      <c r="B9" s="297" t="s">
        <v>33</v>
      </c>
      <c r="C9" s="304" t="s">
        <v>93</v>
      </c>
      <c r="D9" s="299">
        <v>10800000</v>
      </c>
      <c r="E9" s="299"/>
      <c r="F9" s="300" t="s">
        <v>24</v>
      </c>
      <c r="G9" s="299"/>
      <c r="H9" s="301">
        <f t="shared" si="0"/>
        <v>10800000</v>
      </c>
      <c r="I9" s="300"/>
      <c r="J9" s="303" t="s">
        <v>240</v>
      </c>
      <c r="K9" s="293" t="s">
        <v>65</v>
      </c>
      <c r="L9" s="294" t="s">
        <v>64</v>
      </c>
      <c r="M9" s="294" t="s">
        <v>33</v>
      </c>
    </row>
    <row r="10" spans="1:14" ht="24" customHeight="1">
      <c r="A10" s="296">
        <v>7</v>
      </c>
      <c r="B10" s="305" t="s">
        <v>134</v>
      </c>
      <c r="C10" s="306" t="s">
        <v>93</v>
      </c>
      <c r="D10" s="307">
        <v>8000000</v>
      </c>
      <c r="E10" s="307"/>
      <c r="F10" s="308" t="s">
        <v>24</v>
      </c>
      <c r="G10" s="307"/>
      <c r="H10" s="301">
        <f t="shared" si="0"/>
        <v>8000000</v>
      </c>
      <c r="I10" s="309"/>
      <c r="J10" s="303" t="s">
        <v>282</v>
      </c>
    </row>
    <row r="11" spans="1:14" ht="24" customHeight="1">
      <c r="A11" s="296">
        <v>8</v>
      </c>
      <c r="B11" s="297" t="s">
        <v>28</v>
      </c>
      <c r="C11" s="304" t="s">
        <v>93</v>
      </c>
      <c r="D11" s="299">
        <v>14000000</v>
      </c>
      <c r="E11" s="299"/>
      <c r="F11" s="300" t="s">
        <v>30</v>
      </c>
      <c r="G11" s="299"/>
      <c r="H11" s="301">
        <f t="shared" si="0"/>
        <v>14000000</v>
      </c>
      <c r="I11" s="300"/>
      <c r="J11" s="303" t="s">
        <v>240</v>
      </c>
      <c r="K11" s="293" t="s">
        <v>70</v>
      </c>
      <c r="L11" s="294" t="s">
        <v>51</v>
      </c>
      <c r="M11" s="294" t="s">
        <v>28</v>
      </c>
    </row>
    <row r="12" spans="1:14" ht="24" customHeight="1">
      <c r="A12" s="296">
        <v>9</v>
      </c>
      <c r="B12" s="297" t="s">
        <v>42</v>
      </c>
      <c r="C12" s="304" t="s">
        <v>93</v>
      </c>
      <c r="D12" s="299">
        <v>10000000</v>
      </c>
      <c r="E12" s="299"/>
      <c r="F12" s="300" t="s">
        <v>24</v>
      </c>
      <c r="G12" s="299"/>
      <c r="H12" s="301">
        <f t="shared" si="0"/>
        <v>10000000</v>
      </c>
      <c r="I12" s="300"/>
      <c r="J12" s="303" t="s">
        <v>240</v>
      </c>
      <c r="K12" s="293" t="s">
        <v>123</v>
      </c>
      <c r="L12" s="294" t="s">
        <v>64</v>
      </c>
      <c r="M12" s="294" t="s">
        <v>42</v>
      </c>
    </row>
    <row r="13" spans="1:14" ht="24" customHeight="1">
      <c r="A13" s="296">
        <v>10</v>
      </c>
      <c r="B13" s="297" t="s">
        <v>31</v>
      </c>
      <c r="C13" s="304" t="s">
        <v>94</v>
      </c>
      <c r="D13" s="299">
        <v>29027000</v>
      </c>
      <c r="E13" s="299"/>
      <c r="F13" s="300" t="s">
        <v>24</v>
      </c>
      <c r="G13" s="299"/>
      <c r="H13" s="301">
        <f t="shared" si="0"/>
        <v>29027000</v>
      </c>
      <c r="I13" s="302">
        <f>D13/2</f>
        <v>14513500</v>
      </c>
      <c r="J13" s="303" t="s">
        <v>240</v>
      </c>
      <c r="K13" s="293" t="s">
        <v>88</v>
      </c>
      <c r="L13" s="294" t="s">
        <v>60</v>
      </c>
      <c r="M13" s="294" t="s">
        <v>31</v>
      </c>
    </row>
    <row r="14" spans="1:14" ht="24" customHeight="1">
      <c r="A14" s="296">
        <v>11</v>
      </c>
      <c r="B14" s="297" t="s">
        <v>3</v>
      </c>
      <c r="C14" s="304" t="s">
        <v>94</v>
      </c>
      <c r="D14" s="299">
        <v>14000000</v>
      </c>
      <c r="E14" s="299"/>
      <c r="F14" s="300" t="s">
        <v>24</v>
      </c>
      <c r="G14" s="299"/>
      <c r="H14" s="301">
        <f t="shared" si="0"/>
        <v>14000000</v>
      </c>
      <c r="I14" s="300"/>
      <c r="J14" s="303" t="s">
        <v>293</v>
      </c>
      <c r="K14" s="293" t="s">
        <v>189</v>
      </c>
      <c r="L14" s="294" t="s">
        <v>63</v>
      </c>
      <c r="M14" s="294" t="s">
        <v>190</v>
      </c>
    </row>
    <row r="15" spans="1:14" ht="24" customHeight="1">
      <c r="A15" s="296">
        <v>12</v>
      </c>
      <c r="B15" s="297" t="s">
        <v>37</v>
      </c>
      <c r="C15" s="304" t="s">
        <v>94</v>
      </c>
      <c r="D15" s="299">
        <v>8000000</v>
      </c>
      <c r="E15" s="299"/>
      <c r="F15" s="300" t="s">
        <v>30</v>
      </c>
      <c r="G15" s="299"/>
      <c r="H15" s="301">
        <f t="shared" si="0"/>
        <v>8000000</v>
      </c>
      <c r="I15" s="300"/>
      <c r="J15" s="303" t="s">
        <v>240</v>
      </c>
      <c r="K15" s="293" t="s">
        <v>62</v>
      </c>
      <c r="L15" s="294" t="s">
        <v>51</v>
      </c>
      <c r="M15" s="294" t="s">
        <v>37</v>
      </c>
    </row>
    <row r="16" spans="1:14" ht="24" customHeight="1">
      <c r="A16" s="296">
        <v>13</v>
      </c>
      <c r="B16" s="297" t="s">
        <v>38</v>
      </c>
      <c r="C16" s="304" t="s">
        <v>94</v>
      </c>
      <c r="D16" s="299">
        <v>8000000</v>
      </c>
      <c r="E16" s="299"/>
      <c r="F16" s="300" t="s">
        <v>30</v>
      </c>
      <c r="G16" s="299"/>
      <c r="H16" s="301">
        <f t="shared" si="0"/>
        <v>8000000</v>
      </c>
      <c r="I16" s="300"/>
      <c r="J16" s="303" t="s">
        <v>240</v>
      </c>
      <c r="K16" s="293" t="s">
        <v>61</v>
      </c>
      <c r="L16" s="294" t="s">
        <v>54</v>
      </c>
      <c r="M16" s="294" t="s">
        <v>38</v>
      </c>
    </row>
    <row r="17" spans="1:13" ht="24" customHeight="1">
      <c r="A17" s="296">
        <v>14</v>
      </c>
      <c r="B17" s="297" t="s">
        <v>40</v>
      </c>
      <c r="C17" s="304" t="s">
        <v>94</v>
      </c>
      <c r="D17" s="299">
        <v>8000000</v>
      </c>
      <c r="E17" s="299"/>
      <c r="F17" s="300" t="s">
        <v>30</v>
      </c>
      <c r="G17" s="299"/>
      <c r="H17" s="301">
        <f t="shared" si="0"/>
        <v>8000000</v>
      </c>
      <c r="I17" s="300"/>
      <c r="J17" s="303" t="s">
        <v>240</v>
      </c>
      <c r="K17" s="293" t="s">
        <v>145</v>
      </c>
      <c r="L17" s="294" t="s">
        <v>57</v>
      </c>
      <c r="M17" s="294" t="s">
        <v>40</v>
      </c>
    </row>
    <row r="18" spans="1:13" ht="25.5" customHeight="1">
      <c r="A18" s="296">
        <v>15</v>
      </c>
      <c r="B18" s="297" t="s">
        <v>41</v>
      </c>
      <c r="C18" s="304" t="s">
        <v>94</v>
      </c>
      <c r="D18" s="299">
        <v>10000000</v>
      </c>
      <c r="E18" s="299"/>
      <c r="F18" s="300" t="s">
        <v>30</v>
      </c>
      <c r="G18" s="299"/>
      <c r="H18" s="301">
        <f t="shared" si="0"/>
        <v>10000000</v>
      </c>
      <c r="I18" s="300"/>
      <c r="J18" s="303" t="s">
        <v>240</v>
      </c>
      <c r="K18" s="293" t="s">
        <v>58</v>
      </c>
      <c r="L18" s="294" t="s">
        <v>56</v>
      </c>
      <c r="M18" s="294" t="s">
        <v>41</v>
      </c>
    </row>
    <row r="19" spans="1:13" ht="22.5" customHeight="1">
      <c r="A19" s="296">
        <v>16</v>
      </c>
      <c r="B19" s="297" t="s">
        <v>127</v>
      </c>
      <c r="C19" s="304" t="s">
        <v>94</v>
      </c>
      <c r="D19" s="299">
        <v>8000000</v>
      </c>
      <c r="E19" s="299"/>
      <c r="F19" s="300" t="s">
        <v>30</v>
      </c>
      <c r="G19" s="299"/>
      <c r="H19" s="301">
        <f t="shared" si="0"/>
        <v>8000000</v>
      </c>
      <c r="I19" s="300"/>
      <c r="J19" s="303" t="s">
        <v>240</v>
      </c>
      <c r="K19" s="293" t="s">
        <v>131</v>
      </c>
      <c r="L19" s="294" t="s">
        <v>56</v>
      </c>
      <c r="M19" s="294" t="s">
        <v>127</v>
      </c>
    </row>
    <row r="20" spans="1:13" ht="22.5" customHeight="1">
      <c r="A20" s="296">
        <v>17</v>
      </c>
      <c r="B20" s="297" t="s">
        <v>9</v>
      </c>
      <c r="C20" s="304" t="s">
        <v>95</v>
      </c>
      <c r="D20" s="299">
        <v>35126000</v>
      </c>
      <c r="E20" s="299"/>
      <c r="F20" s="300" t="s">
        <v>30</v>
      </c>
      <c r="G20" s="299"/>
      <c r="H20" s="301">
        <f t="shared" si="0"/>
        <v>35126000</v>
      </c>
      <c r="I20" s="302">
        <f>D20/2</f>
        <v>17563000</v>
      </c>
      <c r="J20" s="303" t="s">
        <v>240</v>
      </c>
      <c r="K20" s="293" t="s">
        <v>53</v>
      </c>
      <c r="L20" s="294" t="s">
        <v>51</v>
      </c>
      <c r="M20" s="294" t="s">
        <v>9</v>
      </c>
    </row>
    <row r="21" spans="1:13" ht="22.5" customHeight="1">
      <c r="A21" s="296">
        <v>18</v>
      </c>
      <c r="B21" s="297" t="s">
        <v>112</v>
      </c>
      <c r="C21" s="304" t="s">
        <v>95</v>
      </c>
      <c r="D21" s="299">
        <v>19000000</v>
      </c>
      <c r="E21" s="299"/>
      <c r="F21" s="300" t="s">
        <v>30</v>
      </c>
      <c r="G21" s="299"/>
      <c r="H21" s="301">
        <f t="shared" si="0"/>
        <v>19000000</v>
      </c>
      <c r="I21" s="300"/>
      <c r="J21" s="303" t="s">
        <v>240</v>
      </c>
      <c r="K21" s="293" t="s">
        <v>77</v>
      </c>
      <c r="L21" s="294" t="s">
        <v>56</v>
      </c>
      <c r="M21" s="294" t="s">
        <v>16</v>
      </c>
    </row>
    <row r="22" spans="1:13" ht="22.5" customHeight="1">
      <c r="A22" s="296">
        <v>19</v>
      </c>
      <c r="B22" s="297" t="s">
        <v>26</v>
      </c>
      <c r="C22" s="304" t="s">
        <v>95</v>
      </c>
      <c r="D22" s="299">
        <v>19000000</v>
      </c>
      <c r="E22" s="299"/>
      <c r="F22" s="300" t="s">
        <v>30</v>
      </c>
      <c r="G22" s="299"/>
      <c r="H22" s="301">
        <f t="shared" si="0"/>
        <v>19000000</v>
      </c>
      <c r="I22" s="300"/>
      <c r="J22" s="303" t="s">
        <v>240</v>
      </c>
      <c r="K22" s="293" t="s">
        <v>72</v>
      </c>
      <c r="L22" s="294" t="s">
        <v>54</v>
      </c>
      <c r="M22" s="294" t="s">
        <v>26</v>
      </c>
    </row>
    <row r="23" spans="1:13" ht="22.5" customHeight="1">
      <c r="A23" s="296">
        <v>20</v>
      </c>
      <c r="B23" s="297" t="s">
        <v>32</v>
      </c>
      <c r="C23" s="304" t="s">
        <v>95</v>
      </c>
      <c r="D23" s="299">
        <v>12000000</v>
      </c>
      <c r="E23" s="299"/>
      <c r="F23" s="300" t="s">
        <v>30</v>
      </c>
      <c r="G23" s="299"/>
      <c r="H23" s="301">
        <f t="shared" si="0"/>
        <v>12000000</v>
      </c>
      <c r="I23" s="300"/>
      <c r="J23" s="303" t="s">
        <v>240</v>
      </c>
      <c r="K23" s="293" t="s">
        <v>68</v>
      </c>
      <c r="L23" s="294" t="s">
        <v>56</v>
      </c>
      <c r="M23" s="294" t="s">
        <v>32</v>
      </c>
    </row>
    <row r="24" spans="1:13" ht="22.5" customHeight="1">
      <c r="A24" s="296">
        <v>21</v>
      </c>
      <c r="B24" s="297" t="s">
        <v>39</v>
      </c>
      <c r="C24" s="304" t="s">
        <v>95</v>
      </c>
      <c r="D24" s="299">
        <v>12000000</v>
      </c>
      <c r="E24" s="299"/>
      <c r="F24" s="300" t="s">
        <v>24</v>
      </c>
      <c r="G24" s="299"/>
      <c r="H24" s="301">
        <f t="shared" si="0"/>
        <v>12000000</v>
      </c>
      <c r="I24" s="300"/>
      <c r="J24" s="303" t="s">
        <v>240</v>
      </c>
      <c r="K24" s="293" t="s">
        <v>59</v>
      </c>
      <c r="L24" s="294" t="s">
        <v>60</v>
      </c>
      <c r="M24" s="294" t="s">
        <v>39</v>
      </c>
    </row>
    <row r="25" spans="1:13" ht="22.5" customHeight="1">
      <c r="A25" s="296">
        <v>22</v>
      </c>
      <c r="B25" s="297" t="s">
        <v>44</v>
      </c>
      <c r="C25" s="304" t="s">
        <v>95</v>
      </c>
      <c r="D25" s="299">
        <v>12000000</v>
      </c>
      <c r="E25" s="299"/>
      <c r="F25" s="300" t="s">
        <v>30</v>
      </c>
      <c r="G25" s="299"/>
      <c r="H25" s="301">
        <f t="shared" si="0"/>
        <v>12000000</v>
      </c>
      <c r="I25" s="300"/>
      <c r="J25" s="303" t="s">
        <v>240</v>
      </c>
      <c r="K25" s="293" t="s">
        <v>55</v>
      </c>
      <c r="L25" s="294" t="s">
        <v>56</v>
      </c>
      <c r="M25" s="294" t="s">
        <v>44</v>
      </c>
    </row>
    <row r="26" spans="1:13" ht="27" customHeight="1">
      <c r="A26" s="296">
        <v>23</v>
      </c>
      <c r="B26" s="297" t="s">
        <v>128</v>
      </c>
      <c r="C26" s="297" t="s">
        <v>95</v>
      </c>
      <c r="D26" s="299">
        <v>9000000</v>
      </c>
      <c r="E26" s="299"/>
      <c r="F26" s="300" t="s">
        <v>24</v>
      </c>
      <c r="G26" s="299"/>
      <c r="H26" s="301">
        <f t="shared" si="0"/>
        <v>9000000</v>
      </c>
      <c r="I26" s="300"/>
      <c r="J26" s="303" t="s">
        <v>240</v>
      </c>
      <c r="K26" s="293" t="s">
        <v>139</v>
      </c>
      <c r="L26" s="294" t="s">
        <v>138</v>
      </c>
      <c r="M26" s="294" t="s">
        <v>140</v>
      </c>
    </row>
    <row r="27" spans="1:13" ht="49.5" customHeight="1">
      <c r="A27" s="296">
        <v>24</v>
      </c>
      <c r="B27" s="297" t="s">
        <v>121</v>
      </c>
      <c r="C27" s="304" t="s">
        <v>96</v>
      </c>
      <c r="D27" s="299">
        <f>26678000</f>
        <v>26678000</v>
      </c>
      <c r="E27" s="299">
        <v>500000</v>
      </c>
      <c r="F27" s="300" t="s">
        <v>30</v>
      </c>
      <c r="G27" s="299"/>
      <c r="H27" s="301">
        <f t="shared" si="0"/>
        <v>27178000</v>
      </c>
      <c r="I27" s="302">
        <f>D27/2</f>
        <v>13339000</v>
      </c>
      <c r="J27" s="303" t="s">
        <v>240</v>
      </c>
      <c r="K27" s="293" t="s">
        <v>86</v>
      </c>
      <c r="L27" s="294" t="s">
        <v>60</v>
      </c>
      <c r="M27" s="294" t="s">
        <v>85</v>
      </c>
    </row>
    <row r="28" spans="1:13" ht="22.5" customHeight="1">
      <c r="A28" s="296">
        <v>25</v>
      </c>
      <c r="B28" s="297" t="s">
        <v>120</v>
      </c>
      <c r="C28" s="304" t="s">
        <v>96</v>
      </c>
      <c r="D28" s="299">
        <f>16000000+8000000</f>
        <v>24000000</v>
      </c>
      <c r="E28" s="299"/>
      <c r="F28" s="300" t="s">
        <v>30</v>
      </c>
      <c r="G28" s="299"/>
      <c r="H28" s="301">
        <f t="shared" si="0"/>
        <v>24000000</v>
      </c>
      <c r="I28" s="300"/>
      <c r="J28" s="303" t="s">
        <v>240</v>
      </c>
      <c r="K28" s="293" t="s">
        <v>81</v>
      </c>
      <c r="L28" s="294" t="s">
        <v>60</v>
      </c>
      <c r="M28" s="294" t="s">
        <v>5</v>
      </c>
    </row>
    <row r="29" spans="1:13" ht="22.5" customHeight="1">
      <c r="A29" s="296">
        <v>26</v>
      </c>
      <c r="B29" s="297" t="s">
        <v>43</v>
      </c>
      <c r="C29" s="304" t="s">
        <v>96</v>
      </c>
      <c r="D29" s="299">
        <v>12000000</v>
      </c>
      <c r="E29" s="299"/>
      <c r="F29" s="300" t="s">
        <v>30</v>
      </c>
      <c r="G29" s="299"/>
      <c r="H29" s="301">
        <f t="shared" si="0"/>
        <v>12000000</v>
      </c>
      <c r="I29" s="300"/>
      <c r="J29" s="303" t="s">
        <v>240</v>
      </c>
      <c r="K29" s="293" t="s">
        <v>162</v>
      </c>
      <c r="L29" s="294" t="s">
        <v>63</v>
      </c>
      <c r="M29" s="294" t="s">
        <v>43</v>
      </c>
    </row>
    <row r="30" spans="1:13" ht="27" customHeight="1">
      <c r="A30" s="296">
        <v>27</v>
      </c>
      <c r="B30" s="297" t="s">
        <v>129</v>
      </c>
      <c r="C30" s="297" t="s">
        <v>96</v>
      </c>
      <c r="D30" s="299">
        <v>8000000</v>
      </c>
      <c r="E30" s="299"/>
      <c r="F30" s="300" t="s">
        <v>30</v>
      </c>
      <c r="G30" s="299"/>
      <c r="H30" s="301">
        <f t="shared" si="0"/>
        <v>8000000</v>
      </c>
      <c r="I30" s="300"/>
      <c r="J30" s="303" t="s">
        <v>240</v>
      </c>
      <c r="K30" s="293" t="s">
        <v>165</v>
      </c>
      <c r="L30" s="294" t="s">
        <v>56</v>
      </c>
      <c r="M30" s="294" t="s">
        <v>129</v>
      </c>
    </row>
    <row r="31" spans="1:13" ht="27" customHeight="1">
      <c r="A31" s="296">
        <v>28</v>
      </c>
      <c r="B31" s="297" t="s">
        <v>148</v>
      </c>
      <c r="C31" s="297" t="s">
        <v>96</v>
      </c>
      <c r="D31" s="299">
        <v>8000000</v>
      </c>
      <c r="E31" s="299"/>
      <c r="F31" s="300" t="s">
        <v>30</v>
      </c>
      <c r="G31" s="299"/>
      <c r="H31" s="301">
        <f t="shared" si="0"/>
        <v>8000000</v>
      </c>
      <c r="I31" s="300"/>
      <c r="J31" s="303" t="s">
        <v>240</v>
      </c>
      <c r="K31" s="293" t="s">
        <v>158</v>
      </c>
      <c r="L31" s="294" t="s">
        <v>57</v>
      </c>
      <c r="M31" s="294" t="s">
        <v>148</v>
      </c>
    </row>
    <row r="32" spans="1:13" s="316" customFormat="1" ht="41.25" customHeight="1">
      <c r="A32" s="296">
        <v>29</v>
      </c>
      <c r="B32" s="310" t="s">
        <v>150</v>
      </c>
      <c r="C32" s="310" t="s">
        <v>98</v>
      </c>
      <c r="D32" s="311">
        <v>7000000</v>
      </c>
      <c r="E32" s="311"/>
      <c r="F32" s="312" t="s">
        <v>30</v>
      </c>
      <c r="G32" s="311"/>
      <c r="H32" s="301">
        <f t="shared" si="0"/>
        <v>7000000</v>
      </c>
      <c r="I32" s="312"/>
      <c r="J32" s="313" t="s">
        <v>240</v>
      </c>
      <c r="K32" s="314" t="s">
        <v>159</v>
      </c>
      <c r="L32" s="315" t="s">
        <v>160</v>
      </c>
      <c r="M32" s="315" t="s">
        <v>150</v>
      </c>
    </row>
    <row r="33" spans="1:14" ht="41.25" customHeight="1">
      <c r="A33" s="296">
        <v>30</v>
      </c>
      <c r="B33" s="297" t="s">
        <v>166</v>
      </c>
      <c r="C33" s="297" t="s">
        <v>98</v>
      </c>
      <c r="D33" s="299">
        <v>9000000</v>
      </c>
      <c r="E33" s="299"/>
      <c r="F33" s="300" t="s">
        <v>30</v>
      </c>
      <c r="G33" s="299"/>
      <c r="H33" s="301">
        <f t="shared" si="0"/>
        <v>9000000</v>
      </c>
      <c r="I33" s="300"/>
      <c r="J33" s="313" t="s">
        <v>240</v>
      </c>
      <c r="K33" s="293" t="s">
        <v>172</v>
      </c>
      <c r="L33" s="294" t="s">
        <v>63</v>
      </c>
      <c r="M33" s="294" t="s">
        <v>166</v>
      </c>
    </row>
    <row r="34" spans="1:14" ht="22.5" customHeight="1">
      <c r="A34" s="296">
        <v>31</v>
      </c>
      <c r="B34" s="297" t="s">
        <v>25</v>
      </c>
      <c r="C34" s="304" t="s">
        <v>99</v>
      </c>
      <c r="D34" s="299">
        <v>12000000</v>
      </c>
      <c r="E34" s="299"/>
      <c r="F34" s="300" t="s">
        <v>30</v>
      </c>
      <c r="G34" s="299"/>
      <c r="H34" s="301">
        <f t="shared" si="0"/>
        <v>12000000</v>
      </c>
      <c r="I34" s="300"/>
      <c r="J34" s="313" t="s">
        <v>240</v>
      </c>
      <c r="K34" s="293" t="s">
        <v>79</v>
      </c>
      <c r="L34" s="294" t="s">
        <v>63</v>
      </c>
      <c r="M34" s="294" t="s">
        <v>78</v>
      </c>
    </row>
    <row r="35" spans="1:14" ht="22.5" customHeight="1">
      <c r="A35" s="296">
        <v>32</v>
      </c>
      <c r="B35" s="297" t="s">
        <v>6</v>
      </c>
      <c r="C35" s="304" t="s">
        <v>100</v>
      </c>
      <c r="D35" s="299">
        <v>15000000</v>
      </c>
      <c r="E35" s="299"/>
      <c r="F35" s="300" t="s">
        <v>24</v>
      </c>
      <c r="G35" s="299"/>
      <c r="H35" s="301">
        <f t="shared" si="0"/>
        <v>15000000</v>
      </c>
      <c r="I35" s="300"/>
      <c r="J35" s="313" t="s">
        <v>240</v>
      </c>
      <c r="K35" s="293" t="s">
        <v>82</v>
      </c>
      <c r="L35" s="294" t="s">
        <v>51</v>
      </c>
      <c r="M35" s="294" t="s">
        <v>6</v>
      </c>
    </row>
    <row r="36" spans="1:14" ht="21.75" customHeight="1">
      <c r="A36" s="296">
        <v>33</v>
      </c>
      <c r="B36" s="297" t="s">
        <v>45</v>
      </c>
      <c r="C36" s="304" t="s">
        <v>97</v>
      </c>
      <c r="D36" s="299">
        <v>13902000</v>
      </c>
      <c r="E36" s="299"/>
      <c r="F36" s="300" t="s">
        <v>29</v>
      </c>
      <c r="G36" s="299"/>
      <c r="H36" s="301">
        <f t="shared" si="0"/>
        <v>13902000</v>
      </c>
      <c r="I36" s="300"/>
      <c r="J36" s="313" t="s">
        <v>293</v>
      </c>
      <c r="K36" s="293"/>
      <c r="L36" s="294"/>
      <c r="M36" s="294" t="s">
        <v>45</v>
      </c>
    </row>
    <row r="37" spans="1:14" ht="22.5" customHeight="1">
      <c r="A37" s="296">
        <v>34</v>
      </c>
      <c r="B37" s="297" t="s">
        <v>35</v>
      </c>
      <c r="C37" s="304" t="s">
        <v>97</v>
      </c>
      <c r="D37" s="299">
        <v>8000000</v>
      </c>
      <c r="E37" s="299"/>
      <c r="F37" s="300" t="s">
        <v>29</v>
      </c>
      <c r="G37" s="299"/>
      <c r="H37" s="301">
        <f t="shared" si="0"/>
        <v>8000000</v>
      </c>
      <c r="I37" s="300"/>
      <c r="J37" s="313" t="s">
        <v>240</v>
      </c>
      <c r="K37" s="293" t="s">
        <v>251</v>
      </c>
      <c r="L37" s="294"/>
      <c r="M37" s="294" t="s">
        <v>35</v>
      </c>
    </row>
    <row r="38" spans="1:14" s="346" customFormat="1" ht="22.5" customHeight="1">
      <c r="A38" s="342">
        <v>35</v>
      </c>
      <c r="B38" s="343" t="s">
        <v>275</v>
      </c>
      <c r="C38" s="344" t="s">
        <v>276</v>
      </c>
      <c r="D38" s="301">
        <f>15000000/60*16</f>
        <v>4000000</v>
      </c>
      <c r="E38" s="301"/>
      <c r="F38" s="345" t="s">
        <v>29</v>
      </c>
      <c r="G38" s="301"/>
      <c r="H38" s="301">
        <f t="shared" si="0"/>
        <v>4000000</v>
      </c>
      <c r="I38" s="345"/>
      <c r="J38" s="343" t="s">
        <v>277</v>
      </c>
      <c r="K38" s="317" t="s">
        <v>289</v>
      </c>
      <c r="L38" s="294" t="s">
        <v>288</v>
      </c>
      <c r="M38" s="294" t="s">
        <v>275</v>
      </c>
      <c r="N38" s="285"/>
    </row>
    <row r="39" spans="1:14" ht="22.5" customHeight="1">
      <c r="A39" s="296">
        <v>36</v>
      </c>
      <c r="B39" s="297" t="s">
        <v>17</v>
      </c>
      <c r="C39" s="304" t="s">
        <v>101</v>
      </c>
      <c r="D39" s="299">
        <v>16500000</v>
      </c>
      <c r="E39" s="299"/>
      <c r="F39" s="300" t="s">
        <v>29</v>
      </c>
      <c r="G39" s="299"/>
      <c r="H39" s="301">
        <f t="shared" si="0"/>
        <v>16500000</v>
      </c>
      <c r="I39" s="300"/>
      <c r="J39" s="313" t="s">
        <v>240</v>
      </c>
      <c r="K39" s="293" t="s">
        <v>83</v>
      </c>
      <c r="L39" s="294" t="s">
        <v>64</v>
      </c>
      <c r="M39" s="294" t="s">
        <v>17</v>
      </c>
    </row>
    <row r="40" spans="1:14" ht="31.5" customHeight="1">
      <c r="A40" s="296">
        <v>37</v>
      </c>
      <c r="B40" s="297" t="s">
        <v>146</v>
      </c>
      <c r="C40" s="297" t="s">
        <v>100</v>
      </c>
      <c r="D40" s="299">
        <v>5000000</v>
      </c>
      <c r="E40" s="299"/>
      <c r="F40" s="300" t="s">
        <v>24</v>
      </c>
      <c r="G40" s="299"/>
      <c r="H40" s="301">
        <f t="shared" si="0"/>
        <v>5000000</v>
      </c>
      <c r="I40" s="300"/>
      <c r="J40" s="318" t="s">
        <v>295</v>
      </c>
      <c r="K40" s="293" t="s">
        <v>152</v>
      </c>
      <c r="L40" s="294" t="s">
        <v>57</v>
      </c>
      <c r="M40" s="294" t="s">
        <v>146</v>
      </c>
    </row>
    <row r="41" spans="1:14" ht="36.75" customHeight="1">
      <c r="A41" s="296">
        <v>38</v>
      </c>
      <c r="B41" s="297" t="s">
        <v>179</v>
      </c>
      <c r="C41" s="298" t="s">
        <v>136</v>
      </c>
      <c r="D41" s="299">
        <v>6500000</v>
      </c>
      <c r="E41" s="299"/>
      <c r="F41" s="300" t="s">
        <v>24</v>
      </c>
      <c r="G41" s="299"/>
      <c r="H41" s="301">
        <f t="shared" si="0"/>
        <v>6500000</v>
      </c>
      <c r="I41" s="300"/>
      <c r="J41" s="313" t="s">
        <v>240</v>
      </c>
      <c r="K41" s="293" t="s">
        <v>216</v>
      </c>
      <c r="L41" s="294" t="s">
        <v>51</v>
      </c>
      <c r="M41" s="294" t="s">
        <v>179</v>
      </c>
    </row>
    <row r="42" spans="1:14" ht="36.75" customHeight="1">
      <c r="A42" s="296">
        <v>39</v>
      </c>
      <c r="B42" s="297" t="s">
        <v>192</v>
      </c>
      <c r="C42" s="298" t="s">
        <v>136</v>
      </c>
      <c r="D42" s="299">
        <v>8000000</v>
      </c>
      <c r="E42" s="299"/>
      <c r="F42" s="300" t="s">
        <v>24</v>
      </c>
      <c r="G42" s="299"/>
      <c r="H42" s="301">
        <f t="shared" si="0"/>
        <v>8000000</v>
      </c>
      <c r="I42" s="300"/>
      <c r="J42" s="313" t="s">
        <v>240</v>
      </c>
      <c r="K42" s="293" t="s">
        <v>220</v>
      </c>
      <c r="L42" s="294" t="s">
        <v>54</v>
      </c>
      <c r="M42" s="294" t="s">
        <v>221</v>
      </c>
    </row>
    <row r="43" spans="1:14" ht="36.75" customHeight="1">
      <c r="A43" s="296">
        <v>40</v>
      </c>
      <c r="B43" s="297" t="s">
        <v>193</v>
      </c>
      <c r="C43" s="298" t="s">
        <v>302</v>
      </c>
      <c r="D43" s="299">
        <v>6500000</v>
      </c>
      <c r="E43" s="299"/>
      <c r="F43" s="300" t="s">
        <v>24</v>
      </c>
      <c r="G43" s="299"/>
      <c r="H43" s="301">
        <f t="shared" si="0"/>
        <v>6500000</v>
      </c>
      <c r="I43" s="300"/>
      <c r="J43" s="313" t="s">
        <v>240</v>
      </c>
      <c r="K43" s="293" t="s">
        <v>213</v>
      </c>
      <c r="L43" s="294" t="s">
        <v>54</v>
      </c>
      <c r="M43" s="294" t="s">
        <v>193</v>
      </c>
    </row>
    <row r="44" spans="1:14" ht="36.75" customHeight="1">
      <c r="A44" s="296">
        <v>41</v>
      </c>
      <c r="B44" s="297" t="s">
        <v>194</v>
      </c>
      <c r="C44" s="298" t="s">
        <v>303</v>
      </c>
      <c r="D44" s="299">
        <v>6500000</v>
      </c>
      <c r="E44" s="299"/>
      <c r="F44" s="300" t="s">
        <v>24</v>
      </c>
      <c r="G44" s="299"/>
      <c r="H44" s="301">
        <f t="shared" si="0"/>
        <v>6500000</v>
      </c>
      <c r="I44" s="300"/>
      <c r="J44" s="313" t="s">
        <v>240</v>
      </c>
      <c r="K44" s="293" t="s">
        <v>232</v>
      </c>
      <c r="L44" s="294" t="s">
        <v>51</v>
      </c>
      <c r="M44" s="294" t="s">
        <v>194</v>
      </c>
    </row>
    <row r="45" spans="1:14" ht="36.75" customHeight="1">
      <c r="A45" s="296">
        <v>42</v>
      </c>
      <c r="B45" s="297" t="s">
        <v>298</v>
      </c>
      <c r="C45" s="298" t="s">
        <v>302</v>
      </c>
      <c r="D45" s="299">
        <v>6500000</v>
      </c>
      <c r="E45" s="299"/>
      <c r="F45" s="300" t="s">
        <v>24</v>
      </c>
      <c r="G45" s="299"/>
      <c r="H45" s="301">
        <f t="shared" si="0"/>
        <v>6500000</v>
      </c>
      <c r="I45" s="300"/>
      <c r="J45" s="313" t="s">
        <v>240</v>
      </c>
      <c r="K45" s="293" t="s">
        <v>214</v>
      </c>
      <c r="L45" s="294" t="s">
        <v>138</v>
      </c>
      <c r="M45" s="294" t="s">
        <v>215</v>
      </c>
    </row>
    <row r="46" spans="1:14" ht="36.75" customHeight="1">
      <c r="A46" s="296">
        <v>43</v>
      </c>
      <c r="B46" s="297" t="s">
        <v>219</v>
      </c>
      <c r="C46" s="298" t="s">
        <v>302</v>
      </c>
      <c r="D46" s="299">
        <v>6500000</v>
      </c>
      <c r="E46" s="299"/>
      <c r="F46" s="300" t="s">
        <v>24</v>
      </c>
      <c r="G46" s="299"/>
      <c r="H46" s="301">
        <f t="shared" si="0"/>
        <v>6500000</v>
      </c>
      <c r="I46" s="300"/>
      <c r="J46" s="313" t="s">
        <v>294</v>
      </c>
      <c r="K46" s="293" t="s">
        <v>217</v>
      </c>
      <c r="L46" s="294" t="s">
        <v>218</v>
      </c>
      <c r="M46" s="294" t="s">
        <v>219</v>
      </c>
      <c r="N46" s="299" t="s">
        <v>273</v>
      </c>
    </row>
    <row r="47" spans="1:14" ht="36.75" customHeight="1">
      <c r="A47" s="342">
        <v>44</v>
      </c>
      <c r="B47" s="343" t="s">
        <v>225</v>
      </c>
      <c r="C47" s="347" t="s">
        <v>302</v>
      </c>
      <c r="D47" s="301">
        <f>(6500000*0.85/30)*3+(6500000/30)*27</f>
        <v>6402500</v>
      </c>
      <c r="E47" s="301"/>
      <c r="F47" s="345" t="s">
        <v>24</v>
      </c>
      <c r="G47" s="301"/>
      <c r="H47" s="301">
        <f t="shared" si="0"/>
        <v>6402500</v>
      </c>
      <c r="I47" s="345"/>
      <c r="J47" s="349" t="s">
        <v>307</v>
      </c>
      <c r="K47" s="293" t="s">
        <v>248</v>
      </c>
      <c r="L47" s="319" t="s">
        <v>249</v>
      </c>
      <c r="M47" s="297" t="s">
        <v>225</v>
      </c>
      <c r="N47" s="299" t="s">
        <v>272</v>
      </c>
    </row>
    <row r="48" spans="1:14" ht="36.75" customHeight="1">
      <c r="A48" s="296">
        <v>45</v>
      </c>
      <c r="B48" s="297" t="s">
        <v>202</v>
      </c>
      <c r="C48" s="298" t="s">
        <v>304</v>
      </c>
      <c r="D48" s="311">
        <v>7000000</v>
      </c>
      <c r="E48" s="299"/>
      <c r="F48" s="300" t="s">
        <v>30</v>
      </c>
      <c r="G48" s="299"/>
      <c r="H48" s="301">
        <f t="shared" si="0"/>
        <v>7000000</v>
      </c>
      <c r="I48" s="300"/>
      <c r="J48" s="313" t="s">
        <v>240</v>
      </c>
      <c r="K48" s="293" t="s">
        <v>235</v>
      </c>
      <c r="L48" s="294" t="s">
        <v>64</v>
      </c>
      <c r="M48" s="294" t="s">
        <v>236</v>
      </c>
      <c r="N48" s="299"/>
    </row>
    <row r="49" spans="1:15" ht="36.75" customHeight="1">
      <c r="A49" s="296">
        <v>46</v>
      </c>
      <c r="B49" s="297" t="s">
        <v>296</v>
      </c>
      <c r="C49" s="298" t="s">
        <v>304</v>
      </c>
      <c r="D49" s="311">
        <v>7000000</v>
      </c>
      <c r="E49" s="299"/>
      <c r="F49" s="300" t="s">
        <v>30</v>
      </c>
      <c r="G49" s="299"/>
      <c r="H49" s="301">
        <f t="shared" si="0"/>
        <v>7000000</v>
      </c>
      <c r="I49" s="300"/>
      <c r="J49" s="313" t="s">
        <v>240</v>
      </c>
      <c r="K49" s="293" t="s">
        <v>244</v>
      </c>
      <c r="L49" s="294" t="s">
        <v>245</v>
      </c>
      <c r="M49" s="297" t="s">
        <v>205</v>
      </c>
      <c r="N49" s="299"/>
    </row>
    <row r="50" spans="1:15" ht="36.75" customHeight="1">
      <c r="A50" s="296">
        <v>47</v>
      </c>
      <c r="B50" s="297" t="s">
        <v>206</v>
      </c>
      <c r="C50" s="298" t="s">
        <v>304</v>
      </c>
      <c r="D50" s="299">
        <v>7000000</v>
      </c>
      <c r="E50" s="299"/>
      <c r="F50" s="300" t="s">
        <v>30</v>
      </c>
      <c r="G50" s="299"/>
      <c r="H50" s="301">
        <f t="shared" si="0"/>
        <v>7000000</v>
      </c>
      <c r="I50" s="300"/>
      <c r="J50" s="313" t="s">
        <v>240</v>
      </c>
      <c r="K50" s="293" t="s">
        <v>246</v>
      </c>
      <c r="L50" s="294" t="s">
        <v>64</v>
      </c>
      <c r="M50" s="297" t="s">
        <v>280</v>
      </c>
      <c r="N50" s="299"/>
    </row>
    <row r="51" spans="1:15" ht="48" customHeight="1">
      <c r="A51" s="296">
        <v>48</v>
      </c>
      <c r="B51" s="297" t="s">
        <v>208</v>
      </c>
      <c r="C51" s="298" t="s">
        <v>304</v>
      </c>
      <c r="D51" s="299">
        <v>7000000</v>
      </c>
      <c r="E51" s="299"/>
      <c r="F51" s="300" t="s">
        <v>30</v>
      </c>
      <c r="G51" s="299"/>
      <c r="H51" s="301">
        <f t="shared" si="0"/>
        <v>7000000</v>
      </c>
      <c r="I51" s="300"/>
      <c r="J51" s="313" t="s">
        <v>240</v>
      </c>
      <c r="K51" s="293" t="s">
        <v>234</v>
      </c>
      <c r="L51" s="294" t="s">
        <v>133</v>
      </c>
      <c r="M51" s="297" t="s">
        <v>208</v>
      </c>
      <c r="N51" s="299"/>
    </row>
    <row r="52" spans="1:15" ht="36.75" customHeight="1">
      <c r="A52" s="296">
        <v>49</v>
      </c>
      <c r="B52" s="297" t="s">
        <v>226</v>
      </c>
      <c r="C52" s="298" t="s">
        <v>304</v>
      </c>
      <c r="D52" s="299">
        <v>7000000</v>
      </c>
      <c r="E52" s="299"/>
      <c r="F52" s="300" t="s">
        <v>30</v>
      </c>
      <c r="G52" s="299"/>
      <c r="H52" s="301">
        <f t="shared" si="0"/>
        <v>7000000</v>
      </c>
      <c r="I52" s="300"/>
      <c r="J52" s="313" t="s">
        <v>290</v>
      </c>
      <c r="K52" s="293" t="s">
        <v>250</v>
      </c>
      <c r="L52" s="294" t="s">
        <v>133</v>
      </c>
      <c r="M52" s="297" t="s">
        <v>226</v>
      </c>
      <c r="N52" s="299"/>
    </row>
    <row r="53" spans="1:15" ht="62.25" customHeight="1">
      <c r="A53" s="296">
        <v>50</v>
      </c>
      <c r="B53" s="297" t="s">
        <v>291</v>
      </c>
      <c r="C53" s="297"/>
      <c r="D53" s="299">
        <f>3000000/30*6.5</f>
        <v>650000</v>
      </c>
      <c r="E53" s="299"/>
      <c r="F53" s="300" t="s">
        <v>30</v>
      </c>
      <c r="G53" s="299"/>
      <c r="H53" s="301">
        <f t="shared" si="0"/>
        <v>650000</v>
      </c>
      <c r="I53" s="300"/>
      <c r="J53" s="350" t="s">
        <v>305</v>
      </c>
      <c r="K53" s="482" t="s">
        <v>306</v>
      </c>
      <c r="L53" s="483"/>
      <c r="M53" s="297" t="str">
        <f>+B53</f>
        <v>Hoàng Thị thu trang</v>
      </c>
      <c r="N53" s="299" t="s">
        <v>274</v>
      </c>
    </row>
    <row r="54" spans="1:15" ht="36.75" customHeight="1">
      <c r="A54" s="296">
        <v>51</v>
      </c>
      <c r="B54" s="297" t="s">
        <v>257</v>
      </c>
      <c r="C54" s="348" t="s">
        <v>136</v>
      </c>
      <c r="D54" s="299">
        <v>6000000</v>
      </c>
      <c r="E54" s="299"/>
      <c r="F54" s="300" t="s">
        <v>30</v>
      </c>
      <c r="G54" s="299"/>
      <c r="H54" s="301">
        <f t="shared" si="0"/>
        <v>6000000</v>
      </c>
      <c r="I54" s="300"/>
      <c r="J54" s="303" t="s">
        <v>283</v>
      </c>
      <c r="K54" s="293"/>
      <c r="L54" s="294"/>
      <c r="M54" s="297" t="str">
        <f>+B54</f>
        <v>Chu Quang Hưng</v>
      </c>
      <c r="N54" s="299"/>
    </row>
    <row r="55" spans="1:15" ht="36.75" customHeight="1">
      <c r="A55" s="296">
        <v>52</v>
      </c>
      <c r="B55" s="297" t="s">
        <v>269</v>
      </c>
      <c r="C55" s="297" t="s">
        <v>304</v>
      </c>
      <c r="D55" s="299">
        <v>5950000</v>
      </c>
      <c r="E55" s="299"/>
      <c r="F55" s="300" t="s">
        <v>30</v>
      </c>
      <c r="G55" s="299"/>
      <c r="H55" s="301">
        <f t="shared" si="0"/>
        <v>5950000</v>
      </c>
      <c r="I55" s="300"/>
      <c r="J55" s="303" t="s">
        <v>313</v>
      </c>
      <c r="K55" s="293" t="s">
        <v>267</v>
      </c>
      <c r="L55" s="294" t="s">
        <v>268</v>
      </c>
      <c r="M55" s="297" t="s">
        <v>269</v>
      </c>
      <c r="N55" s="299" t="s">
        <v>316</v>
      </c>
    </row>
    <row r="56" spans="1:15" ht="36.75" customHeight="1">
      <c r="A56" s="296">
        <v>53</v>
      </c>
      <c r="B56" s="297" t="s">
        <v>284</v>
      </c>
      <c r="C56" s="348" t="s">
        <v>304</v>
      </c>
      <c r="D56" s="299">
        <f>85%*7000000</f>
        <v>5950000</v>
      </c>
      <c r="E56" s="299"/>
      <c r="F56" s="300" t="s">
        <v>30</v>
      </c>
      <c r="G56" s="299"/>
      <c r="H56" s="301">
        <f t="shared" si="0"/>
        <v>5950000</v>
      </c>
      <c r="I56" s="300"/>
      <c r="J56" s="303" t="s">
        <v>312</v>
      </c>
      <c r="K56" s="293"/>
      <c r="L56" s="294"/>
      <c r="M56" s="297" t="str">
        <f>+B56</f>
        <v>Phạm Văn Lĩnh</v>
      </c>
      <c r="N56" s="299"/>
    </row>
    <row r="57" spans="1:15" s="326" customFormat="1" ht="19.5" customHeight="1">
      <c r="A57" s="478" t="s">
        <v>299</v>
      </c>
      <c r="B57" s="479"/>
      <c r="C57" s="320"/>
      <c r="D57" s="321">
        <f>SUM(D4:D56)</f>
        <v>665289500</v>
      </c>
      <c r="E57" s="321">
        <f>SUM(E27:E56)</f>
        <v>500000</v>
      </c>
      <c r="F57" s="321">
        <f t="shared" ref="F57:G57" si="2">SUM(F4:F56)</f>
        <v>0</v>
      </c>
      <c r="G57" s="321">
        <f t="shared" si="2"/>
        <v>0</v>
      </c>
      <c r="H57" s="322">
        <f>SUM(H4:H56)</f>
        <v>665789500</v>
      </c>
      <c r="I57" s="323">
        <f>SUM(I4:I56)</f>
        <v>114317500</v>
      </c>
      <c r="J57" s="324"/>
      <c r="K57" s="325"/>
      <c r="L57" s="289"/>
      <c r="M57" s="289"/>
    </row>
    <row r="58" spans="1:15" s="326" customFormat="1" ht="19.5" customHeight="1">
      <c r="A58" s="327">
        <v>1</v>
      </c>
      <c r="B58" s="328" t="s">
        <v>297</v>
      </c>
      <c r="C58" s="329"/>
      <c r="D58" s="330">
        <f>+H57</f>
        <v>665789500</v>
      </c>
      <c r="E58" s="330"/>
      <c r="F58" s="330"/>
      <c r="G58" s="330"/>
      <c r="H58" s="330">
        <f>+H57+I57</f>
        <v>780107000</v>
      </c>
      <c r="I58" s="330"/>
      <c r="J58" s="331"/>
      <c r="K58" s="332"/>
      <c r="L58" s="333"/>
      <c r="M58" s="333"/>
    </row>
    <row r="59" spans="1:15" ht="21" customHeight="1">
      <c r="B59" s="285" t="s">
        <v>46</v>
      </c>
      <c r="D59" s="335">
        <f>+H10</f>
        <v>8000000</v>
      </c>
      <c r="E59" s="335"/>
      <c r="I59" s="336">
        <f>+H57-H53-H10</f>
        <v>657139500</v>
      </c>
      <c r="N59" s="362">
        <f>+H57-I59</f>
        <v>8650000</v>
      </c>
      <c r="O59" s="285" t="s">
        <v>317</v>
      </c>
    </row>
    <row r="60" spans="1:15" ht="21" customHeight="1">
      <c r="B60" s="285" t="s">
        <v>211</v>
      </c>
      <c r="D60" s="335">
        <f>+D58-D59</f>
        <v>657789500</v>
      </c>
      <c r="E60" s="335"/>
      <c r="F60" s="335"/>
      <c r="G60" s="335"/>
      <c r="H60" s="335"/>
      <c r="I60" s="335">
        <v>345545000</v>
      </c>
    </row>
    <row r="61" spans="1:15" ht="19.5" customHeight="1">
      <c r="B61" s="337" t="s">
        <v>22</v>
      </c>
      <c r="C61" s="338"/>
      <c r="D61" s="339">
        <f>SUMIF($F$4:$F$57,"idocNet",($H$4:$H$57))</f>
        <v>118275000</v>
      </c>
      <c r="E61" s="339"/>
      <c r="F61" s="340"/>
      <c r="G61" s="340"/>
      <c r="H61" s="340"/>
      <c r="I61" s="363">
        <f>+I59+I60</f>
        <v>1002684500</v>
      </c>
      <c r="J61" s="341"/>
    </row>
    <row r="62" spans="1:15" ht="19.5" customHeight="1">
      <c r="B62" s="337" t="s">
        <v>23</v>
      </c>
      <c r="C62" s="338"/>
      <c r="D62" s="339">
        <f>SUMIF($F$4:$F$57,"idocST",($H$4:$H$57))</f>
        <v>313854000</v>
      </c>
      <c r="E62" s="339"/>
      <c r="F62" s="340"/>
      <c r="G62" s="340"/>
      <c r="H62" s="340"/>
      <c r="I62" s="340">
        <v>996735000</v>
      </c>
      <c r="J62" s="341" t="s">
        <v>315</v>
      </c>
    </row>
    <row r="63" spans="1:15" ht="18.75" customHeight="1">
      <c r="B63" s="337" t="s">
        <v>24</v>
      </c>
      <c r="C63" s="338"/>
      <c r="D63" s="339">
        <f>SUMIF($F$4:$F$57,"Long Quang",($H$4:$H$57))</f>
        <v>233660500</v>
      </c>
      <c r="E63" s="339"/>
      <c r="F63" s="340"/>
      <c r="G63" s="340"/>
      <c r="H63" s="340"/>
      <c r="I63" s="340">
        <f>+I61-I62</f>
        <v>5949500</v>
      </c>
      <c r="J63" s="341" t="s">
        <v>314</v>
      </c>
    </row>
    <row r="64" spans="1:15" ht="22.5" customHeight="1">
      <c r="I64" s="364">
        <f>47740000-55000+955000000</f>
        <v>1002685000</v>
      </c>
      <c r="J64" s="341"/>
    </row>
    <row r="65" spans="2:10" ht="22.5" customHeight="1">
      <c r="B65" s="480" t="s">
        <v>309</v>
      </c>
      <c r="C65" s="480"/>
      <c r="E65" s="481" t="s">
        <v>310</v>
      </c>
      <c r="F65" s="481"/>
      <c r="H65" s="481" t="s">
        <v>311</v>
      </c>
      <c r="I65" s="481"/>
      <c r="J65" s="341"/>
    </row>
    <row r="66" spans="2:10" ht="22.5" customHeight="1">
      <c r="I66" s="362">
        <f>+I62-I60</f>
        <v>651190000</v>
      </c>
      <c r="J66" s="341"/>
    </row>
    <row r="67" spans="2:10" ht="22.5" customHeight="1">
      <c r="J67" s="341"/>
    </row>
    <row r="68" spans="2:10" ht="22.5" customHeight="1">
      <c r="J68" s="341"/>
    </row>
    <row r="69" spans="2:10" ht="22.5" customHeight="1">
      <c r="J69" s="341"/>
    </row>
    <row r="70" spans="2:10" ht="22.5" customHeight="1">
      <c r="J70" s="341"/>
    </row>
    <row r="71" spans="2:10" ht="22.5" customHeight="1">
      <c r="J71" s="341"/>
    </row>
    <row r="72" spans="2:10" ht="22.5" customHeight="1">
      <c r="J72" s="341"/>
    </row>
    <row r="73" spans="2:10" ht="22.5" customHeight="1">
      <c r="J73" s="341"/>
    </row>
    <row r="74" spans="2:10" ht="22.5" customHeight="1">
      <c r="J74" s="341"/>
    </row>
    <row r="75" spans="2:10" ht="22.5" customHeight="1">
      <c r="J75" s="341"/>
    </row>
    <row r="76" spans="2:10" ht="22.5" customHeight="1">
      <c r="J76" s="341"/>
    </row>
    <row r="77" spans="2:10" ht="22.5" customHeight="1">
      <c r="J77" s="341"/>
    </row>
  </sheetData>
  <autoFilter ref="A3:M77"/>
  <mergeCells count="7">
    <mergeCell ref="A1:J1"/>
    <mergeCell ref="A2:J2"/>
    <mergeCell ref="K53:L53"/>
    <mergeCell ref="A57:B57"/>
    <mergeCell ref="B65:C65"/>
    <mergeCell ref="E65:F65"/>
    <mergeCell ref="H65:I65"/>
  </mergeCells>
  <printOptions horizontalCentered="1"/>
  <pageMargins left="0.2" right="0" top="0.5" bottom="0.2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55" zoomScale="90" zoomScaleNormal="90" workbookViewId="0">
      <selection activeCell="D58" sqref="D58"/>
    </sheetView>
  </sheetViews>
  <sheetFormatPr defaultRowHeight="22.5" customHeight="1"/>
  <cols>
    <col min="1" max="1" width="4.28515625" style="1" customWidth="1"/>
    <col min="2" max="2" width="24.28515625" style="1" bestFit="1" customWidth="1"/>
    <col min="3" max="3" width="12" style="1" bestFit="1" customWidth="1"/>
    <col min="4" max="4" width="17.28515625" style="2" customWidth="1"/>
    <col min="5" max="5" width="12.140625" style="1" bestFit="1" customWidth="1"/>
    <col min="6" max="6" width="17.85546875" style="1" bestFit="1" customWidth="1"/>
    <col min="7" max="7" width="19.7109375" style="1" customWidth="1"/>
    <col min="8" max="8" width="2.140625" style="1" bestFit="1" customWidth="1"/>
    <col min="9" max="9" width="4.42578125" style="1" bestFit="1" customWidth="1"/>
    <col min="10" max="10" width="23.7109375" style="154" bestFit="1" customWidth="1"/>
    <col min="11" max="11" width="18.42578125" style="155" bestFit="1" customWidth="1"/>
    <col min="12" max="12" width="24.28515625" style="155" bestFit="1" customWidth="1"/>
    <col min="13" max="13" width="9.140625" style="1" customWidth="1"/>
    <col min="14" max="16384" width="9.140625" style="1"/>
  </cols>
  <sheetData>
    <row r="1" spans="1:12" ht="22.5" customHeight="1">
      <c r="A1" s="460" t="s">
        <v>14</v>
      </c>
      <c r="B1" s="460"/>
      <c r="C1" s="460"/>
      <c r="D1" s="460"/>
      <c r="E1" s="460"/>
      <c r="F1" s="460"/>
      <c r="G1" s="460"/>
      <c r="H1" s="226"/>
    </row>
    <row r="2" spans="1:12" ht="22.5" customHeight="1">
      <c r="A2" s="467" t="s">
        <v>171</v>
      </c>
      <c r="B2" s="467"/>
      <c r="C2" s="467"/>
      <c r="D2" s="467"/>
      <c r="E2" s="467"/>
      <c r="F2" s="467"/>
      <c r="G2" s="467"/>
      <c r="H2" s="228"/>
    </row>
    <row r="3" spans="1:12" s="26" customFormat="1" ht="33" customHeight="1">
      <c r="A3" s="23" t="s">
        <v>20</v>
      </c>
      <c r="B3" s="23" t="s">
        <v>13</v>
      </c>
      <c r="C3" s="61" t="s">
        <v>90</v>
      </c>
      <c r="D3" s="52" t="s">
        <v>118</v>
      </c>
      <c r="E3" s="25" t="s">
        <v>91</v>
      </c>
      <c r="F3" s="25" t="s">
        <v>252</v>
      </c>
      <c r="G3" s="25" t="s">
        <v>92</v>
      </c>
      <c r="H3" s="25"/>
      <c r="I3" s="167"/>
      <c r="J3" s="240" t="s">
        <v>47</v>
      </c>
      <c r="K3" s="241" t="s">
        <v>48</v>
      </c>
      <c r="L3" s="241" t="s">
        <v>49</v>
      </c>
    </row>
    <row r="4" spans="1:12" ht="24" customHeight="1">
      <c r="A4" s="164">
        <v>1</v>
      </c>
      <c r="B4" s="165" t="s">
        <v>11</v>
      </c>
      <c r="C4" s="242"/>
      <c r="D4" s="166">
        <v>45178000</v>
      </c>
      <c r="E4" s="167" t="s">
        <v>24</v>
      </c>
      <c r="F4" s="260">
        <f>D4/2</f>
        <v>22589000</v>
      </c>
      <c r="G4" s="168"/>
      <c r="H4" s="168">
        <v>1</v>
      </c>
      <c r="I4" s="243"/>
      <c r="J4" s="240" t="s">
        <v>50</v>
      </c>
      <c r="K4" s="241" t="s">
        <v>51</v>
      </c>
      <c r="L4" s="241" t="s">
        <v>52</v>
      </c>
    </row>
    <row r="5" spans="1:12" ht="24" customHeight="1">
      <c r="A5" s="164">
        <v>2</v>
      </c>
      <c r="B5" s="165" t="s">
        <v>8</v>
      </c>
      <c r="C5" s="242"/>
      <c r="D5" s="166">
        <v>42960000</v>
      </c>
      <c r="E5" s="167" t="s">
        <v>29</v>
      </c>
      <c r="F5" s="260">
        <f t="shared" ref="F5:F7" si="0">D5/2</f>
        <v>21480000</v>
      </c>
      <c r="G5" s="168"/>
      <c r="H5" s="168">
        <v>1</v>
      </c>
      <c r="I5" s="243"/>
      <c r="J5" s="240" t="s">
        <v>84</v>
      </c>
      <c r="K5" s="241" t="s">
        <v>56</v>
      </c>
      <c r="L5" s="241" t="s">
        <v>8</v>
      </c>
    </row>
    <row r="6" spans="1:12" ht="24" customHeight="1">
      <c r="A6" s="164">
        <v>3</v>
      </c>
      <c r="B6" s="165" t="s">
        <v>7</v>
      </c>
      <c r="C6" s="242" t="s">
        <v>102</v>
      </c>
      <c r="D6" s="166">
        <v>20913000</v>
      </c>
      <c r="E6" s="167" t="s">
        <v>29</v>
      </c>
      <c r="F6" s="260">
        <f t="shared" si="0"/>
        <v>10456500</v>
      </c>
      <c r="G6" s="243"/>
      <c r="H6" s="243">
        <v>1</v>
      </c>
      <c r="I6" s="243"/>
      <c r="J6" s="240" t="s">
        <v>89</v>
      </c>
      <c r="K6" s="241" t="s">
        <v>51</v>
      </c>
      <c r="L6" s="241" t="s">
        <v>7</v>
      </c>
    </row>
    <row r="7" spans="1:12" ht="24" customHeight="1">
      <c r="A7" s="164">
        <v>4</v>
      </c>
      <c r="B7" s="165" t="s">
        <v>10</v>
      </c>
      <c r="C7" s="242" t="s">
        <v>93</v>
      </c>
      <c r="D7" s="166">
        <v>28753000</v>
      </c>
      <c r="E7" s="167" t="s">
        <v>24</v>
      </c>
      <c r="F7" s="260">
        <f t="shared" si="0"/>
        <v>14376500</v>
      </c>
      <c r="G7" s="243"/>
      <c r="H7" s="243">
        <v>1</v>
      </c>
      <c r="I7" s="243"/>
      <c r="J7" s="240" t="s">
        <v>188</v>
      </c>
      <c r="K7" s="241" t="s">
        <v>56</v>
      </c>
      <c r="L7" s="241" t="s">
        <v>10</v>
      </c>
    </row>
    <row r="8" spans="1:12" ht="24" customHeight="1">
      <c r="A8" s="164">
        <v>5</v>
      </c>
      <c r="B8" s="165" t="s">
        <v>161</v>
      </c>
      <c r="C8" s="242" t="s">
        <v>93</v>
      </c>
      <c r="D8" s="166">
        <v>12000000</v>
      </c>
      <c r="E8" s="167" t="s">
        <v>29</v>
      </c>
      <c r="F8" s="167"/>
      <c r="G8" s="243"/>
      <c r="H8" s="243"/>
      <c r="I8" s="243"/>
      <c r="J8" s="240" t="s">
        <v>80</v>
      </c>
      <c r="K8" s="241" t="s">
        <v>51</v>
      </c>
      <c r="L8" s="241" t="s">
        <v>4</v>
      </c>
    </row>
    <row r="9" spans="1:12" ht="24" customHeight="1">
      <c r="A9" s="164">
        <v>7</v>
      </c>
      <c r="B9" s="165" t="s">
        <v>33</v>
      </c>
      <c r="C9" s="242" t="s">
        <v>93</v>
      </c>
      <c r="D9" s="166">
        <v>10800000</v>
      </c>
      <c r="E9" s="167" t="s">
        <v>24</v>
      </c>
      <c r="F9" s="167"/>
      <c r="G9" s="243"/>
      <c r="H9" s="243"/>
      <c r="I9" s="243"/>
      <c r="J9" s="240" t="s">
        <v>65</v>
      </c>
      <c r="K9" s="241" t="s">
        <v>64</v>
      </c>
      <c r="L9" s="241" t="s">
        <v>33</v>
      </c>
    </row>
    <row r="10" spans="1:12" ht="24" customHeight="1">
      <c r="A10" s="235">
        <v>8</v>
      </c>
      <c r="B10" s="236" t="s">
        <v>134</v>
      </c>
      <c r="C10" s="237" t="s">
        <v>93</v>
      </c>
      <c r="D10" s="238">
        <v>8000000</v>
      </c>
      <c r="E10" s="239" t="s">
        <v>24</v>
      </c>
      <c r="F10" s="259">
        <f>D10/2</f>
        <v>4000000</v>
      </c>
      <c r="I10" s="1" t="s">
        <v>46</v>
      </c>
    </row>
    <row r="11" spans="1:12" ht="24" customHeight="1">
      <c r="A11" s="164">
        <v>9</v>
      </c>
      <c r="B11" s="165" t="s">
        <v>28</v>
      </c>
      <c r="C11" s="242" t="s">
        <v>93</v>
      </c>
      <c r="D11" s="166">
        <v>14000000</v>
      </c>
      <c r="E11" s="167" t="s">
        <v>30</v>
      </c>
      <c r="F11" s="167"/>
      <c r="G11" s="243"/>
      <c r="H11" s="243"/>
      <c r="I11" s="243"/>
      <c r="J11" s="240" t="s">
        <v>70</v>
      </c>
      <c r="K11" s="241" t="s">
        <v>51</v>
      </c>
      <c r="L11" s="241" t="s">
        <v>28</v>
      </c>
    </row>
    <row r="12" spans="1:12" ht="24" customHeight="1">
      <c r="A12" s="164">
        <v>10</v>
      </c>
      <c r="B12" s="165" t="s">
        <v>42</v>
      </c>
      <c r="C12" s="242" t="s">
        <v>93</v>
      </c>
      <c r="D12" s="166">
        <v>10000000</v>
      </c>
      <c r="E12" s="167" t="s">
        <v>24</v>
      </c>
      <c r="F12" s="167"/>
      <c r="G12" s="243"/>
      <c r="H12" s="243"/>
      <c r="I12" s="243"/>
      <c r="J12" s="240" t="s">
        <v>123</v>
      </c>
      <c r="K12" s="241" t="s">
        <v>64</v>
      </c>
      <c r="L12" s="241" t="s">
        <v>42</v>
      </c>
    </row>
    <row r="13" spans="1:12" ht="24" customHeight="1">
      <c r="A13" s="164">
        <v>13</v>
      </c>
      <c r="B13" s="165" t="s">
        <v>31</v>
      </c>
      <c r="C13" s="242" t="s">
        <v>94</v>
      </c>
      <c r="D13" s="166">
        <v>29027000</v>
      </c>
      <c r="E13" s="167" t="s">
        <v>24</v>
      </c>
      <c r="F13" s="260">
        <f>D13/2</f>
        <v>14513500</v>
      </c>
      <c r="G13" s="243"/>
      <c r="H13" s="243">
        <v>1</v>
      </c>
      <c r="I13" s="243"/>
      <c r="J13" s="240" t="s">
        <v>88</v>
      </c>
      <c r="K13" s="241" t="s">
        <v>60</v>
      </c>
      <c r="L13" s="241" t="s">
        <v>31</v>
      </c>
    </row>
    <row r="14" spans="1:12" ht="24" customHeight="1">
      <c r="A14" s="164">
        <v>14</v>
      </c>
      <c r="B14" s="165" t="s">
        <v>3</v>
      </c>
      <c r="C14" s="242" t="s">
        <v>94</v>
      </c>
      <c r="D14" s="166">
        <v>14000000</v>
      </c>
      <c r="E14" s="167" t="s">
        <v>24</v>
      </c>
      <c r="F14" s="167"/>
      <c r="G14" s="243" t="s">
        <v>237</v>
      </c>
      <c r="H14" s="243"/>
      <c r="I14" s="243"/>
      <c r="J14" s="240" t="s">
        <v>189</v>
      </c>
      <c r="K14" s="241" t="s">
        <v>63</v>
      </c>
      <c r="L14" s="241" t="s">
        <v>190</v>
      </c>
    </row>
    <row r="15" spans="1:12" ht="24" customHeight="1">
      <c r="A15" s="164">
        <v>16</v>
      </c>
      <c r="B15" s="165" t="s">
        <v>37</v>
      </c>
      <c r="C15" s="242" t="s">
        <v>94</v>
      </c>
      <c r="D15" s="166">
        <v>8000000</v>
      </c>
      <c r="E15" s="167" t="s">
        <v>30</v>
      </c>
      <c r="F15" s="167"/>
      <c r="G15" s="243"/>
      <c r="H15" s="243"/>
      <c r="I15" s="243"/>
      <c r="J15" s="240" t="s">
        <v>62</v>
      </c>
      <c r="K15" s="241" t="s">
        <v>51</v>
      </c>
      <c r="L15" s="241" t="s">
        <v>37</v>
      </c>
    </row>
    <row r="16" spans="1:12" ht="24" customHeight="1">
      <c r="A16" s="164">
        <v>17</v>
      </c>
      <c r="B16" s="165" t="s">
        <v>38</v>
      </c>
      <c r="C16" s="242" t="s">
        <v>94</v>
      </c>
      <c r="D16" s="166">
        <v>8000000</v>
      </c>
      <c r="E16" s="167" t="s">
        <v>30</v>
      </c>
      <c r="F16" s="167"/>
      <c r="G16" s="243"/>
      <c r="H16" s="243"/>
      <c r="I16" s="243"/>
      <c r="J16" s="240" t="s">
        <v>61</v>
      </c>
      <c r="K16" s="241" t="s">
        <v>54</v>
      </c>
      <c r="L16" s="241" t="s">
        <v>38</v>
      </c>
    </row>
    <row r="17" spans="1:12" ht="24" customHeight="1">
      <c r="A17" s="244">
        <v>18</v>
      </c>
      <c r="B17" s="229" t="s">
        <v>105</v>
      </c>
      <c r="C17" s="245" t="s">
        <v>94</v>
      </c>
      <c r="D17" s="181">
        <v>10000000</v>
      </c>
      <c r="E17" s="232" t="s">
        <v>30</v>
      </c>
      <c r="F17" s="232"/>
      <c r="G17" s="246" t="s">
        <v>241</v>
      </c>
      <c r="H17" s="243"/>
      <c r="I17" s="243"/>
      <c r="J17" s="240" t="s">
        <v>67</v>
      </c>
      <c r="K17" s="241" t="s">
        <v>64</v>
      </c>
      <c r="L17" s="241" t="s">
        <v>1</v>
      </c>
    </row>
    <row r="18" spans="1:12" ht="24" customHeight="1">
      <c r="A18" s="164">
        <v>19</v>
      </c>
      <c r="B18" s="165" t="s">
        <v>40</v>
      </c>
      <c r="C18" s="242" t="s">
        <v>94</v>
      </c>
      <c r="D18" s="166">
        <v>8000000</v>
      </c>
      <c r="E18" s="167" t="s">
        <v>30</v>
      </c>
      <c r="F18" s="167"/>
      <c r="G18" s="243"/>
      <c r="H18" s="243"/>
      <c r="I18" s="243"/>
      <c r="J18" s="240" t="s">
        <v>145</v>
      </c>
      <c r="K18" s="241" t="s">
        <v>57</v>
      </c>
      <c r="L18" s="241" t="s">
        <v>40</v>
      </c>
    </row>
    <row r="19" spans="1:12" ht="25.5" customHeight="1">
      <c r="A19" s="164">
        <v>20</v>
      </c>
      <c r="B19" s="165" t="s">
        <v>41</v>
      </c>
      <c r="C19" s="242" t="s">
        <v>94</v>
      </c>
      <c r="D19" s="166">
        <v>10000000</v>
      </c>
      <c r="E19" s="167" t="s">
        <v>30</v>
      </c>
      <c r="F19" s="167"/>
      <c r="G19" s="243"/>
      <c r="H19" s="243"/>
      <c r="I19" s="243"/>
      <c r="J19" s="240" t="s">
        <v>58</v>
      </c>
      <c r="K19" s="241" t="s">
        <v>56</v>
      </c>
      <c r="L19" s="241" t="s">
        <v>41</v>
      </c>
    </row>
    <row r="20" spans="1:12" ht="22.5" customHeight="1">
      <c r="A20" s="164">
        <v>22</v>
      </c>
      <c r="B20" s="165" t="s">
        <v>127</v>
      </c>
      <c r="C20" s="242" t="s">
        <v>94</v>
      </c>
      <c r="D20" s="166">
        <v>8000000</v>
      </c>
      <c r="E20" s="167" t="s">
        <v>30</v>
      </c>
      <c r="F20" s="167"/>
      <c r="G20" s="243"/>
      <c r="H20" s="243"/>
      <c r="I20" s="243"/>
      <c r="J20" s="240" t="s">
        <v>131</v>
      </c>
      <c r="K20" s="241" t="s">
        <v>56</v>
      </c>
      <c r="L20" s="241" t="s">
        <v>127</v>
      </c>
    </row>
    <row r="21" spans="1:12" ht="22.5" customHeight="1">
      <c r="A21" s="164">
        <v>24</v>
      </c>
      <c r="B21" s="165" t="s">
        <v>9</v>
      </c>
      <c r="C21" s="242" t="s">
        <v>95</v>
      </c>
      <c r="D21" s="166">
        <v>35126000</v>
      </c>
      <c r="E21" s="167" t="s">
        <v>30</v>
      </c>
      <c r="F21" s="260">
        <f>D21/2</f>
        <v>17563000</v>
      </c>
      <c r="G21" s="243"/>
      <c r="H21" s="243">
        <v>1</v>
      </c>
      <c r="I21" s="243"/>
      <c r="J21" s="240" t="s">
        <v>53</v>
      </c>
      <c r="K21" s="241" t="s">
        <v>51</v>
      </c>
      <c r="L21" s="241" t="s">
        <v>9</v>
      </c>
    </row>
    <row r="22" spans="1:12" ht="22.5" customHeight="1">
      <c r="A22" s="164">
        <v>25</v>
      </c>
      <c r="B22" s="165" t="s">
        <v>112</v>
      </c>
      <c r="C22" s="242" t="s">
        <v>95</v>
      </c>
      <c r="D22" s="166">
        <v>19000000</v>
      </c>
      <c r="E22" s="167" t="s">
        <v>30</v>
      </c>
      <c r="F22" s="167"/>
      <c r="G22" s="243"/>
      <c r="H22" s="243"/>
      <c r="I22" s="243"/>
      <c r="J22" s="240" t="s">
        <v>77</v>
      </c>
      <c r="K22" s="241" t="s">
        <v>56</v>
      </c>
      <c r="L22" s="241" t="s">
        <v>16</v>
      </c>
    </row>
    <row r="23" spans="1:12" ht="22.5" customHeight="1">
      <c r="A23" s="164">
        <v>26</v>
      </c>
      <c r="B23" s="165" t="s">
        <v>26</v>
      </c>
      <c r="C23" s="242" t="s">
        <v>95</v>
      </c>
      <c r="D23" s="166">
        <v>19000000</v>
      </c>
      <c r="E23" s="167" t="s">
        <v>30</v>
      </c>
      <c r="F23" s="167"/>
      <c r="G23" s="243"/>
      <c r="H23" s="243"/>
      <c r="I23" s="243"/>
      <c r="J23" s="240" t="s">
        <v>72</v>
      </c>
      <c r="K23" s="241" t="s">
        <v>54</v>
      </c>
      <c r="L23" s="241" t="s">
        <v>26</v>
      </c>
    </row>
    <row r="24" spans="1:12" ht="22.5" customHeight="1">
      <c r="A24" s="164">
        <v>27</v>
      </c>
      <c r="B24" s="165" t="s">
        <v>32</v>
      </c>
      <c r="C24" s="242" t="s">
        <v>95</v>
      </c>
      <c r="D24" s="166">
        <v>12000000</v>
      </c>
      <c r="E24" s="167" t="s">
        <v>30</v>
      </c>
      <c r="F24" s="167"/>
      <c r="G24" s="243"/>
      <c r="H24" s="243"/>
      <c r="I24" s="243"/>
      <c r="J24" s="240" t="s">
        <v>68</v>
      </c>
      <c r="K24" s="241" t="s">
        <v>56</v>
      </c>
      <c r="L24" s="241" t="s">
        <v>32</v>
      </c>
    </row>
    <row r="25" spans="1:12" ht="22.5" customHeight="1">
      <c r="A25" s="164">
        <v>28</v>
      </c>
      <c r="B25" s="165" t="s">
        <v>39</v>
      </c>
      <c r="C25" s="242" t="s">
        <v>95</v>
      </c>
      <c r="D25" s="166">
        <v>12000000</v>
      </c>
      <c r="E25" s="167" t="s">
        <v>24</v>
      </c>
      <c r="F25" s="167"/>
      <c r="G25" s="243"/>
      <c r="H25" s="243"/>
      <c r="I25" s="243"/>
      <c r="J25" s="240" t="s">
        <v>59</v>
      </c>
      <c r="K25" s="241" t="s">
        <v>60</v>
      </c>
      <c r="L25" s="241" t="s">
        <v>39</v>
      </c>
    </row>
    <row r="26" spans="1:12" ht="22.5" customHeight="1">
      <c r="A26" s="164">
        <v>29</v>
      </c>
      <c r="B26" s="165" t="s">
        <v>44</v>
      </c>
      <c r="C26" s="242" t="s">
        <v>95</v>
      </c>
      <c r="D26" s="166">
        <v>12000000</v>
      </c>
      <c r="E26" s="167" t="s">
        <v>30</v>
      </c>
      <c r="F26" s="167"/>
      <c r="G26" s="167"/>
      <c r="H26" s="167"/>
      <c r="I26" s="243"/>
      <c r="J26" s="240" t="s">
        <v>55</v>
      </c>
      <c r="K26" s="241" t="s">
        <v>56</v>
      </c>
      <c r="L26" s="241" t="s">
        <v>44</v>
      </c>
    </row>
    <row r="27" spans="1:12" ht="27" customHeight="1">
      <c r="A27" s="244">
        <v>30</v>
      </c>
      <c r="B27" s="229" t="s">
        <v>103</v>
      </c>
      <c r="C27" s="230" t="s">
        <v>95</v>
      </c>
      <c r="D27" s="181">
        <f>7000000</f>
        <v>7000000</v>
      </c>
      <c r="E27" s="232" t="s">
        <v>30</v>
      </c>
      <c r="F27" s="232"/>
      <c r="G27" s="247" t="s">
        <v>241</v>
      </c>
      <c r="H27" s="248"/>
      <c r="I27" s="243"/>
      <c r="J27" s="240" t="s">
        <v>104</v>
      </c>
      <c r="K27" s="241" t="s">
        <v>74</v>
      </c>
      <c r="L27" s="241" t="s">
        <v>144</v>
      </c>
    </row>
    <row r="28" spans="1:12" ht="27" customHeight="1">
      <c r="A28" s="164">
        <v>31</v>
      </c>
      <c r="B28" s="165" t="s">
        <v>128</v>
      </c>
      <c r="C28" s="176" t="s">
        <v>95</v>
      </c>
      <c r="D28" s="166">
        <v>9000000</v>
      </c>
      <c r="E28" s="167" t="s">
        <v>24</v>
      </c>
      <c r="F28" s="167"/>
      <c r="G28" s="248" t="s">
        <v>210</v>
      </c>
      <c r="H28" s="248"/>
      <c r="I28" s="243"/>
      <c r="J28" s="240" t="s">
        <v>139</v>
      </c>
      <c r="K28" s="241" t="s">
        <v>138</v>
      </c>
      <c r="L28" s="241" t="s">
        <v>140</v>
      </c>
    </row>
    <row r="29" spans="1:12" ht="32.25" customHeight="1">
      <c r="A29" s="164">
        <v>32</v>
      </c>
      <c r="B29" s="165" t="s">
        <v>121</v>
      </c>
      <c r="C29" s="242" t="s">
        <v>96</v>
      </c>
      <c r="D29" s="166">
        <f>26678000+500000</f>
        <v>27178000</v>
      </c>
      <c r="E29" s="167" t="s">
        <v>30</v>
      </c>
      <c r="F29" s="260">
        <f>D29/2</f>
        <v>13589000</v>
      </c>
      <c r="G29" s="168" t="s">
        <v>169</v>
      </c>
      <c r="H29" s="168">
        <v>1</v>
      </c>
      <c r="I29" s="243"/>
      <c r="J29" s="240" t="s">
        <v>86</v>
      </c>
      <c r="K29" s="241" t="s">
        <v>60</v>
      </c>
      <c r="L29" s="241" t="s">
        <v>85</v>
      </c>
    </row>
    <row r="30" spans="1:12" ht="22.5" customHeight="1">
      <c r="A30" s="164">
        <v>33</v>
      </c>
      <c r="B30" s="165" t="s">
        <v>120</v>
      </c>
      <c r="C30" s="242" t="s">
        <v>96</v>
      </c>
      <c r="D30" s="166">
        <f>16000000+8000000</f>
        <v>24000000</v>
      </c>
      <c r="E30" s="167" t="s">
        <v>30</v>
      </c>
      <c r="F30" s="167"/>
      <c r="G30" s="167"/>
      <c r="H30" s="167"/>
      <c r="I30" s="243"/>
      <c r="J30" s="240" t="s">
        <v>81</v>
      </c>
      <c r="K30" s="241" t="s">
        <v>60</v>
      </c>
      <c r="L30" s="241" t="s">
        <v>5</v>
      </c>
    </row>
    <row r="31" spans="1:12" ht="22.5" customHeight="1">
      <c r="A31" s="164">
        <v>34</v>
      </c>
      <c r="B31" s="165" t="s">
        <v>43</v>
      </c>
      <c r="C31" s="242" t="s">
        <v>96</v>
      </c>
      <c r="D31" s="166">
        <v>12000000</v>
      </c>
      <c r="E31" s="167" t="s">
        <v>30</v>
      </c>
      <c r="F31" s="167"/>
      <c r="G31" s="167"/>
      <c r="H31" s="167"/>
      <c r="I31" s="243"/>
      <c r="J31" s="240" t="s">
        <v>162</v>
      </c>
      <c r="K31" s="241" t="s">
        <v>63</v>
      </c>
      <c r="L31" s="241" t="s">
        <v>43</v>
      </c>
    </row>
    <row r="32" spans="1:12" ht="27" customHeight="1">
      <c r="A32" s="164">
        <v>35</v>
      </c>
      <c r="B32" s="165" t="s">
        <v>129</v>
      </c>
      <c r="C32" s="176" t="s">
        <v>96</v>
      </c>
      <c r="D32" s="201">
        <v>8000000</v>
      </c>
      <c r="E32" s="167" t="s">
        <v>30</v>
      </c>
      <c r="F32" s="167"/>
      <c r="G32" s="248" t="s">
        <v>240</v>
      </c>
      <c r="H32" s="248"/>
      <c r="I32" s="243"/>
      <c r="J32" s="240" t="s">
        <v>165</v>
      </c>
      <c r="K32" s="241" t="s">
        <v>56</v>
      </c>
      <c r="L32" s="241" t="s">
        <v>129</v>
      </c>
    </row>
    <row r="33" spans="1:12" ht="27" customHeight="1">
      <c r="A33" s="164">
        <v>36</v>
      </c>
      <c r="B33" s="165" t="s">
        <v>148</v>
      </c>
      <c r="C33" s="176" t="s">
        <v>96</v>
      </c>
      <c r="D33" s="201">
        <v>7200000</v>
      </c>
      <c r="E33" s="167" t="s">
        <v>30</v>
      </c>
      <c r="F33" s="167"/>
      <c r="G33" s="248" t="s">
        <v>185</v>
      </c>
      <c r="H33" s="248"/>
      <c r="I33" s="243"/>
      <c r="J33" s="240" t="s">
        <v>158</v>
      </c>
      <c r="K33" s="241" t="s">
        <v>57</v>
      </c>
      <c r="L33" s="241" t="s">
        <v>148</v>
      </c>
    </row>
    <row r="34" spans="1:12" ht="29.25" customHeight="1">
      <c r="A34" s="164">
        <v>39</v>
      </c>
      <c r="B34" s="165" t="s">
        <v>36</v>
      </c>
      <c r="C34" s="242" t="s">
        <v>98</v>
      </c>
      <c r="D34" s="166">
        <v>10000000</v>
      </c>
      <c r="E34" s="167" t="s">
        <v>30</v>
      </c>
      <c r="F34" s="167"/>
      <c r="G34" s="167"/>
      <c r="H34" s="167"/>
      <c r="I34" s="243"/>
      <c r="J34" s="240" t="s">
        <v>66</v>
      </c>
      <c r="K34" s="241" t="s">
        <v>51</v>
      </c>
      <c r="L34" s="241" t="s">
        <v>36</v>
      </c>
    </row>
    <row r="35" spans="1:12" s="19" customFormat="1" ht="41.25" customHeight="1">
      <c r="A35" s="249">
        <v>40</v>
      </c>
      <c r="B35" s="250" t="s">
        <v>150</v>
      </c>
      <c r="C35" s="251" t="s">
        <v>98</v>
      </c>
      <c r="D35" s="252">
        <v>7000000</v>
      </c>
      <c r="E35" s="253" t="s">
        <v>30</v>
      </c>
      <c r="F35" s="253"/>
      <c r="G35" s="254" t="s">
        <v>240</v>
      </c>
      <c r="H35" s="254"/>
      <c r="I35" s="243"/>
      <c r="J35" s="255" t="s">
        <v>159</v>
      </c>
      <c r="K35" s="256" t="s">
        <v>160</v>
      </c>
      <c r="L35" s="256" t="s">
        <v>150</v>
      </c>
    </row>
    <row r="36" spans="1:12" ht="41.25" customHeight="1">
      <c r="A36" s="164">
        <v>41</v>
      </c>
      <c r="B36" s="165" t="s">
        <v>166</v>
      </c>
      <c r="C36" s="176" t="s">
        <v>98</v>
      </c>
      <c r="D36" s="201">
        <v>9000000</v>
      </c>
      <c r="E36" s="167" t="s">
        <v>30</v>
      </c>
      <c r="F36" s="167"/>
      <c r="G36" s="254" t="s">
        <v>240</v>
      </c>
      <c r="H36" s="248"/>
      <c r="I36" s="257"/>
      <c r="J36" s="240" t="s">
        <v>172</v>
      </c>
      <c r="K36" s="241" t="s">
        <v>63</v>
      </c>
      <c r="L36" s="241" t="s">
        <v>166</v>
      </c>
    </row>
    <row r="37" spans="1:12" ht="22.5" customHeight="1">
      <c r="A37" s="164">
        <v>42</v>
      </c>
      <c r="B37" s="165" t="s">
        <v>25</v>
      </c>
      <c r="C37" s="242" t="s">
        <v>99</v>
      </c>
      <c r="D37" s="166">
        <v>12000000</v>
      </c>
      <c r="E37" s="167" t="s">
        <v>30</v>
      </c>
      <c r="F37" s="167"/>
      <c r="G37" s="167"/>
      <c r="H37" s="167"/>
      <c r="I37" s="243"/>
      <c r="J37" s="240" t="s">
        <v>79</v>
      </c>
      <c r="K37" s="241" t="s">
        <v>63</v>
      </c>
      <c r="L37" s="241" t="s">
        <v>78</v>
      </c>
    </row>
    <row r="38" spans="1:12" ht="22.5" customHeight="1">
      <c r="A38" s="164">
        <v>43</v>
      </c>
      <c r="B38" s="165" t="s">
        <v>6</v>
      </c>
      <c r="C38" s="242" t="s">
        <v>100</v>
      </c>
      <c r="D38" s="166">
        <v>15000000</v>
      </c>
      <c r="E38" s="167" t="s">
        <v>24</v>
      </c>
      <c r="F38" s="167"/>
      <c r="G38" s="167"/>
      <c r="H38" s="167"/>
      <c r="I38" s="243"/>
      <c r="J38" s="240" t="s">
        <v>82</v>
      </c>
      <c r="K38" s="241" t="s">
        <v>51</v>
      </c>
      <c r="L38" s="241" t="s">
        <v>6</v>
      </c>
    </row>
    <row r="39" spans="1:12" ht="22.5" customHeight="1">
      <c r="A39" s="164">
        <v>44</v>
      </c>
      <c r="B39" s="165" t="s">
        <v>45</v>
      </c>
      <c r="C39" s="242" t="s">
        <v>97</v>
      </c>
      <c r="D39" s="166">
        <v>13902000</v>
      </c>
      <c r="E39" s="167" t="s">
        <v>29</v>
      </c>
      <c r="F39" s="167"/>
      <c r="G39" s="167"/>
      <c r="H39" s="167"/>
      <c r="I39" s="243"/>
      <c r="J39" s="240"/>
      <c r="K39" s="241"/>
      <c r="L39" s="241" t="s">
        <v>45</v>
      </c>
    </row>
    <row r="40" spans="1:12" ht="22.5" customHeight="1">
      <c r="A40" s="164">
        <v>46</v>
      </c>
      <c r="B40" s="165" t="s">
        <v>35</v>
      </c>
      <c r="C40" s="242" t="s">
        <v>97</v>
      </c>
      <c r="D40" s="166">
        <v>8000000</v>
      </c>
      <c r="E40" s="167" t="s">
        <v>29</v>
      </c>
      <c r="F40" s="167"/>
      <c r="G40" s="167"/>
      <c r="H40" s="167"/>
      <c r="I40" s="243"/>
      <c r="J40" s="240" t="s">
        <v>251</v>
      </c>
      <c r="K40" s="241"/>
      <c r="L40" s="241" t="s">
        <v>35</v>
      </c>
    </row>
    <row r="41" spans="1:12" ht="22.5" customHeight="1">
      <c r="A41" s="164">
        <v>47</v>
      </c>
      <c r="B41" s="165" t="s">
        <v>17</v>
      </c>
      <c r="C41" s="242" t="s">
        <v>101</v>
      </c>
      <c r="D41" s="166">
        <v>16500000</v>
      </c>
      <c r="E41" s="167" t="s">
        <v>29</v>
      </c>
      <c r="F41" s="167"/>
      <c r="G41" s="167"/>
      <c r="H41" s="167"/>
      <c r="I41" s="243"/>
      <c r="J41" s="240" t="s">
        <v>83</v>
      </c>
      <c r="K41" s="241" t="s">
        <v>64</v>
      </c>
      <c r="L41" s="241" t="s">
        <v>17</v>
      </c>
    </row>
    <row r="42" spans="1:12" ht="49.5" customHeight="1">
      <c r="A42" s="164">
        <v>48</v>
      </c>
      <c r="B42" s="165" t="s">
        <v>130</v>
      </c>
      <c r="C42" s="176" t="s">
        <v>101</v>
      </c>
      <c r="D42" s="166"/>
      <c r="E42" s="167" t="s">
        <v>24</v>
      </c>
      <c r="F42" s="167"/>
      <c r="G42" s="168" t="s">
        <v>151</v>
      </c>
      <c r="H42" s="168"/>
      <c r="I42" s="243"/>
      <c r="J42" s="240" t="s">
        <v>143</v>
      </c>
      <c r="K42" s="241" t="s">
        <v>133</v>
      </c>
      <c r="L42" s="241" t="s">
        <v>130</v>
      </c>
    </row>
    <row r="43" spans="1:12" ht="31.5" customHeight="1">
      <c r="A43" s="164">
        <v>49</v>
      </c>
      <c r="B43" s="165" t="s">
        <v>146</v>
      </c>
      <c r="C43" s="176" t="s">
        <v>100</v>
      </c>
      <c r="D43" s="166">
        <v>9600000</v>
      </c>
      <c r="E43" s="167" t="s">
        <v>24</v>
      </c>
      <c r="F43" s="167"/>
      <c r="G43" s="168" t="s">
        <v>242</v>
      </c>
      <c r="H43" s="248"/>
      <c r="I43" s="243"/>
      <c r="J43" s="240" t="s">
        <v>152</v>
      </c>
      <c r="K43" s="241" t="s">
        <v>57</v>
      </c>
      <c r="L43" s="241" t="s">
        <v>146</v>
      </c>
    </row>
    <row r="44" spans="1:12" ht="31.5" customHeight="1">
      <c r="A44" s="164">
        <v>50</v>
      </c>
      <c r="B44" s="229" t="s">
        <v>147</v>
      </c>
      <c r="C44" s="230" t="s">
        <v>100</v>
      </c>
      <c r="D44" s="181">
        <v>9600000</v>
      </c>
      <c r="E44" s="232" t="s">
        <v>24</v>
      </c>
      <c r="F44" s="232"/>
      <c r="G44" s="258" t="s">
        <v>243</v>
      </c>
      <c r="H44" s="248"/>
      <c r="I44" s="243"/>
      <c r="J44" s="240" t="s">
        <v>153</v>
      </c>
      <c r="K44" s="241" t="s">
        <v>57</v>
      </c>
      <c r="L44" s="241" t="s">
        <v>147</v>
      </c>
    </row>
    <row r="45" spans="1:12" ht="36.75" customHeight="1">
      <c r="A45" s="164"/>
      <c r="B45" s="229" t="s">
        <v>178</v>
      </c>
      <c r="C45" s="230"/>
      <c r="D45" s="231">
        <v>6500000</v>
      </c>
      <c r="E45" s="232" t="s">
        <v>24</v>
      </c>
      <c r="F45" s="232"/>
      <c r="G45" s="258" t="s">
        <v>243</v>
      </c>
      <c r="H45" s="248"/>
      <c r="I45" s="243"/>
      <c r="J45" s="240" t="s">
        <v>222</v>
      </c>
      <c r="K45" s="241" t="s">
        <v>63</v>
      </c>
      <c r="L45" s="241" t="s">
        <v>223</v>
      </c>
    </row>
    <row r="46" spans="1:12" ht="36.75" customHeight="1">
      <c r="A46" s="164"/>
      <c r="B46" s="165" t="s">
        <v>179</v>
      </c>
      <c r="C46" s="176"/>
      <c r="D46" s="201">
        <v>6500000</v>
      </c>
      <c r="E46" s="167" t="s">
        <v>24</v>
      </c>
      <c r="F46" s="167"/>
      <c r="G46" s="248" t="s">
        <v>242</v>
      </c>
      <c r="H46" s="248"/>
      <c r="I46" s="243"/>
      <c r="J46" s="240" t="s">
        <v>216</v>
      </c>
      <c r="K46" s="241" t="s">
        <v>51</v>
      </c>
      <c r="L46" s="241" t="s">
        <v>179</v>
      </c>
    </row>
    <row r="47" spans="1:12" ht="36.75" customHeight="1">
      <c r="A47" s="164"/>
      <c r="B47" s="229" t="s">
        <v>180</v>
      </c>
      <c r="C47" s="230"/>
      <c r="D47" s="231">
        <v>3500000</v>
      </c>
      <c r="E47" s="232" t="s">
        <v>24</v>
      </c>
      <c r="F47" s="232"/>
      <c r="G47" s="247" t="s">
        <v>243</v>
      </c>
      <c r="H47" s="179"/>
      <c r="I47" s="243"/>
      <c r="J47" s="240" t="s">
        <v>233</v>
      </c>
      <c r="K47" s="241" t="s">
        <v>64</v>
      </c>
      <c r="L47" s="241" t="s">
        <v>180</v>
      </c>
    </row>
    <row r="48" spans="1:12" ht="36.75" customHeight="1">
      <c r="A48" s="164"/>
      <c r="B48" s="165" t="s">
        <v>192</v>
      </c>
      <c r="C48" s="165"/>
      <c r="D48" s="201">
        <v>6500000</v>
      </c>
      <c r="E48" s="167" t="s">
        <v>24</v>
      </c>
      <c r="F48" s="167"/>
      <c r="G48" s="248" t="s">
        <v>242</v>
      </c>
      <c r="H48" s="168"/>
      <c r="I48" s="243"/>
      <c r="J48" s="240" t="s">
        <v>220</v>
      </c>
      <c r="K48" s="241" t="s">
        <v>54</v>
      </c>
      <c r="L48" s="241" t="s">
        <v>221</v>
      </c>
    </row>
    <row r="49" spans="1:12" ht="36.75" customHeight="1">
      <c r="A49" s="164"/>
      <c r="B49" s="165" t="s">
        <v>193</v>
      </c>
      <c r="C49" s="165"/>
      <c r="D49" s="201">
        <v>6500000</v>
      </c>
      <c r="E49" s="167" t="s">
        <v>24</v>
      </c>
      <c r="F49" s="167"/>
      <c r="G49" s="248" t="s">
        <v>242</v>
      </c>
      <c r="H49" s="168"/>
      <c r="I49" s="243"/>
      <c r="J49" s="240" t="s">
        <v>213</v>
      </c>
      <c r="K49" s="241" t="s">
        <v>54</v>
      </c>
      <c r="L49" s="241" t="s">
        <v>193</v>
      </c>
    </row>
    <row r="50" spans="1:12" ht="36.75" customHeight="1">
      <c r="A50" s="164"/>
      <c r="B50" s="165" t="s">
        <v>194</v>
      </c>
      <c r="C50" s="165"/>
      <c r="D50" s="201">
        <v>5525000</v>
      </c>
      <c r="E50" s="167" t="s">
        <v>24</v>
      </c>
      <c r="F50" s="167"/>
      <c r="G50" s="248" t="s">
        <v>242</v>
      </c>
      <c r="H50" s="180"/>
      <c r="I50" s="243"/>
      <c r="J50" s="240" t="s">
        <v>232</v>
      </c>
      <c r="K50" s="241" t="s">
        <v>51</v>
      </c>
      <c r="L50" s="241" t="s">
        <v>194</v>
      </c>
    </row>
    <row r="51" spans="1:12" ht="36.75" customHeight="1">
      <c r="A51" s="164"/>
      <c r="B51" s="165" t="s">
        <v>196</v>
      </c>
      <c r="C51" s="165"/>
      <c r="D51" s="201">
        <v>6500000</v>
      </c>
      <c r="E51" s="167" t="s">
        <v>24</v>
      </c>
      <c r="F51" s="167"/>
      <c r="G51" s="248" t="s">
        <v>242</v>
      </c>
      <c r="H51" s="180"/>
      <c r="I51" s="243"/>
      <c r="J51" s="240" t="s">
        <v>214</v>
      </c>
      <c r="K51" s="241" t="s">
        <v>138</v>
      </c>
      <c r="L51" s="241" t="s">
        <v>215</v>
      </c>
    </row>
    <row r="52" spans="1:12" ht="36.75" customHeight="1">
      <c r="A52" s="164"/>
      <c r="B52" s="165" t="s">
        <v>199</v>
      </c>
      <c r="C52" s="165"/>
      <c r="D52" s="201">
        <v>6500000</v>
      </c>
      <c r="E52" s="167" t="s">
        <v>24</v>
      </c>
      <c r="F52" s="167"/>
      <c r="G52" s="248" t="s">
        <v>242</v>
      </c>
      <c r="H52" s="180"/>
      <c r="I52" s="243"/>
      <c r="J52" s="240" t="s">
        <v>217</v>
      </c>
      <c r="K52" s="241" t="s">
        <v>218</v>
      </c>
      <c r="L52" s="241" t="s">
        <v>219</v>
      </c>
    </row>
    <row r="53" spans="1:12" ht="36.75" customHeight="1">
      <c r="A53" s="164"/>
      <c r="B53" s="165" t="s">
        <v>225</v>
      </c>
      <c r="C53" s="165"/>
      <c r="D53" s="201">
        <f>(7000000*85%)/30*19</f>
        <v>3768333.3333333335</v>
      </c>
      <c r="E53" s="167" t="s">
        <v>24</v>
      </c>
      <c r="F53" s="167"/>
      <c r="G53" s="180"/>
      <c r="H53" s="180"/>
      <c r="I53" s="243"/>
      <c r="J53" s="240" t="s">
        <v>248</v>
      </c>
      <c r="K53" s="248" t="s">
        <v>249</v>
      </c>
      <c r="L53" s="165" t="s">
        <v>225</v>
      </c>
    </row>
    <row r="54" spans="1:12" ht="36.75" customHeight="1">
      <c r="A54" s="164"/>
      <c r="B54" s="165" t="s">
        <v>202</v>
      </c>
      <c r="C54" s="165"/>
      <c r="D54" s="201">
        <v>5355000</v>
      </c>
      <c r="E54" s="167" t="s">
        <v>30</v>
      </c>
      <c r="F54" s="167"/>
      <c r="G54" s="180" t="s">
        <v>203</v>
      </c>
      <c r="H54" s="180"/>
      <c r="I54" s="243"/>
      <c r="J54" s="240" t="s">
        <v>235</v>
      </c>
      <c r="K54" s="241" t="s">
        <v>64</v>
      </c>
      <c r="L54" s="241" t="s">
        <v>236</v>
      </c>
    </row>
    <row r="55" spans="1:12" ht="36.75" customHeight="1">
      <c r="A55" s="164"/>
      <c r="B55" s="165" t="s">
        <v>205</v>
      </c>
      <c r="C55" s="165"/>
      <c r="D55" s="201">
        <v>5157000</v>
      </c>
      <c r="E55" s="167" t="s">
        <v>30</v>
      </c>
      <c r="F55" s="167"/>
      <c r="G55" s="180" t="s">
        <v>204</v>
      </c>
      <c r="H55" s="180"/>
      <c r="I55" s="243"/>
      <c r="J55" s="240" t="s">
        <v>244</v>
      </c>
      <c r="K55" s="241" t="s">
        <v>245</v>
      </c>
      <c r="L55" s="165" t="s">
        <v>205</v>
      </c>
    </row>
    <row r="56" spans="1:12" ht="36.75" customHeight="1">
      <c r="A56" s="164"/>
      <c r="B56" s="165" t="s">
        <v>206</v>
      </c>
      <c r="C56" s="165"/>
      <c r="D56" s="201">
        <v>5157000</v>
      </c>
      <c r="E56" s="167" t="s">
        <v>30</v>
      </c>
      <c r="F56" s="167"/>
      <c r="G56" s="180" t="s">
        <v>207</v>
      </c>
      <c r="H56" s="180"/>
      <c r="I56" s="243"/>
      <c r="J56" s="240" t="s">
        <v>246</v>
      </c>
      <c r="K56" s="241" t="s">
        <v>64</v>
      </c>
      <c r="L56" s="165" t="s">
        <v>247</v>
      </c>
    </row>
    <row r="57" spans="1:12" ht="48" customHeight="1">
      <c r="A57" s="164"/>
      <c r="B57" s="165" t="s">
        <v>208</v>
      </c>
      <c r="C57" s="165"/>
      <c r="D57" s="201">
        <v>5950000</v>
      </c>
      <c r="E57" s="167" t="s">
        <v>30</v>
      </c>
      <c r="F57" s="167"/>
      <c r="G57" s="180" t="s">
        <v>209</v>
      </c>
      <c r="H57" s="180"/>
      <c r="I57" s="243"/>
      <c r="J57" s="240" t="s">
        <v>234</v>
      </c>
      <c r="K57" s="241" t="s">
        <v>133</v>
      </c>
      <c r="L57" s="241" t="s">
        <v>208</v>
      </c>
    </row>
    <row r="58" spans="1:12" ht="36.75" customHeight="1">
      <c r="A58" s="164"/>
      <c r="B58" s="165" t="s">
        <v>226</v>
      </c>
      <c r="C58" s="165"/>
      <c r="D58" s="201">
        <v>5752000</v>
      </c>
      <c r="E58" s="167" t="s">
        <v>30</v>
      </c>
      <c r="F58" s="167"/>
      <c r="G58" s="180"/>
      <c r="H58" s="180"/>
      <c r="I58" s="243"/>
      <c r="J58" s="240" t="s">
        <v>250</v>
      </c>
      <c r="K58" s="241" t="s">
        <v>133</v>
      </c>
      <c r="L58" s="165" t="s">
        <v>226</v>
      </c>
    </row>
    <row r="59" spans="1:12" s="3" customFormat="1" ht="19.5" customHeight="1">
      <c r="A59" s="6"/>
      <c r="B59" s="4" t="s">
        <v>0</v>
      </c>
      <c r="C59" s="4"/>
      <c r="D59" s="57">
        <f>SUBTOTAL(9,D4:D58)</f>
        <v>680901333.33333337</v>
      </c>
      <c r="E59" s="5"/>
      <c r="F59" s="5"/>
      <c r="G59" s="5"/>
      <c r="H59" s="5"/>
      <c r="I59" s="243" t="s">
        <v>46</v>
      </c>
      <c r="J59" s="240"/>
      <c r="K59" s="241"/>
      <c r="L59" s="241"/>
    </row>
    <row r="60" spans="1:12" ht="21" customHeight="1">
      <c r="B60" s="1" t="s">
        <v>46</v>
      </c>
      <c r="D60" s="162">
        <f ca="1">SUMIF($I$4:$I$60,"TM",($D$4:$D$59))</f>
        <v>688901333.33333337</v>
      </c>
      <c r="I60" s="3"/>
    </row>
    <row r="61" spans="1:12" ht="21" customHeight="1">
      <c r="B61" s="1" t="s">
        <v>211</v>
      </c>
      <c r="D61" s="162">
        <f ca="1">D59-D60</f>
        <v>-8000000</v>
      </c>
      <c r="E61" s="162"/>
      <c r="F61" s="162"/>
    </row>
    <row r="62" spans="1:12" ht="19.5" customHeight="1">
      <c r="B62" s="12" t="s">
        <v>22</v>
      </c>
      <c r="C62" s="12"/>
      <c r="D62" s="58">
        <f>SUMIF($E$4:$E$59,"idocNet",($D$4:$D$59))</f>
        <v>114275000</v>
      </c>
      <c r="E62" s="11"/>
      <c r="F62" s="11"/>
      <c r="G62" s="11"/>
      <c r="H62" s="11"/>
    </row>
    <row r="63" spans="1:12" ht="19.5" customHeight="1">
      <c r="B63" s="12" t="s">
        <v>23</v>
      </c>
      <c r="C63" s="12"/>
      <c r="D63" s="58">
        <f>SUMIF($E$4:$E$59,"idocST",($D$4:$D$59))</f>
        <v>313875000</v>
      </c>
      <c r="E63" s="11"/>
      <c r="F63" s="11"/>
      <c r="G63" s="11"/>
      <c r="H63" s="11"/>
    </row>
    <row r="64" spans="1:12" ht="19.5" customHeight="1">
      <c r="B64" s="12" t="s">
        <v>24</v>
      </c>
      <c r="C64" s="12"/>
      <c r="D64" s="58">
        <f>SUMIF($E$4:$E$59,"Long Quang",($D$4:$D$59))</f>
        <v>252751333.33333334</v>
      </c>
      <c r="E64" s="11"/>
      <c r="F64" s="11"/>
      <c r="G64" s="11"/>
      <c r="H64" s="11"/>
    </row>
    <row r="65" spans="4:8" ht="22.5" customHeight="1">
      <c r="D65" s="464"/>
      <c r="E65" s="464"/>
      <c r="F65" s="464"/>
      <c r="G65" s="464"/>
      <c r="H65" s="227"/>
    </row>
    <row r="66" spans="4:8" ht="22.5" customHeight="1">
      <c r="D66" s="233" t="e">
        <f>D59-#REF!</f>
        <v>#REF!</v>
      </c>
      <c r="E66" s="234" t="e">
        <f>D59-#REF!</f>
        <v>#REF!</v>
      </c>
      <c r="F66" s="234"/>
      <c r="G66" s="11">
        <v>23000000</v>
      </c>
      <c r="H66" s="11"/>
    </row>
    <row r="67" spans="4:8" ht="22.5" customHeight="1">
      <c r="D67" s="7"/>
      <c r="E67" s="3"/>
      <c r="F67" s="3"/>
      <c r="G67" s="11"/>
      <c r="H67" s="11"/>
    </row>
    <row r="68" spans="4:8" ht="22.5" customHeight="1">
      <c r="D68" s="464"/>
      <c r="E68" s="464"/>
      <c r="F68" s="464"/>
      <c r="G68" s="464"/>
      <c r="H68" s="227"/>
    </row>
    <row r="69" spans="4:8" ht="22.5" customHeight="1">
      <c r="G69" s="11"/>
      <c r="H69" s="11"/>
    </row>
    <row r="70" spans="4:8" ht="22.5" customHeight="1">
      <c r="G70" s="11"/>
      <c r="H70" s="11"/>
    </row>
    <row r="71" spans="4:8" ht="22.5" customHeight="1">
      <c r="G71" s="11"/>
      <c r="H71" s="11"/>
    </row>
    <row r="72" spans="4:8" ht="22.5" customHeight="1">
      <c r="G72" s="11"/>
      <c r="H72" s="11"/>
    </row>
    <row r="73" spans="4:8" ht="22.5" customHeight="1">
      <c r="G73" s="11"/>
      <c r="H73" s="11"/>
    </row>
    <row r="74" spans="4:8" ht="22.5" customHeight="1">
      <c r="G74" s="11"/>
      <c r="H74" s="11"/>
    </row>
    <row r="75" spans="4:8" ht="22.5" customHeight="1">
      <c r="G75" s="11"/>
      <c r="H75" s="11"/>
    </row>
    <row r="76" spans="4:8" ht="22.5" customHeight="1">
      <c r="G76" s="11"/>
      <c r="H76" s="11"/>
    </row>
    <row r="77" spans="4:8" ht="22.5" customHeight="1">
      <c r="G77" s="11"/>
      <c r="H77" s="11"/>
    </row>
    <row r="78" spans="4:8" ht="22.5" customHeight="1">
      <c r="G78" s="11"/>
      <c r="H78" s="11"/>
    </row>
    <row r="79" spans="4:8" ht="22.5" customHeight="1">
      <c r="G79" s="11"/>
      <c r="H79" s="11"/>
    </row>
    <row r="80" spans="4:8" ht="22.5" customHeight="1">
      <c r="G80" s="11"/>
      <c r="H80" s="11"/>
    </row>
    <row r="81" spans="7:8" ht="22.5" customHeight="1">
      <c r="G81" s="11"/>
      <c r="H81" s="11"/>
    </row>
    <row r="82" spans="7:8" ht="22.5" customHeight="1">
      <c r="G82" s="11"/>
      <c r="H82" s="11"/>
    </row>
  </sheetData>
  <mergeCells count="4">
    <mergeCell ref="A1:G1"/>
    <mergeCell ref="A2:G2"/>
    <mergeCell ref="D65:G65"/>
    <mergeCell ref="D68:G68"/>
  </mergeCells>
  <printOptions horizontalCentered="1"/>
  <pageMargins left="0.2" right="0" top="0.5" bottom="0.2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90" zoomScaleNormal="90" workbookViewId="0">
      <pane ySplit="3" topLeftCell="A55" activePane="bottomLeft" state="frozen"/>
      <selection pane="bottomLeft" activeCell="B57" sqref="B57"/>
    </sheetView>
  </sheetViews>
  <sheetFormatPr defaultRowHeight="22.5" customHeight="1"/>
  <cols>
    <col min="1" max="1" width="4.28515625" style="1" customWidth="1"/>
    <col min="2" max="2" width="28.85546875" style="1" bestFit="1" customWidth="1"/>
    <col min="3" max="3" width="15.28515625" style="1" customWidth="1"/>
    <col min="4" max="4" width="15.28515625" style="2" customWidth="1"/>
    <col min="5" max="5" width="15.28515625" style="1" customWidth="1"/>
    <col min="6" max="8" width="15.28515625" style="2" customWidth="1"/>
    <col min="9" max="12" width="15.28515625" style="1" customWidth="1"/>
    <col min="13" max="13" width="15.28515625" style="154" customWidth="1"/>
    <col min="14" max="14" width="15.28515625" style="155" customWidth="1"/>
    <col min="15" max="15" width="31.5703125" style="155" customWidth="1"/>
    <col min="16" max="18" width="15.28515625" style="1" customWidth="1"/>
    <col min="19" max="16384" width="9.140625" style="1"/>
  </cols>
  <sheetData>
    <row r="1" spans="1:15" ht="22.5" customHeight="1">
      <c r="A1" s="275" t="s">
        <v>14</v>
      </c>
      <c r="B1" s="275"/>
      <c r="C1" s="275"/>
      <c r="D1" s="275"/>
      <c r="E1" s="275"/>
      <c r="F1" s="275"/>
      <c r="G1" s="275"/>
      <c r="H1" s="275"/>
      <c r="I1" s="275"/>
      <c r="J1" s="275"/>
      <c r="K1" s="261"/>
    </row>
    <row r="2" spans="1:15" ht="22.5" customHeight="1">
      <c r="A2" s="276" t="s">
        <v>266</v>
      </c>
      <c r="B2" s="276"/>
      <c r="C2" s="276"/>
      <c r="D2" s="276"/>
      <c r="E2" s="276"/>
      <c r="F2" s="276"/>
      <c r="G2" s="276"/>
      <c r="H2" s="276"/>
      <c r="I2" s="276"/>
      <c r="J2" s="276"/>
      <c r="K2" s="263"/>
    </row>
    <row r="3" spans="1:15" s="26" customFormat="1" ht="63" customHeight="1">
      <c r="A3" s="23" t="s">
        <v>20</v>
      </c>
      <c r="B3" s="23" t="s">
        <v>13</v>
      </c>
      <c r="C3" s="61" t="s">
        <v>90</v>
      </c>
      <c r="D3" s="52" t="s">
        <v>118</v>
      </c>
      <c r="E3" s="25" t="s">
        <v>91</v>
      </c>
      <c r="F3" s="24" t="s">
        <v>253</v>
      </c>
      <c r="G3" s="24" t="s">
        <v>0</v>
      </c>
      <c r="H3" s="24"/>
      <c r="I3" s="25" t="s">
        <v>252</v>
      </c>
      <c r="J3" s="25" t="s">
        <v>92</v>
      </c>
      <c r="K3" s="25"/>
      <c r="L3" s="167"/>
      <c r="M3" s="240" t="s">
        <v>47</v>
      </c>
      <c r="N3" s="241" t="s">
        <v>48</v>
      </c>
      <c r="O3" s="241" t="s">
        <v>49</v>
      </c>
    </row>
    <row r="4" spans="1:15" s="361" customFormat="1" ht="24" customHeight="1">
      <c r="A4" s="351">
        <v>1</v>
      </c>
      <c r="B4" s="352" t="s">
        <v>11</v>
      </c>
      <c r="C4" s="353"/>
      <c r="D4" s="354">
        <v>45178000</v>
      </c>
      <c r="E4" s="355" t="s">
        <v>24</v>
      </c>
      <c r="F4" s="354"/>
      <c r="G4" s="354">
        <f>D4+F4</f>
        <v>45178000</v>
      </c>
      <c r="H4" s="354">
        <f>D4-G4</f>
        <v>0</v>
      </c>
      <c r="I4" s="356">
        <f>D4/2</f>
        <v>22589000</v>
      </c>
      <c r="J4" s="357"/>
      <c r="K4" s="357">
        <v>1</v>
      </c>
      <c r="L4" s="358"/>
      <c r="M4" s="359" t="s">
        <v>50</v>
      </c>
      <c r="N4" s="360" t="s">
        <v>51</v>
      </c>
      <c r="O4" s="360" t="s">
        <v>52</v>
      </c>
    </row>
    <row r="5" spans="1:15" ht="24" customHeight="1">
      <c r="A5" s="164">
        <v>2</v>
      </c>
      <c r="B5" s="165" t="s">
        <v>8</v>
      </c>
      <c r="C5" s="242"/>
      <c r="D5" s="166">
        <v>42960000</v>
      </c>
      <c r="E5" s="167" t="s">
        <v>29</v>
      </c>
      <c r="F5" s="166"/>
      <c r="G5" s="166">
        <f t="shared" ref="G5:G58" si="0">D5+F5</f>
        <v>42960000</v>
      </c>
      <c r="H5" s="166">
        <f t="shared" ref="H5:H58" si="1">D5-G5</f>
        <v>0</v>
      </c>
      <c r="I5" s="260">
        <f t="shared" ref="I5:I7" si="2">D5/2</f>
        <v>21480000</v>
      </c>
      <c r="J5" s="168"/>
      <c r="K5" s="168">
        <v>1</v>
      </c>
      <c r="L5" s="243"/>
      <c r="M5" s="240" t="s">
        <v>84</v>
      </c>
      <c r="N5" s="241" t="s">
        <v>56</v>
      </c>
      <c r="O5" s="241" t="s">
        <v>8</v>
      </c>
    </row>
    <row r="6" spans="1:15" ht="24" customHeight="1">
      <c r="A6" s="164">
        <v>3</v>
      </c>
      <c r="B6" s="165" t="s">
        <v>7</v>
      </c>
      <c r="C6" s="242" t="s">
        <v>102</v>
      </c>
      <c r="D6" s="166">
        <v>20913000</v>
      </c>
      <c r="E6" s="167" t="s">
        <v>29</v>
      </c>
      <c r="F6" s="166"/>
      <c r="G6" s="166">
        <f t="shared" si="0"/>
        <v>20913000</v>
      </c>
      <c r="H6" s="166">
        <f t="shared" si="1"/>
        <v>0</v>
      </c>
      <c r="I6" s="260">
        <f t="shared" si="2"/>
        <v>10456500</v>
      </c>
      <c r="J6" s="243"/>
      <c r="K6" s="243">
        <v>1</v>
      </c>
      <c r="L6" s="243"/>
      <c r="M6" s="240" t="s">
        <v>89</v>
      </c>
      <c r="N6" s="241" t="s">
        <v>51</v>
      </c>
      <c r="O6" s="241" t="s">
        <v>7</v>
      </c>
    </row>
    <row r="7" spans="1:15" ht="24" customHeight="1">
      <c r="A7" s="164">
        <v>4</v>
      </c>
      <c r="B7" s="165" t="s">
        <v>10</v>
      </c>
      <c r="C7" s="242" t="s">
        <v>93</v>
      </c>
      <c r="D7" s="166">
        <v>28753000</v>
      </c>
      <c r="E7" s="167" t="s">
        <v>24</v>
      </c>
      <c r="F7" s="166"/>
      <c r="G7" s="166">
        <f t="shared" si="0"/>
        <v>28753000</v>
      </c>
      <c r="H7" s="166">
        <f t="shared" si="1"/>
        <v>0</v>
      </c>
      <c r="I7" s="260">
        <f t="shared" si="2"/>
        <v>14376500</v>
      </c>
      <c r="J7" s="243"/>
      <c r="K7" s="243">
        <v>1</v>
      </c>
      <c r="L7" s="243"/>
      <c r="M7" s="240" t="s">
        <v>188</v>
      </c>
      <c r="N7" s="241" t="s">
        <v>56</v>
      </c>
      <c r="O7" s="241" t="s">
        <v>10</v>
      </c>
    </row>
    <row r="8" spans="1:15" ht="24" customHeight="1">
      <c r="A8" s="164">
        <v>5</v>
      </c>
      <c r="B8" s="165" t="s">
        <v>161</v>
      </c>
      <c r="C8" s="242" t="s">
        <v>93</v>
      </c>
      <c r="D8" s="166">
        <v>12000000</v>
      </c>
      <c r="E8" s="167" t="s">
        <v>29</v>
      </c>
      <c r="F8" s="166"/>
      <c r="G8" s="166">
        <f t="shared" si="0"/>
        <v>12000000</v>
      </c>
      <c r="H8" s="166">
        <f t="shared" si="1"/>
        <v>0</v>
      </c>
      <c r="I8" s="167"/>
      <c r="J8" s="243"/>
      <c r="K8" s="243"/>
      <c r="L8" s="243"/>
      <c r="M8" s="240" t="s">
        <v>80</v>
      </c>
      <c r="N8" s="241" t="s">
        <v>51</v>
      </c>
      <c r="O8" s="241" t="s">
        <v>4</v>
      </c>
    </row>
    <row r="9" spans="1:15" ht="24" customHeight="1">
      <c r="A9" s="164">
        <v>7</v>
      </c>
      <c r="B9" s="165" t="s">
        <v>33</v>
      </c>
      <c r="C9" s="242" t="s">
        <v>93</v>
      </c>
      <c r="D9" s="166">
        <v>10800000</v>
      </c>
      <c r="E9" s="167" t="s">
        <v>24</v>
      </c>
      <c r="F9" s="166"/>
      <c r="G9" s="166">
        <f t="shared" si="0"/>
        <v>10800000</v>
      </c>
      <c r="H9" s="166">
        <f t="shared" si="1"/>
        <v>0</v>
      </c>
      <c r="I9" s="167"/>
      <c r="J9" s="243"/>
      <c r="K9" s="243"/>
      <c r="L9" s="243"/>
      <c r="M9" s="240" t="s">
        <v>65</v>
      </c>
      <c r="N9" s="241" t="s">
        <v>64</v>
      </c>
      <c r="O9" s="241" t="s">
        <v>33</v>
      </c>
    </row>
    <row r="10" spans="1:15" s="184" customFormat="1" ht="24" customHeight="1">
      <c r="A10" s="277">
        <v>8</v>
      </c>
      <c r="B10" s="278" t="s">
        <v>134</v>
      </c>
      <c r="C10" s="279" t="s">
        <v>93</v>
      </c>
      <c r="D10" s="280">
        <v>8000000</v>
      </c>
      <c r="E10" s="281" t="s">
        <v>24</v>
      </c>
      <c r="F10" s="280"/>
      <c r="G10" s="201">
        <f t="shared" si="0"/>
        <v>8000000</v>
      </c>
      <c r="H10" s="166">
        <f t="shared" si="1"/>
        <v>0</v>
      </c>
      <c r="I10" s="282"/>
      <c r="L10" s="184" t="s">
        <v>46</v>
      </c>
      <c r="M10" s="185"/>
      <c r="N10" s="186"/>
      <c r="O10" s="186"/>
    </row>
    <row r="11" spans="1:15" ht="24" customHeight="1">
      <c r="A11" s="164">
        <v>9</v>
      </c>
      <c r="B11" s="165" t="s">
        <v>28</v>
      </c>
      <c r="C11" s="242" t="s">
        <v>93</v>
      </c>
      <c r="D11" s="166">
        <v>14000000</v>
      </c>
      <c r="E11" s="167" t="s">
        <v>30</v>
      </c>
      <c r="F11" s="166"/>
      <c r="G11" s="166">
        <f t="shared" si="0"/>
        <v>14000000</v>
      </c>
      <c r="H11" s="166">
        <f t="shared" si="1"/>
        <v>0</v>
      </c>
      <c r="I11" s="167"/>
      <c r="J11" s="243"/>
      <c r="K11" s="243"/>
      <c r="L11" s="243"/>
      <c r="M11" s="240" t="s">
        <v>70</v>
      </c>
      <c r="N11" s="241" t="s">
        <v>51</v>
      </c>
      <c r="O11" s="241" t="s">
        <v>28</v>
      </c>
    </row>
    <row r="12" spans="1:15" ht="24" customHeight="1">
      <c r="A12" s="164">
        <v>10</v>
      </c>
      <c r="B12" s="165" t="s">
        <v>42</v>
      </c>
      <c r="C12" s="242" t="s">
        <v>93</v>
      </c>
      <c r="D12" s="166">
        <v>10000000</v>
      </c>
      <c r="E12" s="167" t="s">
        <v>24</v>
      </c>
      <c r="F12" s="166"/>
      <c r="G12" s="166">
        <f t="shared" si="0"/>
        <v>10000000</v>
      </c>
      <c r="H12" s="166">
        <f t="shared" si="1"/>
        <v>0</v>
      </c>
      <c r="I12" s="167"/>
      <c r="J12" s="243"/>
      <c r="K12" s="243"/>
      <c r="L12" s="243"/>
      <c r="M12" s="240" t="s">
        <v>123</v>
      </c>
      <c r="N12" s="241" t="s">
        <v>64</v>
      </c>
      <c r="O12" s="241" t="s">
        <v>42</v>
      </c>
    </row>
    <row r="13" spans="1:15" ht="24" customHeight="1">
      <c r="A13" s="164">
        <v>13</v>
      </c>
      <c r="B13" s="165" t="s">
        <v>31</v>
      </c>
      <c r="C13" s="242" t="s">
        <v>94</v>
      </c>
      <c r="D13" s="166">
        <v>29027000</v>
      </c>
      <c r="E13" s="167" t="s">
        <v>24</v>
      </c>
      <c r="F13" s="166"/>
      <c r="G13" s="166">
        <f t="shared" si="0"/>
        <v>29027000</v>
      </c>
      <c r="H13" s="166">
        <f t="shared" si="1"/>
        <v>0</v>
      </c>
      <c r="I13" s="260">
        <f>D13/2</f>
        <v>14513500</v>
      </c>
      <c r="J13" s="243"/>
      <c r="K13" s="243">
        <v>1</v>
      </c>
      <c r="L13" s="243"/>
      <c r="M13" s="240" t="s">
        <v>88</v>
      </c>
      <c r="N13" s="241" t="s">
        <v>60</v>
      </c>
      <c r="O13" s="241" t="s">
        <v>31</v>
      </c>
    </row>
    <row r="14" spans="1:15" ht="24" customHeight="1">
      <c r="A14" s="164">
        <v>14</v>
      </c>
      <c r="B14" s="165" t="s">
        <v>3</v>
      </c>
      <c r="C14" s="242" t="s">
        <v>94</v>
      </c>
      <c r="D14" s="166">
        <v>14000000</v>
      </c>
      <c r="E14" s="167" t="s">
        <v>24</v>
      </c>
      <c r="F14" s="166"/>
      <c r="G14" s="166">
        <f t="shared" si="0"/>
        <v>14000000</v>
      </c>
      <c r="H14" s="166">
        <f t="shared" si="1"/>
        <v>0</v>
      </c>
      <c r="I14" s="167"/>
      <c r="J14" s="243"/>
      <c r="K14" s="243"/>
      <c r="L14" s="243"/>
      <c r="M14" s="240" t="s">
        <v>189</v>
      </c>
      <c r="N14" s="241" t="s">
        <v>63</v>
      </c>
      <c r="O14" s="241" t="s">
        <v>190</v>
      </c>
    </row>
    <row r="15" spans="1:15" ht="24" customHeight="1">
      <c r="A15" s="164">
        <v>16</v>
      </c>
      <c r="B15" s="165" t="s">
        <v>37</v>
      </c>
      <c r="C15" s="242" t="s">
        <v>94</v>
      </c>
      <c r="D15" s="166">
        <v>8000000</v>
      </c>
      <c r="E15" s="167" t="s">
        <v>30</v>
      </c>
      <c r="F15" s="166"/>
      <c r="G15" s="166">
        <f t="shared" si="0"/>
        <v>8000000</v>
      </c>
      <c r="H15" s="166">
        <f t="shared" si="1"/>
        <v>0</v>
      </c>
      <c r="I15" s="167"/>
      <c r="J15" s="243"/>
      <c r="K15" s="243"/>
      <c r="L15" s="243"/>
      <c r="M15" s="240" t="s">
        <v>62</v>
      </c>
      <c r="N15" s="241" t="s">
        <v>51</v>
      </c>
      <c r="O15" s="241" t="s">
        <v>37</v>
      </c>
    </row>
    <row r="16" spans="1:15" ht="24" customHeight="1">
      <c r="A16" s="164">
        <v>17</v>
      </c>
      <c r="B16" s="165" t="s">
        <v>38</v>
      </c>
      <c r="C16" s="242" t="s">
        <v>94</v>
      </c>
      <c r="D16" s="166">
        <v>8000000</v>
      </c>
      <c r="E16" s="167" t="s">
        <v>30</v>
      </c>
      <c r="F16" s="166"/>
      <c r="G16" s="166">
        <f t="shared" si="0"/>
        <v>8000000</v>
      </c>
      <c r="H16" s="166">
        <f t="shared" si="1"/>
        <v>0</v>
      </c>
      <c r="I16" s="167"/>
      <c r="J16" s="243"/>
      <c r="K16" s="243"/>
      <c r="L16" s="243"/>
      <c r="M16" s="240" t="s">
        <v>61</v>
      </c>
      <c r="N16" s="241" t="s">
        <v>54</v>
      </c>
      <c r="O16" s="241" t="s">
        <v>38</v>
      </c>
    </row>
    <row r="17" spans="1:15" ht="24" customHeight="1">
      <c r="A17" s="164">
        <v>19</v>
      </c>
      <c r="B17" s="165" t="s">
        <v>40</v>
      </c>
      <c r="C17" s="242" t="s">
        <v>94</v>
      </c>
      <c r="D17" s="166">
        <v>8000000</v>
      </c>
      <c r="E17" s="167" t="s">
        <v>30</v>
      </c>
      <c r="F17" s="166"/>
      <c r="G17" s="166">
        <f t="shared" si="0"/>
        <v>8000000</v>
      </c>
      <c r="H17" s="166">
        <f t="shared" si="1"/>
        <v>0</v>
      </c>
      <c r="I17" s="167"/>
      <c r="J17" s="243"/>
      <c r="K17" s="243"/>
      <c r="L17" s="243"/>
      <c r="M17" s="240" t="s">
        <v>145</v>
      </c>
      <c r="N17" s="241" t="s">
        <v>57</v>
      </c>
      <c r="O17" s="241" t="s">
        <v>40</v>
      </c>
    </row>
    <row r="18" spans="1:15" ht="25.5" customHeight="1">
      <c r="A18" s="164">
        <v>20</v>
      </c>
      <c r="B18" s="165" t="s">
        <v>41</v>
      </c>
      <c r="C18" s="242" t="s">
        <v>94</v>
      </c>
      <c r="D18" s="166">
        <v>10000000</v>
      </c>
      <c r="E18" s="167" t="s">
        <v>30</v>
      </c>
      <c r="F18" s="166"/>
      <c r="G18" s="166">
        <f t="shared" si="0"/>
        <v>10000000</v>
      </c>
      <c r="H18" s="166">
        <f t="shared" si="1"/>
        <v>0</v>
      </c>
      <c r="I18" s="167"/>
      <c r="J18" s="243"/>
      <c r="K18" s="243"/>
      <c r="L18" s="243"/>
      <c r="M18" s="240" t="s">
        <v>58</v>
      </c>
      <c r="N18" s="241" t="s">
        <v>56</v>
      </c>
      <c r="O18" s="241" t="s">
        <v>41</v>
      </c>
    </row>
    <row r="19" spans="1:15" ht="22.5" customHeight="1">
      <c r="A19" s="164">
        <v>22</v>
      </c>
      <c r="B19" s="165" t="s">
        <v>127</v>
      </c>
      <c r="C19" s="242" t="s">
        <v>94</v>
      </c>
      <c r="D19" s="166">
        <v>8000000</v>
      </c>
      <c r="E19" s="167" t="s">
        <v>30</v>
      </c>
      <c r="F19" s="166"/>
      <c r="G19" s="166">
        <f t="shared" si="0"/>
        <v>8000000</v>
      </c>
      <c r="H19" s="166">
        <f t="shared" si="1"/>
        <v>0</v>
      </c>
      <c r="I19" s="167"/>
      <c r="J19" s="243"/>
      <c r="K19" s="243"/>
      <c r="L19" s="243"/>
      <c r="M19" s="240" t="s">
        <v>131</v>
      </c>
      <c r="N19" s="241" t="s">
        <v>56</v>
      </c>
      <c r="O19" s="241" t="s">
        <v>127</v>
      </c>
    </row>
    <row r="20" spans="1:15" ht="22.5" customHeight="1">
      <c r="A20" s="164">
        <v>24</v>
      </c>
      <c r="B20" s="165" t="s">
        <v>9</v>
      </c>
      <c r="C20" s="242" t="s">
        <v>95</v>
      </c>
      <c r="D20" s="166">
        <v>35126000</v>
      </c>
      <c r="E20" s="167" t="s">
        <v>30</v>
      </c>
      <c r="F20" s="166"/>
      <c r="G20" s="166">
        <f t="shared" si="0"/>
        <v>35126000</v>
      </c>
      <c r="H20" s="166">
        <f t="shared" si="1"/>
        <v>0</v>
      </c>
      <c r="I20" s="260">
        <f>D20/2</f>
        <v>17563000</v>
      </c>
      <c r="J20" s="243"/>
      <c r="K20" s="243">
        <v>1</v>
      </c>
      <c r="L20" s="243"/>
      <c r="M20" s="240" t="s">
        <v>53</v>
      </c>
      <c r="N20" s="241" t="s">
        <v>51</v>
      </c>
      <c r="O20" s="241" t="s">
        <v>9</v>
      </c>
    </row>
    <row r="21" spans="1:15" ht="22.5" customHeight="1">
      <c r="A21" s="164">
        <v>25</v>
      </c>
      <c r="B21" s="165" t="s">
        <v>112</v>
      </c>
      <c r="C21" s="242" t="s">
        <v>95</v>
      </c>
      <c r="D21" s="166">
        <v>19000000</v>
      </c>
      <c r="E21" s="167" t="s">
        <v>30</v>
      </c>
      <c r="F21" s="166"/>
      <c r="G21" s="166">
        <f t="shared" si="0"/>
        <v>19000000</v>
      </c>
      <c r="H21" s="166">
        <f t="shared" si="1"/>
        <v>0</v>
      </c>
      <c r="I21" s="167"/>
      <c r="J21" s="243"/>
      <c r="K21" s="243"/>
      <c r="L21" s="243"/>
      <c r="M21" s="240" t="s">
        <v>77</v>
      </c>
      <c r="N21" s="241" t="s">
        <v>56</v>
      </c>
      <c r="O21" s="241" t="s">
        <v>16</v>
      </c>
    </row>
    <row r="22" spans="1:15" ht="22.5" customHeight="1">
      <c r="A22" s="164">
        <v>26</v>
      </c>
      <c r="B22" s="165" t="s">
        <v>26</v>
      </c>
      <c r="C22" s="242" t="s">
        <v>95</v>
      </c>
      <c r="D22" s="166">
        <v>19000000</v>
      </c>
      <c r="E22" s="167" t="s">
        <v>30</v>
      </c>
      <c r="F22" s="166"/>
      <c r="G22" s="166">
        <f t="shared" si="0"/>
        <v>19000000</v>
      </c>
      <c r="H22" s="166">
        <f t="shared" si="1"/>
        <v>0</v>
      </c>
      <c r="I22" s="167"/>
      <c r="J22" s="243"/>
      <c r="K22" s="243"/>
      <c r="L22" s="243"/>
      <c r="M22" s="240" t="s">
        <v>72</v>
      </c>
      <c r="N22" s="241" t="s">
        <v>54</v>
      </c>
      <c r="O22" s="241" t="s">
        <v>26</v>
      </c>
    </row>
    <row r="23" spans="1:15" ht="22.5" customHeight="1">
      <c r="A23" s="164">
        <v>27</v>
      </c>
      <c r="B23" s="165" t="s">
        <v>32</v>
      </c>
      <c r="C23" s="242" t="s">
        <v>95</v>
      </c>
      <c r="D23" s="166">
        <v>12000000</v>
      </c>
      <c r="E23" s="167" t="s">
        <v>30</v>
      </c>
      <c r="F23" s="166"/>
      <c r="G23" s="166">
        <f t="shared" si="0"/>
        <v>12000000</v>
      </c>
      <c r="H23" s="166">
        <f t="shared" si="1"/>
        <v>0</v>
      </c>
      <c r="I23" s="167"/>
      <c r="J23" s="243"/>
      <c r="K23" s="243"/>
      <c r="L23" s="243"/>
      <c r="M23" s="240" t="s">
        <v>68</v>
      </c>
      <c r="N23" s="241" t="s">
        <v>56</v>
      </c>
      <c r="O23" s="241" t="s">
        <v>32</v>
      </c>
    </row>
    <row r="24" spans="1:15" ht="22.5" customHeight="1">
      <c r="A24" s="164">
        <v>28</v>
      </c>
      <c r="B24" s="165" t="s">
        <v>39</v>
      </c>
      <c r="C24" s="242" t="s">
        <v>95</v>
      </c>
      <c r="D24" s="166">
        <v>12000000</v>
      </c>
      <c r="E24" s="167" t="s">
        <v>24</v>
      </c>
      <c r="F24" s="166"/>
      <c r="G24" s="166">
        <f t="shared" si="0"/>
        <v>12000000</v>
      </c>
      <c r="H24" s="166">
        <f t="shared" si="1"/>
        <v>0</v>
      </c>
      <c r="I24" s="167"/>
      <c r="J24" s="243"/>
      <c r="K24" s="243"/>
      <c r="L24" s="243"/>
      <c r="M24" s="240" t="s">
        <v>59</v>
      </c>
      <c r="N24" s="241" t="s">
        <v>60</v>
      </c>
      <c r="O24" s="241" t="s">
        <v>39</v>
      </c>
    </row>
    <row r="25" spans="1:15" ht="22.5" customHeight="1">
      <c r="A25" s="164">
        <v>29</v>
      </c>
      <c r="B25" s="165" t="s">
        <v>44</v>
      </c>
      <c r="C25" s="242" t="s">
        <v>95</v>
      </c>
      <c r="D25" s="166">
        <v>12000000</v>
      </c>
      <c r="E25" s="167" t="s">
        <v>30</v>
      </c>
      <c r="F25" s="166"/>
      <c r="G25" s="166">
        <f t="shared" si="0"/>
        <v>12000000</v>
      </c>
      <c r="H25" s="166">
        <f t="shared" si="1"/>
        <v>0</v>
      </c>
      <c r="I25" s="167"/>
      <c r="J25" s="167"/>
      <c r="K25" s="167"/>
      <c r="L25" s="243"/>
      <c r="M25" s="240" t="s">
        <v>55</v>
      </c>
      <c r="N25" s="241" t="s">
        <v>56</v>
      </c>
      <c r="O25" s="241" t="s">
        <v>44</v>
      </c>
    </row>
    <row r="26" spans="1:15" ht="27" customHeight="1">
      <c r="A26" s="164">
        <v>31</v>
      </c>
      <c r="B26" s="165" t="s">
        <v>128</v>
      </c>
      <c r="C26" s="176" t="s">
        <v>95</v>
      </c>
      <c r="D26" s="166">
        <v>9000000</v>
      </c>
      <c r="E26" s="167" t="s">
        <v>24</v>
      </c>
      <c r="F26" s="166"/>
      <c r="G26" s="166">
        <f t="shared" si="0"/>
        <v>9000000</v>
      </c>
      <c r="H26" s="166">
        <f t="shared" si="1"/>
        <v>0</v>
      </c>
      <c r="I26" s="167"/>
      <c r="J26" s="248" t="s">
        <v>210</v>
      </c>
      <c r="K26" s="248"/>
      <c r="L26" s="243"/>
      <c r="M26" s="240" t="s">
        <v>139</v>
      </c>
      <c r="N26" s="241" t="s">
        <v>138</v>
      </c>
      <c r="O26" s="241" t="s">
        <v>140</v>
      </c>
    </row>
    <row r="27" spans="1:15" s="361" customFormat="1" ht="32.25" customHeight="1">
      <c r="A27" s="351">
        <v>32</v>
      </c>
      <c r="B27" s="352" t="s">
        <v>121</v>
      </c>
      <c r="C27" s="353" t="s">
        <v>96</v>
      </c>
      <c r="D27" s="354">
        <f>26678000+500000</f>
        <v>27178000</v>
      </c>
      <c r="E27" s="355" t="s">
        <v>30</v>
      </c>
      <c r="F27" s="354"/>
      <c r="G27" s="354">
        <f t="shared" si="0"/>
        <v>27178000</v>
      </c>
      <c r="H27" s="354">
        <f t="shared" si="1"/>
        <v>0</v>
      </c>
      <c r="I27" s="356">
        <f>D27/2</f>
        <v>13589000</v>
      </c>
      <c r="J27" s="357" t="s">
        <v>169</v>
      </c>
      <c r="K27" s="357">
        <v>1</v>
      </c>
      <c r="L27" s="358"/>
      <c r="M27" s="359" t="s">
        <v>86</v>
      </c>
      <c r="N27" s="360" t="s">
        <v>60</v>
      </c>
      <c r="O27" s="360" t="s">
        <v>85</v>
      </c>
    </row>
    <row r="28" spans="1:15" ht="22.5" customHeight="1">
      <c r="A28" s="164">
        <v>33</v>
      </c>
      <c r="B28" s="165" t="s">
        <v>120</v>
      </c>
      <c r="C28" s="242" t="s">
        <v>96</v>
      </c>
      <c r="D28" s="166">
        <f>16000000+8000000</f>
        <v>24000000</v>
      </c>
      <c r="E28" s="167" t="s">
        <v>30</v>
      </c>
      <c r="F28" s="166"/>
      <c r="G28" s="166">
        <f t="shared" si="0"/>
        <v>24000000</v>
      </c>
      <c r="H28" s="166">
        <f t="shared" si="1"/>
        <v>0</v>
      </c>
      <c r="I28" s="167"/>
      <c r="J28" s="167"/>
      <c r="K28" s="167"/>
      <c r="L28" s="243"/>
      <c r="M28" s="240" t="s">
        <v>81</v>
      </c>
      <c r="N28" s="241" t="s">
        <v>60</v>
      </c>
      <c r="O28" s="241" t="s">
        <v>5</v>
      </c>
    </row>
    <row r="29" spans="1:15" ht="22.5" customHeight="1">
      <c r="A29" s="164">
        <v>34</v>
      </c>
      <c r="B29" s="165" t="s">
        <v>43</v>
      </c>
      <c r="C29" s="242" t="s">
        <v>96</v>
      </c>
      <c r="D29" s="166">
        <v>12000000</v>
      </c>
      <c r="E29" s="167" t="s">
        <v>30</v>
      </c>
      <c r="F29" s="166"/>
      <c r="G29" s="166">
        <f t="shared" si="0"/>
        <v>12000000</v>
      </c>
      <c r="H29" s="166">
        <f t="shared" si="1"/>
        <v>0</v>
      </c>
      <c r="I29" s="167"/>
      <c r="J29" s="167"/>
      <c r="K29" s="167"/>
      <c r="L29" s="243"/>
      <c r="M29" s="240" t="s">
        <v>162</v>
      </c>
      <c r="N29" s="241" t="s">
        <v>63</v>
      </c>
      <c r="O29" s="241" t="s">
        <v>43</v>
      </c>
    </row>
    <row r="30" spans="1:15" ht="27" customHeight="1">
      <c r="A30" s="164">
        <v>35</v>
      </c>
      <c r="B30" s="165" t="s">
        <v>129</v>
      </c>
      <c r="C30" s="176" t="s">
        <v>96</v>
      </c>
      <c r="D30" s="166">
        <v>8000000</v>
      </c>
      <c r="E30" s="167" t="s">
        <v>30</v>
      </c>
      <c r="F30" s="166"/>
      <c r="G30" s="166">
        <f t="shared" si="0"/>
        <v>8000000</v>
      </c>
      <c r="H30" s="166">
        <f t="shared" si="1"/>
        <v>0</v>
      </c>
      <c r="I30" s="167"/>
      <c r="J30" s="248" t="s">
        <v>240</v>
      </c>
      <c r="K30" s="248"/>
      <c r="L30" s="243"/>
      <c r="M30" s="240" t="s">
        <v>165</v>
      </c>
      <c r="N30" s="241" t="s">
        <v>56</v>
      </c>
      <c r="O30" s="241" t="s">
        <v>129</v>
      </c>
    </row>
    <row r="31" spans="1:15" ht="27" customHeight="1">
      <c r="A31" s="164">
        <v>36</v>
      </c>
      <c r="B31" s="165" t="s">
        <v>148</v>
      </c>
      <c r="C31" s="176" t="s">
        <v>96</v>
      </c>
      <c r="D31" s="201">
        <f>(8000000/30)*20</f>
        <v>5333333.333333334</v>
      </c>
      <c r="E31" s="167" t="s">
        <v>30</v>
      </c>
      <c r="F31" s="166"/>
      <c r="G31" s="166">
        <f t="shared" si="0"/>
        <v>5333333.333333334</v>
      </c>
      <c r="H31" s="166">
        <f t="shared" si="1"/>
        <v>0</v>
      </c>
      <c r="I31" s="167"/>
      <c r="J31" s="248" t="s">
        <v>185</v>
      </c>
      <c r="K31" s="248"/>
      <c r="L31" s="243"/>
      <c r="M31" s="240" t="s">
        <v>158</v>
      </c>
      <c r="N31" s="241" t="s">
        <v>57</v>
      </c>
      <c r="O31" s="241" t="s">
        <v>148</v>
      </c>
    </row>
    <row r="32" spans="1:15" ht="29.25" customHeight="1">
      <c r="A32" s="164">
        <v>39</v>
      </c>
      <c r="B32" s="165" t="s">
        <v>36</v>
      </c>
      <c r="C32" s="242" t="s">
        <v>98</v>
      </c>
      <c r="D32" s="201">
        <v>10000000</v>
      </c>
      <c r="E32" s="167" t="s">
        <v>30</v>
      </c>
      <c r="F32" s="166"/>
      <c r="G32" s="166">
        <f t="shared" si="0"/>
        <v>10000000</v>
      </c>
      <c r="H32" s="166">
        <f t="shared" si="1"/>
        <v>0</v>
      </c>
      <c r="I32" s="167"/>
      <c r="J32" s="167" t="s">
        <v>271</v>
      </c>
      <c r="K32" s="167"/>
      <c r="L32" s="243"/>
      <c r="M32" s="240" t="s">
        <v>66</v>
      </c>
      <c r="N32" s="241" t="s">
        <v>51</v>
      </c>
      <c r="O32" s="241" t="s">
        <v>36</v>
      </c>
    </row>
    <row r="33" spans="1:15" s="19" customFormat="1" ht="33.75" customHeight="1">
      <c r="A33" s="249">
        <v>40</v>
      </c>
      <c r="B33" s="250" t="s">
        <v>150</v>
      </c>
      <c r="C33" s="251" t="s">
        <v>98</v>
      </c>
      <c r="D33" s="264">
        <v>7000000</v>
      </c>
      <c r="E33" s="253" t="s">
        <v>30</v>
      </c>
      <c r="F33" s="264"/>
      <c r="G33" s="166">
        <f t="shared" si="0"/>
        <v>7000000</v>
      </c>
      <c r="H33" s="166">
        <f t="shared" si="1"/>
        <v>0</v>
      </c>
      <c r="I33" s="253"/>
      <c r="J33" s="254" t="s">
        <v>240</v>
      </c>
      <c r="K33" s="254"/>
      <c r="L33" s="243"/>
      <c r="M33" s="255" t="s">
        <v>159</v>
      </c>
      <c r="N33" s="256" t="s">
        <v>160</v>
      </c>
      <c r="O33" s="256" t="s">
        <v>150</v>
      </c>
    </row>
    <row r="34" spans="1:15" ht="41.25" customHeight="1">
      <c r="A34" s="164">
        <v>41</v>
      </c>
      <c r="B34" s="165" t="s">
        <v>166</v>
      </c>
      <c r="C34" s="176" t="s">
        <v>98</v>
      </c>
      <c r="D34" s="166">
        <v>9000000</v>
      </c>
      <c r="E34" s="167" t="s">
        <v>30</v>
      </c>
      <c r="F34" s="166"/>
      <c r="G34" s="166">
        <f t="shared" si="0"/>
        <v>9000000</v>
      </c>
      <c r="H34" s="166">
        <f t="shared" si="1"/>
        <v>0</v>
      </c>
      <c r="I34" s="167"/>
      <c r="J34" s="254" t="s">
        <v>240</v>
      </c>
      <c r="K34" s="248"/>
      <c r="L34" s="257"/>
      <c r="M34" s="240" t="s">
        <v>172</v>
      </c>
      <c r="N34" s="241" t="s">
        <v>63</v>
      </c>
      <c r="O34" s="241" t="s">
        <v>166</v>
      </c>
    </row>
    <row r="35" spans="1:15" s="361" customFormat="1" ht="22.5" customHeight="1">
      <c r="A35" s="351">
        <v>42</v>
      </c>
      <c r="B35" s="352" t="s">
        <v>25</v>
      </c>
      <c r="C35" s="353" t="s">
        <v>99</v>
      </c>
      <c r="D35" s="354">
        <v>12000000</v>
      </c>
      <c r="E35" s="355" t="s">
        <v>30</v>
      </c>
      <c r="F35" s="354"/>
      <c r="G35" s="354">
        <f t="shared" si="0"/>
        <v>12000000</v>
      </c>
      <c r="H35" s="354">
        <f t="shared" si="1"/>
        <v>0</v>
      </c>
      <c r="I35" s="355"/>
      <c r="J35" s="355"/>
      <c r="K35" s="355"/>
      <c r="L35" s="358"/>
      <c r="M35" s="359" t="s">
        <v>79</v>
      </c>
      <c r="N35" s="360" t="s">
        <v>63</v>
      </c>
      <c r="O35" s="360" t="s">
        <v>78</v>
      </c>
    </row>
    <row r="36" spans="1:15" ht="22.5" customHeight="1">
      <c r="A36" s="164">
        <v>43</v>
      </c>
      <c r="B36" s="165" t="s">
        <v>6</v>
      </c>
      <c r="C36" s="242" t="s">
        <v>100</v>
      </c>
      <c r="D36" s="166">
        <v>15000000</v>
      </c>
      <c r="E36" s="167" t="s">
        <v>24</v>
      </c>
      <c r="F36" s="166"/>
      <c r="G36" s="166">
        <f t="shared" si="0"/>
        <v>15000000</v>
      </c>
      <c r="H36" s="166">
        <f t="shared" si="1"/>
        <v>0</v>
      </c>
      <c r="I36" s="167"/>
      <c r="J36" s="167"/>
      <c r="K36" s="167"/>
      <c r="L36" s="243"/>
      <c r="M36" s="240" t="s">
        <v>82</v>
      </c>
      <c r="N36" s="241" t="s">
        <v>51</v>
      </c>
      <c r="O36" s="241" t="s">
        <v>6</v>
      </c>
    </row>
    <row r="37" spans="1:15" ht="63" customHeight="1">
      <c r="A37" s="164">
        <v>44</v>
      </c>
      <c r="B37" s="165" t="s">
        <v>45</v>
      </c>
      <c r="C37" s="242" t="s">
        <v>97</v>
      </c>
      <c r="D37" s="166">
        <v>13902000</v>
      </c>
      <c r="E37" s="167" t="s">
        <v>29</v>
      </c>
      <c r="F37" s="166"/>
      <c r="G37" s="166">
        <f t="shared" si="0"/>
        <v>13902000</v>
      </c>
      <c r="H37" s="166">
        <f t="shared" si="1"/>
        <v>0</v>
      </c>
      <c r="I37" s="167"/>
      <c r="J37" s="167"/>
      <c r="K37" s="167"/>
      <c r="L37" s="243"/>
      <c r="M37" s="240"/>
      <c r="N37" s="241"/>
      <c r="O37" s="241" t="s">
        <v>45</v>
      </c>
    </row>
    <row r="38" spans="1:15" ht="22.5" customHeight="1">
      <c r="A38" s="164">
        <v>46</v>
      </c>
      <c r="B38" s="165" t="s">
        <v>35</v>
      </c>
      <c r="C38" s="242" t="s">
        <v>97</v>
      </c>
      <c r="D38" s="166">
        <v>8000000</v>
      </c>
      <c r="E38" s="167" t="s">
        <v>29</v>
      </c>
      <c r="F38" s="166"/>
      <c r="G38" s="166">
        <f t="shared" si="0"/>
        <v>8000000</v>
      </c>
      <c r="H38" s="166">
        <f t="shared" si="1"/>
        <v>0</v>
      </c>
      <c r="I38" s="167"/>
      <c r="J38" s="167"/>
      <c r="K38" s="167"/>
      <c r="L38" s="243"/>
      <c r="M38" s="240" t="s">
        <v>251</v>
      </c>
      <c r="N38" s="241"/>
      <c r="O38" s="241" t="s">
        <v>35</v>
      </c>
    </row>
    <row r="39" spans="1:15" ht="22.5" customHeight="1">
      <c r="A39" s="164">
        <v>47</v>
      </c>
      <c r="B39" s="165" t="s">
        <v>17</v>
      </c>
      <c r="C39" s="242" t="s">
        <v>101</v>
      </c>
      <c r="D39" s="166">
        <v>16500000</v>
      </c>
      <c r="E39" s="167" t="s">
        <v>29</v>
      </c>
      <c r="F39" s="166"/>
      <c r="G39" s="166">
        <f t="shared" si="0"/>
        <v>16500000</v>
      </c>
      <c r="H39" s="166">
        <f t="shared" si="1"/>
        <v>0</v>
      </c>
      <c r="I39" s="167"/>
      <c r="J39" s="167"/>
      <c r="K39" s="167"/>
      <c r="L39" s="243"/>
      <c r="M39" s="240" t="s">
        <v>83</v>
      </c>
      <c r="N39" s="241" t="s">
        <v>64</v>
      </c>
      <c r="O39" s="241" t="s">
        <v>17</v>
      </c>
    </row>
    <row r="40" spans="1:15" ht="49.5" customHeight="1">
      <c r="A40" s="164">
        <v>48</v>
      </c>
      <c r="B40" s="165" t="s">
        <v>130</v>
      </c>
      <c r="C40" s="176" t="s">
        <v>101</v>
      </c>
      <c r="D40" s="166"/>
      <c r="E40" s="167" t="s">
        <v>24</v>
      </c>
      <c r="F40" s="166"/>
      <c r="G40" s="166">
        <f t="shared" si="0"/>
        <v>0</v>
      </c>
      <c r="H40" s="166">
        <f t="shared" si="1"/>
        <v>0</v>
      </c>
      <c r="I40" s="167"/>
      <c r="J40" s="168" t="s">
        <v>151</v>
      </c>
      <c r="K40" s="168"/>
      <c r="L40" s="243"/>
      <c r="M40" s="240" t="s">
        <v>143</v>
      </c>
      <c r="N40" s="241" t="s">
        <v>133</v>
      </c>
      <c r="O40" s="241" t="s">
        <v>130</v>
      </c>
    </row>
    <row r="41" spans="1:15" ht="31.5" customHeight="1">
      <c r="A41" s="164">
        <v>49</v>
      </c>
      <c r="B41" s="165" t="s">
        <v>146</v>
      </c>
      <c r="C41" s="176" t="s">
        <v>100</v>
      </c>
      <c r="D41" s="166">
        <v>9600000</v>
      </c>
      <c r="E41" s="167" t="s">
        <v>24</v>
      </c>
      <c r="F41" s="166"/>
      <c r="G41" s="166">
        <f t="shared" si="0"/>
        <v>9600000</v>
      </c>
      <c r="H41" s="166">
        <f t="shared" si="1"/>
        <v>0</v>
      </c>
      <c r="I41" s="167"/>
      <c r="J41" s="168" t="s">
        <v>242</v>
      </c>
      <c r="K41" s="248"/>
      <c r="L41" s="243"/>
      <c r="M41" s="240" t="s">
        <v>152</v>
      </c>
      <c r="N41" s="241" t="s">
        <v>57</v>
      </c>
      <c r="O41" s="241" t="s">
        <v>146</v>
      </c>
    </row>
    <row r="42" spans="1:15" ht="36.75" customHeight="1">
      <c r="A42" s="164"/>
      <c r="B42" s="165" t="s">
        <v>179</v>
      </c>
      <c r="C42" s="176"/>
      <c r="D42" s="166">
        <v>6500000</v>
      </c>
      <c r="E42" s="167" t="s">
        <v>24</v>
      </c>
      <c r="F42" s="166"/>
      <c r="G42" s="166">
        <f t="shared" si="0"/>
        <v>6500000</v>
      </c>
      <c r="H42" s="166">
        <f t="shared" si="1"/>
        <v>0</v>
      </c>
      <c r="I42" s="167"/>
      <c r="J42" s="248" t="s">
        <v>242</v>
      </c>
      <c r="K42" s="248"/>
      <c r="L42" s="243"/>
      <c r="M42" s="240" t="s">
        <v>216</v>
      </c>
      <c r="N42" s="241" t="s">
        <v>51</v>
      </c>
      <c r="O42" s="241" t="s">
        <v>179</v>
      </c>
    </row>
    <row r="43" spans="1:15" ht="36.75" customHeight="1">
      <c r="A43" s="164"/>
      <c r="B43" s="165" t="s">
        <v>192</v>
      </c>
      <c r="C43" s="165"/>
      <c r="D43" s="201">
        <v>8000000</v>
      </c>
      <c r="E43" s="167" t="s">
        <v>24</v>
      </c>
      <c r="F43" s="166">
        <v>3000000</v>
      </c>
      <c r="G43" s="166">
        <f t="shared" si="0"/>
        <v>11000000</v>
      </c>
      <c r="H43" s="166">
        <f t="shared" si="1"/>
        <v>-3000000</v>
      </c>
      <c r="I43" s="167"/>
      <c r="J43" s="248" t="s">
        <v>242</v>
      </c>
      <c r="K43" s="168"/>
      <c r="L43" s="243"/>
      <c r="M43" s="240" t="s">
        <v>220</v>
      </c>
      <c r="N43" s="241" t="s">
        <v>54</v>
      </c>
      <c r="O43" s="241" t="s">
        <v>221</v>
      </c>
    </row>
    <row r="44" spans="1:15" ht="36.75" customHeight="1">
      <c r="A44" s="164"/>
      <c r="B44" s="165" t="s">
        <v>193</v>
      </c>
      <c r="C44" s="165"/>
      <c r="D44" s="166">
        <v>6500000</v>
      </c>
      <c r="E44" s="167" t="s">
        <v>24</v>
      </c>
      <c r="F44" s="166"/>
      <c r="G44" s="166">
        <f t="shared" si="0"/>
        <v>6500000</v>
      </c>
      <c r="H44" s="166">
        <f t="shared" si="1"/>
        <v>0</v>
      </c>
      <c r="I44" s="167"/>
      <c r="J44" s="248" t="s">
        <v>242</v>
      </c>
      <c r="K44" s="168"/>
      <c r="L44" s="243"/>
      <c r="M44" s="240" t="s">
        <v>213</v>
      </c>
      <c r="N44" s="241" t="s">
        <v>54</v>
      </c>
      <c r="O44" s="241" t="s">
        <v>193</v>
      </c>
    </row>
    <row r="45" spans="1:15" ht="36.75" customHeight="1">
      <c r="A45" s="164"/>
      <c r="B45" s="165" t="s">
        <v>194</v>
      </c>
      <c r="C45" s="165"/>
      <c r="D45" s="201">
        <v>6500000</v>
      </c>
      <c r="E45" s="167" t="s">
        <v>24</v>
      </c>
      <c r="F45" s="166">
        <v>877500</v>
      </c>
      <c r="G45" s="166">
        <f t="shared" si="0"/>
        <v>7377500</v>
      </c>
      <c r="H45" s="166">
        <f t="shared" si="1"/>
        <v>-877500</v>
      </c>
      <c r="I45" s="167"/>
      <c r="J45" s="248" t="s">
        <v>242</v>
      </c>
      <c r="K45" s="180"/>
      <c r="L45" s="243"/>
      <c r="M45" s="240" t="s">
        <v>232</v>
      </c>
      <c r="N45" s="241" t="s">
        <v>51</v>
      </c>
      <c r="O45" s="241" t="s">
        <v>194</v>
      </c>
    </row>
    <row r="46" spans="1:15" ht="36.75" customHeight="1">
      <c r="A46" s="164"/>
      <c r="B46" s="165" t="s">
        <v>196</v>
      </c>
      <c r="C46" s="165"/>
      <c r="D46" s="166">
        <v>6500000</v>
      </c>
      <c r="E46" s="167" t="s">
        <v>24</v>
      </c>
      <c r="F46" s="166"/>
      <c r="G46" s="166">
        <f t="shared" si="0"/>
        <v>6500000</v>
      </c>
      <c r="H46" s="166">
        <f t="shared" si="1"/>
        <v>0</v>
      </c>
      <c r="I46" s="167"/>
      <c r="J46" s="248" t="s">
        <v>242</v>
      </c>
      <c r="K46" s="180"/>
      <c r="L46" s="243"/>
      <c r="M46" s="240" t="s">
        <v>214</v>
      </c>
      <c r="N46" s="241" t="s">
        <v>138</v>
      </c>
      <c r="O46" s="241" t="s">
        <v>215</v>
      </c>
    </row>
    <row r="47" spans="1:15" ht="36.75" customHeight="1">
      <c r="A47" s="164"/>
      <c r="B47" s="165" t="s">
        <v>199</v>
      </c>
      <c r="C47" s="165"/>
      <c r="D47" s="166">
        <v>6500000</v>
      </c>
      <c r="E47" s="167" t="s">
        <v>24</v>
      </c>
      <c r="F47" s="166"/>
      <c r="G47" s="166">
        <f t="shared" si="0"/>
        <v>6500000</v>
      </c>
      <c r="H47" s="166">
        <f t="shared" si="1"/>
        <v>0</v>
      </c>
      <c r="I47" s="167"/>
      <c r="J47" s="248" t="s">
        <v>242</v>
      </c>
      <c r="K47" s="180"/>
      <c r="L47" s="243"/>
      <c r="M47" s="240" t="s">
        <v>217</v>
      </c>
      <c r="N47" s="241" t="s">
        <v>218</v>
      </c>
      <c r="O47" s="241" t="s">
        <v>219</v>
      </c>
    </row>
    <row r="48" spans="1:15" ht="36.75" customHeight="1">
      <c r="A48" s="164"/>
      <c r="B48" s="165" t="s">
        <v>225</v>
      </c>
      <c r="C48" s="165"/>
      <c r="D48" s="201">
        <f>6500000*85%</f>
        <v>5525000</v>
      </c>
      <c r="E48" s="167" t="s">
        <v>24</v>
      </c>
      <c r="F48" s="166"/>
      <c r="G48" s="166">
        <f t="shared" si="0"/>
        <v>5525000</v>
      </c>
      <c r="H48" s="166">
        <f t="shared" si="1"/>
        <v>0</v>
      </c>
      <c r="I48" s="167"/>
      <c r="J48" s="180"/>
      <c r="K48" s="180"/>
      <c r="L48" s="243"/>
      <c r="M48" s="240" t="s">
        <v>248</v>
      </c>
      <c r="N48" s="248" t="s">
        <v>249</v>
      </c>
      <c r="O48" s="165" t="s">
        <v>225</v>
      </c>
    </row>
    <row r="49" spans="1:15" ht="36.75" customHeight="1">
      <c r="A49" s="164"/>
      <c r="B49" s="165" t="s">
        <v>202</v>
      </c>
      <c r="C49" s="165"/>
      <c r="D49" s="201">
        <f>(7000000/30)*20</f>
        <v>4666666.666666667</v>
      </c>
      <c r="E49" s="167" t="s">
        <v>30</v>
      </c>
      <c r="F49" s="166"/>
      <c r="G49" s="166">
        <f t="shared" si="0"/>
        <v>4666666.666666667</v>
      </c>
      <c r="H49" s="166">
        <f t="shared" si="1"/>
        <v>0</v>
      </c>
      <c r="I49" s="167"/>
      <c r="J49" s="180" t="s">
        <v>203</v>
      </c>
      <c r="K49" s="180"/>
      <c r="L49" s="243"/>
      <c r="M49" s="240" t="s">
        <v>235</v>
      </c>
      <c r="N49" s="241" t="s">
        <v>64</v>
      </c>
      <c r="O49" s="241" t="s">
        <v>236</v>
      </c>
    </row>
    <row r="50" spans="1:15" ht="36.75" customHeight="1">
      <c r="A50" s="164"/>
      <c r="B50" s="165" t="s">
        <v>205</v>
      </c>
      <c r="C50" s="165"/>
      <c r="D50" s="201">
        <f>(7000000/30)*20</f>
        <v>4666666.666666667</v>
      </c>
      <c r="E50" s="167" t="s">
        <v>30</v>
      </c>
      <c r="F50" s="166"/>
      <c r="G50" s="166">
        <f t="shared" si="0"/>
        <v>4666666.666666667</v>
      </c>
      <c r="H50" s="166">
        <f t="shared" si="1"/>
        <v>0</v>
      </c>
      <c r="I50" s="167"/>
      <c r="J50" s="180" t="s">
        <v>204</v>
      </c>
      <c r="K50" s="180"/>
      <c r="L50" s="243"/>
      <c r="M50" s="240" t="s">
        <v>244</v>
      </c>
      <c r="N50" s="241" t="s">
        <v>245</v>
      </c>
      <c r="O50" s="165" t="s">
        <v>205</v>
      </c>
    </row>
    <row r="51" spans="1:15" ht="36.75" customHeight="1">
      <c r="A51" s="164"/>
      <c r="B51" s="165" t="s">
        <v>206</v>
      </c>
      <c r="C51" s="165"/>
      <c r="D51" s="201">
        <v>7000000</v>
      </c>
      <c r="E51" s="167" t="s">
        <v>30</v>
      </c>
      <c r="F51" s="166"/>
      <c r="G51" s="166">
        <f t="shared" si="0"/>
        <v>7000000</v>
      </c>
      <c r="H51" s="166">
        <f t="shared" si="1"/>
        <v>0</v>
      </c>
      <c r="I51" s="167"/>
      <c r="J51" s="180" t="s">
        <v>207</v>
      </c>
      <c r="K51" s="180"/>
      <c r="L51" s="243"/>
      <c r="M51" s="240" t="s">
        <v>246</v>
      </c>
      <c r="N51" s="241" t="s">
        <v>64</v>
      </c>
      <c r="O51" s="165" t="s">
        <v>247</v>
      </c>
    </row>
    <row r="52" spans="1:15" ht="48" customHeight="1">
      <c r="A52" s="164"/>
      <c r="B52" s="165" t="s">
        <v>208</v>
      </c>
      <c r="C52" s="165"/>
      <c r="D52" s="201">
        <v>7000000</v>
      </c>
      <c r="E52" s="167" t="s">
        <v>30</v>
      </c>
      <c r="F52" s="166"/>
      <c r="G52" s="166">
        <f t="shared" si="0"/>
        <v>7000000</v>
      </c>
      <c r="H52" s="166">
        <f t="shared" si="1"/>
        <v>0</v>
      </c>
      <c r="I52" s="167"/>
      <c r="J52" s="180" t="s">
        <v>209</v>
      </c>
      <c r="K52" s="180"/>
      <c r="L52" s="243"/>
      <c r="M52" s="240" t="s">
        <v>234</v>
      </c>
      <c r="N52" s="241" t="s">
        <v>133</v>
      </c>
      <c r="O52" s="241" t="s">
        <v>208</v>
      </c>
    </row>
    <row r="53" spans="1:15" ht="36.75" customHeight="1">
      <c r="A53" s="164"/>
      <c r="B53" s="165" t="s">
        <v>226</v>
      </c>
      <c r="C53" s="165"/>
      <c r="D53" s="166">
        <f>(7000000*85%)/30*28.5</f>
        <v>5652500</v>
      </c>
      <c r="E53" s="167" t="s">
        <v>30</v>
      </c>
      <c r="F53" s="166"/>
      <c r="G53" s="166">
        <f t="shared" si="0"/>
        <v>5652500</v>
      </c>
      <c r="H53" s="166">
        <f t="shared" si="1"/>
        <v>0</v>
      </c>
      <c r="I53" s="167"/>
      <c r="J53" s="180"/>
      <c r="K53" s="180"/>
      <c r="L53" s="243"/>
      <c r="M53" s="240" t="s">
        <v>250</v>
      </c>
      <c r="N53" s="241" t="s">
        <v>133</v>
      </c>
      <c r="O53" s="165" t="s">
        <v>226</v>
      </c>
    </row>
    <row r="54" spans="1:15" ht="36.75" customHeight="1">
      <c r="A54" s="164"/>
      <c r="B54" s="165" t="s">
        <v>254</v>
      </c>
      <c r="C54" s="165"/>
      <c r="D54" s="201">
        <v>950000</v>
      </c>
      <c r="E54" s="166" t="s">
        <v>255</v>
      </c>
      <c r="F54" s="166"/>
      <c r="G54" s="166">
        <f t="shared" si="0"/>
        <v>950000</v>
      </c>
      <c r="H54" s="166">
        <f t="shared" si="1"/>
        <v>0</v>
      </c>
      <c r="I54" s="167"/>
      <c r="J54" s="180"/>
      <c r="K54" s="180"/>
      <c r="L54" s="243"/>
      <c r="M54" s="240" t="s">
        <v>270</v>
      </c>
      <c r="N54" s="241"/>
      <c r="O54" s="165" t="s">
        <v>254</v>
      </c>
    </row>
    <row r="55" spans="1:15" ht="36.75" customHeight="1">
      <c r="A55" s="164"/>
      <c r="B55" s="165" t="s">
        <v>256</v>
      </c>
      <c r="C55" s="165"/>
      <c r="D55" s="201"/>
      <c r="E55" s="166" t="s">
        <v>255</v>
      </c>
      <c r="F55" s="166"/>
      <c r="G55" s="166">
        <f t="shared" si="0"/>
        <v>0</v>
      </c>
      <c r="H55" s="166">
        <f t="shared" si="1"/>
        <v>0</v>
      </c>
      <c r="I55" s="167"/>
      <c r="J55" s="180"/>
      <c r="K55" s="180"/>
      <c r="L55" s="243"/>
      <c r="M55" s="240"/>
      <c r="N55" s="241"/>
      <c r="O55" s="165"/>
    </row>
    <row r="56" spans="1:15" ht="36.75" customHeight="1">
      <c r="A56" s="164"/>
      <c r="B56" s="165" t="s">
        <v>257</v>
      </c>
      <c r="C56" s="165"/>
      <c r="D56" s="201">
        <f>1400000+(6000000/30)*12</f>
        <v>3800000</v>
      </c>
      <c r="E56" s="167"/>
      <c r="F56" s="166"/>
      <c r="G56" s="201">
        <f>1400000+(6000000/30)*12</f>
        <v>3800000</v>
      </c>
      <c r="H56" s="166">
        <f t="shared" si="1"/>
        <v>0</v>
      </c>
      <c r="I56" s="167"/>
      <c r="J56" s="180"/>
      <c r="K56" s="180"/>
      <c r="L56" s="243"/>
      <c r="M56" s="240"/>
      <c r="N56" s="241"/>
      <c r="O56" s="165"/>
    </row>
    <row r="57" spans="1:15" ht="36.75" customHeight="1">
      <c r="A57" s="164"/>
      <c r="B57" s="165" t="s">
        <v>258</v>
      </c>
      <c r="C57" s="165"/>
      <c r="D57" s="201">
        <f>(85%*7000000)/30*24+(3000000/30)*22</f>
        <v>6960000</v>
      </c>
      <c r="E57" s="167"/>
      <c r="F57" s="166"/>
      <c r="G57" s="201">
        <f>(85%*7000000)/30*24+(3000000/30)*22</f>
        <v>6960000</v>
      </c>
      <c r="H57" s="166">
        <f t="shared" si="1"/>
        <v>0</v>
      </c>
      <c r="I57" s="167"/>
      <c r="J57" s="180"/>
      <c r="K57" s="180"/>
      <c r="L57" s="243"/>
      <c r="M57" s="240" t="s">
        <v>267</v>
      </c>
      <c r="N57" s="241" t="s">
        <v>268</v>
      </c>
      <c r="O57" s="165" t="s">
        <v>269</v>
      </c>
    </row>
    <row r="58" spans="1:15" ht="36.75" customHeight="1">
      <c r="A58" s="164"/>
      <c r="B58" s="165" t="s">
        <v>259</v>
      </c>
      <c r="C58" s="165"/>
      <c r="D58" s="201">
        <v>3000000</v>
      </c>
      <c r="E58" s="167"/>
      <c r="F58" s="166"/>
      <c r="G58" s="166">
        <f t="shared" si="0"/>
        <v>3000000</v>
      </c>
      <c r="H58" s="166">
        <f t="shared" si="1"/>
        <v>0</v>
      </c>
      <c r="I58" s="167"/>
      <c r="J58" s="180"/>
      <c r="K58" s="180"/>
      <c r="L58" s="243"/>
      <c r="M58" s="240"/>
      <c r="N58" s="241"/>
      <c r="O58" s="165"/>
    </row>
    <row r="59" spans="1:15" s="3" customFormat="1" ht="19.5" customHeight="1">
      <c r="A59" s="6"/>
      <c r="B59" s="4" t="s">
        <v>0</v>
      </c>
      <c r="C59" s="4"/>
      <c r="D59" s="57">
        <f>SUM(D4:D58)</f>
        <v>662991166.66666651</v>
      </c>
      <c r="E59" s="57">
        <f t="shared" ref="E59:F59" si="3">SUM(E4:E58)</f>
        <v>0</v>
      </c>
      <c r="F59" s="57">
        <f t="shared" si="3"/>
        <v>3877500</v>
      </c>
      <c r="G59" s="57"/>
      <c r="H59" s="57"/>
      <c r="I59" s="5"/>
      <c r="J59" s="5"/>
      <c r="K59" s="5"/>
      <c r="L59" s="243" t="s">
        <v>46</v>
      </c>
      <c r="M59" s="240"/>
      <c r="N59" s="241"/>
      <c r="O59" s="241"/>
    </row>
    <row r="60" spans="1:15" s="3" customFormat="1" ht="19.5" customHeight="1">
      <c r="A60" s="269"/>
      <c r="B60" s="270" t="s">
        <v>265</v>
      </c>
      <c r="C60" s="270"/>
      <c r="D60" s="271"/>
      <c r="E60" s="271"/>
      <c r="F60" s="271">
        <f>D59+F59</f>
        <v>666868666.66666651</v>
      </c>
      <c r="G60" s="271"/>
      <c r="H60" s="271"/>
      <c r="I60" s="121"/>
      <c r="J60" s="121"/>
      <c r="K60" s="121"/>
      <c r="L60" s="272"/>
      <c r="M60" s="273"/>
      <c r="N60" s="274"/>
      <c r="O60" s="274"/>
    </row>
    <row r="61" spans="1:15" ht="21" customHeight="1">
      <c r="B61" s="1" t="s">
        <v>46</v>
      </c>
      <c r="D61" s="162">
        <f ca="1">SUMIF($L$4:$L$61,"TM",($D$4:$D$59))</f>
        <v>670991166.66666651</v>
      </c>
      <c r="L61" s="3"/>
    </row>
    <row r="62" spans="1:15" ht="21" customHeight="1">
      <c r="B62" s="1" t="s">
        <v>211</v>
      </c>
      <c r="D62" s="162">
        <f ca="1">D59-D61</f>
        <v>-8000000</v>
      </c>
      <c r="E62" s="162"/>
      <c r="F62" s="162"/>
      <c r="G62" s="162"/>
      <c r="H62" s="162"/>
      <c r="I62" s="162"/>
    </row>
    <row r="63" spans="1:15" ht="19.5" customHeight="1">
      <c r="B63" s="12" t="s">
        <v>22</v>
      </c>
      <c r="C63" s="12"/>
      <c r="D63" s="58">
        <f>SUMIF($E$4:$E$59,"idocNet",($D$4:$D$59))</f>
        <v>114275000</v>
      </c>
      <c r="E63" s="11"/>
      <c r="F63" s="11"/>
      <c r="G63" s="11"/>
      <c r="H63" s="11"/>
      <c r="I63" s="11"/>
      <c r="J63" s="11"/>
      <c r="K63" s="11"/>
    </row>
    <row r="64" spans="1:15" ht="19.5" customHeight="1">
      <c r="B64" s="12" t="s">
        <v>23</v>
      </c>
      <c r="C64" s="12"/>
      <c r="D64" s="58">
        <f>SUMIF($E$4:$E$59,"idocST",($D$4:$D$59))</f>
        <v>296623166.66666669</v>
      </c>
      <c r="E64" s="11"/>
      <c r="F64" s="11"/>
      <c r="G64" s="11"/>
      <c r="H64" s="11"/>
      <c r="I64" s="11"/>
      <c r="J64" s="11"/>
      <c r="K64" s="11"/>
    </row>
    <row r="65" spans="2:11" ht="63" customHeight="1">
      <c r="B65" s="12" t="s">
        <v>24</v>
      </c>
      <c r="C65" s="12"/>
      <c r="D65" s="58">
        <f>SUMIF($E$4:$E$59,"Long Quang",($D$4:$D$59))</f>
        <v>237383000</v>
      </c>
      <c r="E65" s="11"/>
      <c r="F65" s="11"/>
      <c r="G65" s="11"/>
      <c r="H65" s="11"/>
      <c r="I65" s="11"/>
      <c r="J65" s="11"/>
      <c r="K65" s="11"/>
    </row>
    <row r="66" spans="2:11" ht="63" customHeight="1">
      <c r="D66" s="464"/>
      <c r="E66" s="464"/>
      <c r="F66" s="464"/>
      <c r="G66" s="464"/>
      <c r="H66" s="464"/>
      <c r="I66" s="464"/>
      <c r="J66" s="464"/>
      <c r="K66" s="262"/>
    </row>
    <row r="67" spans="2:11" ht="22.5" customHeight="1">
      <c r="D67" s="7" t="e">
        <f>D59-#REF!</f>
        <v>#REF!</v>
      </c>
      <c r="E67" s="234" t="e">
        <f>D59-#REF!</f>
        <v>#REF!</v>
      </c>
      <c r="F67" s="7"/>
      <c r="G67" s="7"/>
      <c r="H67" s="7"/>
      <c r="I67" s="234"/>
      <c r="J67" s="11">
        <v>23000000</v>
      </c>
      <c r="K67" s="11"/>
    </row>
    <row r="68" spans="2:11" ht="22.5" customHeight="1">
      <c r="D68" s="7"/>
      <c r="E68" s="3"/>
      <c r="F68" s="7"/>
      <c r="G68" s="7"/>
      <c r="H68" s="7"/>
      <c r="I68" s="3"/>
      <c r="J68" s="11"/>
      <c r="K68" s="11"/>
    </row>
    <row r="69" spans="2:11" ht="22.5" customHeight="1">
      <c r="D69" s="464"/>
      <c r="E69" s="464"/>
      <c r="F69" s="464"/>
      <c r="G69" s="464"/>
      <c r="H69" s="464"/>
      <c r="I69" s="464"/>
      <c r="J69" s="464"/>
      <c r="K69" s="262"/>
    </row>
    <row r="70" spans="2:11" ht="22.5" customHeight="1">
      <c r="J70" s="11"/>
      <c r="K70" s="11"/>
    </row>
    <row r="71" spans="2:11" ht="22.5" customHeight="1">
      <c r="J71" s="11"/>
      <c r="K71" s="11"/>
    </row>
    <row r="72" spans="2:11" ht="22.5" customHeight="1">
      <c r="J72" s="11"/>
      <c r="K72" s="11"/>
    </row>
    <row r="73" spans="2:11" ht="22.5" customHeight="1">
      <c r="J73" s="11"/>
      <c r="K73" s="11"/>
    </row>
    <row r="74" spans="2:11" ht="22.5" customHeight="1">
      <c r="J74" s="11"/>
      <c r="K74" s="11"/>
    </row>
    <row r="75" spans="2:11" ht="22.5" customHeight="1">
      <c r="J75" s="11"/>
      <c r="K75" s="11"/>
    </row>
    <row r="76" spans="2:11" ht="22.5" customHeight="1">
      <c r="J76" s="11"/>
      <c r="K76" s="11"/>
    </row>
    <row r="77" spans="2:11" ht="22.5" customHeight="1">
      <c r="J77" s="11"/>
      <c r="K77" s="11"/>
    </row>
    <row r="78" spans="2:11" ht="22.5" customHeight="1">
      <c r="J78" s="11"/>
      <c r="K78" s="11"/>
    </row>
    <row r="79" spans="2:11" ht="22.5" customHeight="1">
      <c r="J79" s="11"/>
      <c r="K79" s="11"/>
    </row>
    <row r="80" spans="2:11" ht="22.5" customHeight="1">
      <c r="J80" s="11"/>
      <c r="K80" s="11"/>
    </row>
    <row r="81" spans="10:11" ht="22.5" customHeight="1">
      <c r="J81" s="11"/>
      <c r="K81" s="11"/>
    </row>
    <row r="82" spans="10:11" ht="22.5" customHeight="1">
      <c r="J82" s="11"/>
      <c r="K82" s="11"/>
    </row>
    <row r="83" spans="10:11" ht="22.5" customHeight="1">
      <c r="J83" s="11"/>
      <c r="K83" s="11"/>
    </row>
  </sheetData>
  <mergeCells count="2">
    <mergeCell ref="D66:J66"/>
    <mergeCell ref="D69:J69"/>
  </mergeCells>
  <printOptions horizontalCentered="1"/>
  <pageMargins left="0.2" right="0" top="0.5" bottom="0.2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M18"/>
  <sheetViews>
    <sheetView topLeftCell="A4" workbookViewId="0">
      <selection activeCell="L16" sqref="L16"/>
    </sheetView>
  </sheetViews>
  <sheetFormatPr defaultRowHeight="15"/>
  <cols>
    <col min="11" max="11" width="21.140625" customWidth="1"/>
    <col min="12" max="12" width="14.85546875" style="265" customWidth="1"/>
    <col min="13" max="13" width="15.140625" style="265" customWidth="1"/>
  </cols>
  <sheetData>
    <row r="13" spans="11:13">
      <c r="K13" s="266" t="s">
        <v>260</v>
      </c>
      <c r="L13" s="267">
        <v>7000000</v>
      </c>
      <c r="M13" s="267">
        <v>7000000</v>
      </c>
    </row>
    <row r="14" spans="11:13">
      <c r="K14" s="266" t="s">
        <v>261</v>
      </c>
      <c r="L14" s="267">
        <v>24</v>
      </c>
      <c r="M14" s="267">
        <v>30</v>
      </c>
    </row>
    <row r="15" spans="11:13">
      <c r="K15" s="266" t="s">
        <v>262</v>
      </c>
      <c r="L15" s="267">
        <f>L13/24</f>
        <v>291666.66666666669</v>
      </c>
      <c r="M15" s="267">
        <f>M13/M14</f>
        <v>233333.33333333334</v>
      </c>
    </row>
    <row r="16" spans="11:13">
      <c r="K16" s="266" t="s">
        <v>263</v>
      </c>
      <c r="L16" s="267">
        <v>16</v>
      </c>
      <c r="M16" s="267">
        <v>20</v>
      </c>
    </row>
    <row r="17" spans="11:13">
      <c r="K17" s="266" t="s">
        <v>264</v>
      </c>
      <c r="L17" s="267">
        <f>L15*L16</f>
        <v>4666666.666666667</v>
      </c>
      <c r="M17" s="268">
        <f>M15*M16</f>
        <v>4666666.666666667</v>
      </c>
    </row>
    <row r="18" spans="11:13">
      <c r="K18" s="266"/>
      <c r="L18" s="267"/>
      <c r="M18" s="2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C10" sqref="C10"/>
    </sheetView>
  </sheetViews>
  <sheetFormatPr defaultRowHeight="22.5" customHeight="1"/>
  <cols>
    <col min="1" max="1" width="4.28515625" style="1" customWidth="1"/>
    <col min="2" max="2" width="25.42578125" style="1" customWidth="1"/>
    <col min="3" max="3" width="12.7109375" style="1" customWidth="1"/>
    <col min="4" max="4" width="12.7109375" style="8" hidden="1" customWidth="1"/>
    <col min="5" max="5" width="15.7109375" style="2" hidden="1" customWidth="1"/>
    <col min="6" max="6" width="13.140625" style="1" customWidth="1"/>
    <col min="7" max="7" width="25.7109375" style="1" customWidth="1"/>
    <col min="8" max="16384" width="9.140625" style="1"/>
  </cols>
  <sheetData>
    <row r="1" spans="1:7" ht="22.5" customHeight="1">
      <c r="A1" s="460" t="s">
        <v>115</v>
      </c>
      <c r="B1" s="460"/>
      <c r="C1" s="460"/>
      <c r="D1" s="460"/>
      <c r="E1" s="460"/>
      <c r="F1" s="460"/>
      <c r="G1" s="460"/>
    </row>
    <row r="2" spans="1:7" ht="22.5" customHeight="1">
      <c r="A2" s="461"/>
      <c r="B2" s="461"/>
      <c r="C2" s="461"/>
      <c r="D2" s="461"/>
      <c r="E2" s="461"/>
      <c r="F2" s="461"/>
      <c r="G2" s="461"/>
    </row>
    <row r="3" spans="1:7" s="26" customFormat="1" ht="33" customHeight="1">
      <c r="A3" s="23" t="s">
        <v>20</v>
      </c>
      <c r="B3" s="23" t="s">
        <v>13</v>
      </c>
      <c r="C3" s="23" t="s">
        <v>90</v>
      </c>
      <c r="D3" s="50" t="s">
        <v>106</v>
      </c>
      <c r="E3" s="24" t="s">
        <v>12</v>
      </c>
      <c r="F3" s="25" t="s">
        <v>91</v>
      </c>
      <c r="G3" s="25" t="s">
        <v>92</v>
      </c>
    </row>
    <row r="4" spans="1:7" s="19" customFormat="1" ht="33.75" customHeight="1">
      <c r="A4" s="13"/>
      <c r="B4" s="17"/>
      <c r="C4" s="43"/>
      <c r="D4" s="47"/>
      <c r="E4" s="16"/>
      <c r="F4" s="18"/>
      <c r="G4" s="39"/>
    </row>
    <row r="5" spans="1:7" s="19" customFormat="1" ht="33.75" customHeight="1">
      <c r="A5" s="13"/>
      <c r="B5" s="17"/>
      <c r="C5" s="43"/>
      <c r="D5" s="47"/>
      <c r="E5" s="16"/>
      <c r="F5" s="18"/>
      <c r="G5" s="39"/>
    </row>
    <row r="6" spans="1:7" s="8" customFormat="1" ht="33.75" customHeight="1">
      <c r="A6" s="13"/>
      <c r="B6" s="9"/>
      <c r="C6" s="43"/>
      <c r="D6" s="47"/>
      <c r="E6" s="16"/>
      <c r="F6" s="14"/>
      <c r="G6" s="39"/>
    </row>
    <row r="7" spans="1:7" s="31" customFormat="1" ht="33.75" customHeight="1">
      <c r="A7" s="13"/>
      <c r="B7" s="28"/>
      <c r="C7" s="44"/>
      <c r="D7" s="47"/>
      <c r="E7" s="29"/>
      <c r="F7" s="30"/>
      <c r="G7" s="39"/>
    </row>
    <row r="8" spans="1:7" s="19" customFormat="1" ht="33.75" customHeight="1">
      <c r="A8" s="13"/>
      <c r="B8" s="17"/>
      <c r="C8" s="45"/>
      <c r="D8" s="47"/>
      <c r="E8" s="37"/>
      <c r="F8" s="18"/>
      <c r="G8" s="39"/>
    </row>
    <row r="9" spans="1:7" s="31" customFormat="1" ht="33.75" customHeight="1">
      <c r="A9" s="13"/>
      <c r="B9" s="28"/>
      <c r="C9" s="44"/>
      <c r="D9" s="47"/>
      <c r="E9" s="29"/>
      <c r="F9" s="30"/>
      <c r="G9" s="39"/>
    </row>
    <row r="10" spans="1:7" s="31" customFormat="1" ht="33.75" customHeight="1">
      <c r="A10" s="13"/>
      <c r="B10" s="28"/>
      <c r="C10" s="44"/>
      <c r="D10" s="47"/>
      <c r="E10" s="29"/>
      <c r="F10" s="30"/>
      <c r="G10" s="39"/>
    </row>
    <row r="11" spans="1:7" s="19" customFormat="1" ht="33.75" customHeight="1">
      <c r="A11" s="13"/>
      <c r="B11" s="17"/>
      <c r="C11" s="46"/>
      <c r="D11" s="51"/>
      <c r="E11" s="16"/>
      <c r="F11" s="20"/>
      <c r="G11" s="39"/>
    </row>
    <row r="12" spans="1:7" s="8" customFormat="1" ht="7.5" customHeight="1">
      <c r="A12" s="13"/>
      <c r="B12" s="10"/>
      <c r="C12" s="10"/>
      <c r="D12" s="10"/>
      <c r="E12" s="21"/>
      <c r="F12" s="15"/>
      <c r="G12" s="15"/>
    </row>
    <row r="13" spans="1:7" s="3" customFormat="1" ht="34.5" customHeight="1">
      <c r="A13" s="6"/>
      <c r="B13" s="4" t="s">
        <v>0</v>
      </c>
      <c r="C13" s="4"/>
      <c r="D13" s="48"/>
      <c r="E13" s="5">
        <f>SUBTOTAL(9,E4:E12)</f>
        <v>0</v>
      </c>
      <c r="F13" s="5">
        <f>SUM(F4:F10)</f>
        <v>0</v>
      </c>
      <c r="G13" s="5"/>
    </row>
    <row r="14" spans="1:7" ht="22.5" customHeight="1">
      <c r="G14" s="11"/>
    </row>
    <row r="15" spans="1:7" ht="22.5" customHeight="1">
      <c r="G15" s="11"/>
    </row>
    <row r="16" spans="1:7" ht="22.5" customHeight="1">
      <c r="E16" s="38"/>
      <c r="G16" s="11"/>
    </row>
    <row r="17" spans="7:7" ht="22.5" customHeight="1">
      <c r="G17" s="11"/>
    </row>
    <row r="18" spans="7:7" ht="22.5" customHeight="1">
      <c r="G18" s="11"/>
    </row>
    <row r="19" spans="7:7" ht="22.5" customHeight="1">
      <c r="G19" s="11"/>
    </row>
    <row r="20" spans="7:7" ht="22.5" customHeight="1">
      <c r="G20" s="11"/>
    </row>
    <row r="21" spans="7:7" ht="22.5" customHeight="1">
      <c r="G21" s="11"/>
    </row>
    <row r="22" spans="7:7" ht="22.5" customHeight="1">
      <c r="G22" s="11"/>
    </row>
    <row r="23" spans="7:7" ht="22.5" customHeight="1">
      <c r="G23" s="11"/>
    </row>
    <row r="24" spans="7:7" ht="22.5" customHeight="1">
      <c r="G24" s="11"/>
    </row>
  </sheetData>
  <autoFilter ref="A3:G15"/>
  <mergeCells count="2">
    <mergeCell ref="A1:G1"/>
    <mergeCell ref="A2:G2"/>
  </mergeCells>
  <printOptions horizontalCentered="1"/>
  <pageMargins left="0.45" right="0" top="0.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5" zoomScaleNormal="85" workbookViewId="0">
      <selection activeCell="G16" sqref="G16"/>
    </sheetView>
  </sheetViews>
  <sheetFormatPr defaultRowHeight="22.5" customHeight="1"/>
  <cols>
    <col min="1" max="1" width="4.28515625" style="83" customWidth="1"/>
    <col min="2" max="2" width="25.42578125" style="1" customWidth="1"/>
    <col min="3" max="3" width="12.7109375" style="1" customWidth="1"/>
    <col min="4" max="5" width="12.7109375" style="8" customWidth="1"/>
    <col min="6" max="6" width="13.85546875" style="2" customWidth="1"/>
    <col min="7" max="7" width="17.5703125" style="2" customWidth="1"/>
    <col min="8" max="8" width="16.42578125" style="2" customWidth="1"/>
    <col min="9" max="9" width="13.5703125" style="1" customWidth="1"/>
    <col min="10" max="10" width="35.5703125" style="1" customWidth="1"/>
    <col min="11" max="11" width="24.140625" style="1" customWidth="1"/>
    <col min="12" max="16384" width="9.140625" style="1"/>
  </cols>
  <sheetData>
    <row r="1" spans="1:11" ht="22.5" customHeight="1">
      <c r="A1" s="460" t="s">
        <v>107</v>
      </c>
      <c r="B1" s="460"/>
      <c r="C1" s="460"/>
      <c r="D1" s="460"/>
      <c r="E1" s="460"/>
      <c r="F1" s="460"/>
      <c r="G1" s="460"/>
      <c r="H1" s="460"/>
      <c r="I1" s="460"/>
      <c r="J1" s="460"/>
    </row>
    <row r="2" spans="1:11" ht="22.5" customHeight="1">
      <c r="A2" s="461" t="s">
        <v>108</v>
      </c>
      <c r="B2" s="461"/>
      <c r="C2" s="461"/>
      <c r="D2" s="461"/>
      <c r="E2" s="461"/>
      <c r="F2" s="461"/>
      <c r="G2" s="461"/>
      <c r="H2" s="461"/>
      <c r="I2" s="461"/>
      <c r="J2" s="461"/>
    </row>
    <row r="3" spans="1:11" s="26" customFormat="1" ht="38.25" customHeight="1">
      <c r="A3" s="23" t="s">
        <v>20</v>
      </c>
      <c r="B3" s="23" t="s">
        <v>13</v>
      </c>
      <c r="C3" s="23" t="s">
        <v>90</v>
      </c>
      <c r="D3" s="50" t="s">
        <v>109</v>
      </c>
      <c r="E3" s="50" t="s">
        <v>111</v>
      </c>
      <c r="F3" s="52" t="s">
        <v>110</v>
      </c>
      <c r="G3" s="52" t="s">
        <v>114</v>
      </c>
      <c r="H3" s="52" t="s">
        <v>113</v>
      </c>
      <c r="I3" s="25" t="s">
        <v>91</v>
      </c>
      <c r="J3" s="25" t="s">
        <v>92</v>
      </c>
    </row>
    <row r="4" spans="1:11" ht="22.5" customHeight="1">
      <c r="A4" s="93">
        <v>1</v>
      </c>
      <c r="B4" s="107" t="s">
        <v>112</v>
      </c>
      <c r="C4" s="94"/>
      <c r="D4" s="76">
        <v>44774</v>
      </c>
      <c r="E4" s="76">
        <v>44774</v>
      </c>
      <c r="F4" s="77">
        <v>1000000</v>
      </c>
      <c r="G4" s="77"/>
      <c r="H4" s="78"/>
      <c r="I4" s="79" t="s">
        <v>30</v>
      </c>
      <c r="J4" s="79" t="s">
        <v>135</v>
      </c>
    </row>
    <row r="5" spans="1:11" ht="22.5" customHeight="1">
      <c r="A5" s="80">
        <v>8</v>
      </c>
      <c r="B5" s="70" t="s">
        <v>44</v>
      </c>
      <c r="C5" s="71" t="s">
        <v>96</v>
      </c>
      <c r="D5" s="72">
        <v>44743</v>
      </c>
      <c r="E5" s="72">
        <v>44743</v>
      </c>
      <c r="F5" s="73">
        <v>1000000</v>
      </c>
      <c r="G5" s="73"/>
      <c r="H5" s="74"/>
      <c r="I5" s="75" t="s">
        <v>30</v>
      </c>
      <c r="J5" s="75" t="s">
        <v>116</v>
      </c>
    </row>
    <row r="6" spans="1:11" ht="22.5" customHeight="1">
      <c r="A6" s="80">
        <v>9</v>
      </c>
      <c r="B6" s="70" t="s">
        <v>39</v>
      </c>
      <c r="C6" s="71" t="s">
        <v>96</v>
      </c>
      <c r="D6" s="72">
        <v>44743</v>
      </c>
      <c r="E6" s="72">
        <v>44743</v>
      </c>
      <c r="F6" s="73">
        <v>1000000</v>
      </c>
      <c r="G6" s="73"/>
      <c r="H6" s="74"/>
      <c r="I6" s="75" t="s">
        <v>24</v>
      </c>
      <c r="J6" s="75" t="s">
        <v>116</v>
      </c>
    </row>
    <row r="7" spans="1:11" ht="22.5" customHeight="1">
      <c r="A7" s="81">
        <v>10</v>
      </c>
      <c r="B7" s="64" t="s">
        <v>122</v>
      </c>
      <c r="C7" s="65" t="s">
        <v>136</v>
      </c>
      <c r="D7" s="66"/>
      <c r="E7" s="66">
        <v>44835</v>
      </c>
      <c r="F7" s="67">
        <v>1000000</v>
      </c>
      <c r="G7" s="67"/>
      <c r="H7" s="68"/>
      <c r="I7" s="69" t="s">
        <v>24</v>
      </c>
      <c r="J7" s="69" t="s">
        <v>137</v>
      </c>
      <c r="K7" s="1" t="s">
        <v>175</v>
      </c>
    </row>
    <row r="8" spans="1:11" ht="22.5" customHeight="1">
      <c r="A8" s="81">
        <v>11</v>
      </c>
      <c r="B8" s="64" t="s">
        <v>42</v>
      </c>
      <c r="C8" s="65" t="s">
        <v>136</v>
      </c>
      <c r="D8" s="66"/>
      <c r="E8" s="66">
        <v>44835</v>
      </c>
      <c r="F8" s="67">
        <v>1000000</v>
      </c>
      <c r="G8" s="67"/>
      <c r="H8" s="68"/>
      <c r="I8" s="69" t="s">
        <v>24</v>
      </c>
      <c r="J8" s="69" t="s">
        <v>137</v>
      </c>
    </row>
    <row r="9" spans="1:11" ht="22.5" customHeight="1">
      <c r="A9" s="81">
        <v>12</v>
      </c>
      <c r="B9" s="64" t="s">
        <v>32</v>
      </c>
      <c r="C9" s="65" t="s">
        <v>95</v>
      </c>
      <c r="D9" s="66"/>
      <c r="E9" s="66">
        <v>44835</v>
      </c>
      <c r="F9" s="67">
        <v>1000000</v>
      </c>
      <c r="G9" s="67"/>
      <c r="H9" s="68"/>
      <c r="I9" s="69" t="s">
        <v>30</v>
      </c>
      <c r="J9" s="69" t="s">
        <v>137</v>
      </c>
    </row>
    <row r="10" spans="1:11" ht="22.5" customHeight="1">
      <c r="A10" s="81">
        <v>13</v>
      </c>
      <c r="B10" s="64" t="s">
        <v>103</v>
      </c>
      <c r="C10" s="65" t="s">
        <v>95</v>
      </c>
      <c r="D10" s="66"/>
      <c r="E10" s="66">
        <v>44835</v>
      </c>
      <c r="F10" s="67">
        <v>1000000</v>
      </c>
      <c r="G10" s="67"/>
      <c r="H10" s="68"/>
      <c r="I10" s="69" t="s">
        <v>30</v>
      </c>
      <c r="J10" s="69" t="s">
        <v>137</v>
      </c>
    </row>
    <row r="11" spans="1:11" ht="26.25" customHeight="1">
      <c r="A11" s="81">
        <v>14</v>
      </c>
      <c r="B11" s="64" t="s">
        <v>15</v>
      </c>
      <c r="C11" s="65" t="s">
        <v>155</v>
      </c>
      <c r="D11" s="66">
        <v>44652</v>
      </c>
      <c r="E11" s="66">
        <v>44652</v>
      </c>
      <c r="F11" s="67">
        <v>1000000</v>
      </c>
      <c r="G11" s="67"/>
      <c r="H11" s="68"/>
      <c r="I11" s="69" t="s">
        <v>24</v>
      </c>
      <c r="J11" s="69" t="s">
        <v>156</v>
      </c>
      <c r="K11" s="1" t="s">
        <v>176</v>
      </c>
    </row>
    <row r="12" spans="1:11" ht="22.5" customHeight="1">
      <c r="A12" s="84"/>
      <c r="B12" s="85" t="s">
        <v>166</v>
      </c>
      <c r="C12" s="86" t="s">
        <v>200</v>
      </c>
      <c r="D12" s="87">
        <v>44958</v>
      </c>
      <c r="E12" s="87" t="s">
        <v>201</v>
      </c>
      <c r="F12" s="42">
        <v>1000000</v>
      </c>
      <c r="G12" s="42"/>
      <c r="H12" s="88"/>
      <c r="I12" s="89"/>
      <c r="J12" s="89"/>
      <c r="K12" s="108"/>
    </row>
    <row r="13" spans="1:11" ht="22.5" customHeight="1">
      <c r="A13" s="84"/>
      <c r="B13" s="85"/>
      <c r="C13" s="86"/>
      <c r="D13" s="87"/>
      <c r="E13" s="87"/>
      <c r="F13" s="42"/>
      <c r="G13" s="42"/>
      <c r="H13" s="88"/>
      <c r="I13" s="89"/>
      <c r="J13" s="89"/>
      <c r="K13" s="108"/>
    </row>
    <row r="14" spans="1:11" ht="22.5" customHeight="1">
      <c r="A14" s="84"/>
      <c r="B14" s="85"/>
      <c r="C14" s="86"/>
      <c r="D14" s="87"/>
      <c r="E14" s="87"/>
      <c r="F14" s="42"/>
      <c r="G14" s="42"/>
      <c r="H14" s="88"/>
      <c r="I14" s="89"/>
      <c r="J14" s="89"/>
      <c r="K14" s="108"/>
    </row>
    <row r="15" spans="1:11" ht="22.5" customHeight="1">
      <c r="A15" s="84"/>
      <c r="B15" s="85"/>
      <c r="C15" s="86"/>
      <c r="D15" s="87"/>
      <c r="E15" s="87"/>
      <c r="F15" s="42"/>
      <c r="G15" s="42"/>
      <c r="H15" s="88"/>
      <c r="I15" s="89"/>
      <c r="J15" s="89"/>
      <c r="K15" s="108"/>
    </row>
    <row r="16" spans="1:11" s="19" customFormat="1" ht="33.75" customHeight="1">
      <c r="A16" s="63"/>
      <c r="B16" s="17"/>
      <c r="C16" s="46"/>
      <c r="D16" s="51"/>
      <c r="E16" s="51"/>
      <c r="F16" s="16"/>
      <c r="G16" s="16"/>
      <c r="H16" s="60"/>
      <c r="I16" s="20"/>
      <c r="J16" s="39"/>
    </row>
    <row r="17" spans="1:10" s="8" customFormat="1" ht="7.5" customHeight="1">
      <c r="A17" s="63"/>
      <c r="B17" s="10"/>
      <c r="C17" s="10"/>
      <c r="D17" s="10"/>
      <c r="E17" s="10"/>
      <c r="F17" s="21"/>
      <c r="G17" s="21"/>
      <c r="H17" s="21"/>
      <c r="I17" s="15"/>
      <c r="J17" s="15"/>
    </row>
    <row r="18" spans="1:10" s="3" customFormat="1" ht="19.5" customHeight="1">
      <c r="A18" s="82"/>
      <c r="B18" s="4" t="s">
        <v>0</v>
      </c>
      <c r="C18" s="4"/>
      <c r="D18" s="48"/>
      <c r="E18" s="48"/>
      <c r="F18" s="5"/>
      <c r="G18" s="5">
        <f>SUBTOTAL(9,G4:G17)</f>
        <v>0</v>
      </c>
      <c r="H18" s="5"/>
      <c r="I18" s="5">
        <f>SUM(I4:I4)</f>
        <v>0</v>
      </c>
      <c r="J18" s="5"/>
    </row>
    <row r="19" spans="1:10" ht="22.5" customHeight="1">
      <c r="F19" s="464" t="s">
        <v>18</v>
      </c>
      <c r="G19" s="464"/>
      <c r="H19" s="464"/>
      <c r="I19" s="464"/>
      <c r="J19" s="11"/>
    </row>
    <row r="20" spans="1:10" ht="22.5" customHeight="1">
      <c r="F20" s="7"/>
      <c r="G20" s="7"/>
      <c r="H20" s="7"/>
      <c r="I20" s="3"/>
      <c r="J20" s="11"/>
    </row>
    <row r="21" spans="1:10" ht="22.5" customHeight="1">
      <c r="F21" s="7"/>
      <c r="G21" s="7"/>
      <c r="H21" s="7"/>
      <c r="I21" s="3"/>
      <c r="J21" s="11"/>
    </row>
    <row r="22" spans="1:10" ht="22.5" customHeight="1">
      <c r="F22" s="464" t="s">
        <v>19</v>
      </c>
      <c r="G22" s="464"/>
      <c r="H22" s="464"/>
      <c r="I22" s="464"/>
      <c r="J22" s="11"/>
    </row>
    <row r="23" spans="1:10" ht="22.5" customHeight="1">
      <c r="J23" s="11"/>
    </row>
    <row r="24" spans="1:10" ht="22.5" customHeight="1">
      <c r="J24" s="11"/>
    </row>
    <row r="25" spans="1:10" ht="22.5" customHeight="1">
      <c r="J25" s="11"/>
    </row>
    <row r="26" spans="1:10" ht="22.5" customHeight="1">
      <c r="J26" s="11"/>
    </row>
    <row r="27" spans="1:10" ht="22.5" customHeight="1">
      <c r="J27" s="11"/>
    </row>
    <row r="28" spans="1:10" ht="22.5" customHeight="1">
      <c r="F28" s="38"/>
      <c r="G28" s="38"/>
      <c r="H28" s="38"/>
      <c r="J28" s="11"/>
    </row>
    <row r="29" spans="1:10" ht="22.5" customHeight="1">
      <c r="J29" s="11"/>
    </row>
    <row r="30" spans="1:10" ht="22.5" customHeight="1">
      <c r="J30" s="11"/>
    </row>
    <row r="31" spans="1:10" ht="22.5" customHeight="1">
      <c r="J31" s="11"/>
    </row>
    <row r="32" spans="1:10" ht="22.5" customHeight="1">
      <c r="J32" s="11"/>
    </row>
    <row r="33" spans="10:10" ht="22.5" customHeight="1">
      <c r="J33" s="11"/>
    </row>
    <row r="34" spans="10:10" ht="22.5" customHeight="1">
      <c r="J34" s="11"/>
    </row>
    <row r="35" spans="10:10" ht="22.5" customHeight="1">
      <c r="J35" s="11"/>
    </row>
    <row r="36" spans="10:10" ht="22.5" customHeight="1">
      <c r="J36" s="11"/>
    </row>
  </sheetData>
  <autoFilter ref="A3:J27"/>
  <mergeCells count="4">
    <mergeCell ref="A1:J1"/>
    <mergeCell ref="A2:J2"/>
    <mergeCell ref="F19:I19"/>
    <mergeCell ref="F22:I22"/>
  </mergeCells>
  <printOptions horizontalCentered="1"/>
  <pageMargins left="0.45" right="0" top="0.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C44" sqref="C44"/>
    </sheetView>
  </sheetViews>
  <sheetFormatPr defaultRowHeight="22.5" customHeight="1"/>
  <cols>
    <col min="1" max="1" width="4.28515625" style="1" customWidth="1"/>
    <col min="2" max="2" width="25.5703125" style="1" customWidth="1"/>
    <col min="3" max="3" width="23.5703125" style="1" customWidth="1"/>
    <col min="4" max="5" width="0.42578125" style="8" customWidth="1"/>
    <col min="6" max="6" width="23.5703125" style="2" customWidth="1"/>
    <col min="7" max="7" width="13.140625" style="1" customWidth="1"/>
    <col min="8" max="8" width="30.28515625" style="1" customWidth="1"/>
    <col min="9" max="10" width="13.42578125" style="2" customWidth="1"/>
    <col min="11" max="11" width="30.140625" style="1" customWidth="1"/>
    <col min="12" max="12" width="23" style="32" customWidth="1"/>
    <col min="13" max="13" width="17.5703125" style="33" customWidth="1"/>
    <col min="14" max="14" width="26.28515625" style="33" customWidth="1"/>
    <col min="15" max="15" width="9.140625" style="1" customWidth="1"/>
    <col min="16" max="16384" width="9.140625" style="1"/>
  </cols>
  <sheetData>
    <row r="1" spans="1:14" ht="22.5" customHeight="1">
      <c r="A1" s="460" t="s">
        <v>14</v>
      </c>
      <c r="B1" s="460"/>
      <c r="C1" s="460"/>
      <c r="D1" s="460"/>
      <c r="E1" s="460"/>
      <c r="F1" s="460"/>
      <c r="G1" s="460"/>
      <c r="H1" s="460"/>
      <c r="I1" s="122"/>
      <c r="J1" s="122"/>
    </row>
    <row r="2" spans="1:14" ht="22.5" customHeight="1">
      <c r="A2" s="461" t="s">
        <v>171</v>
      </c>
      <c r="B2" s="461"/>
      <c r="C2" s="461"/>
      <c r="D2" s="461"/>
      <c r="E2" s="461"/>
      <c r="F2" s="461"/>
      <c r="G2" s="461"/>
      <c r="H2" s="461"/>
      <c r="I2" s="123"/>
      <c r="J2" s="123"/>
    </row>
    <row r="3" spans="1:14" s="26" customFormat="1" ht="33" customHeight="1">
      <c r="A3" s="23" t="s">
        <v>20</v>
      </c>
      <c r="B3" s="23" t="s">
        <v>13</v>
      </c>
      <c r="C3" s="61" t="s">
        <v>90</v>
      </c>
      <c r="D3" s="50" t="s">
        <v>117</v>
      </c>
      <c r="E3" s="50" t="s">
        <v>119</v>
      </c>
      <c r="F3" s="52" t="s">
        <v>118</v>
      </c>
      <c r="G3" s="25" t="s">
        <v>91</v>
      </c>
      <c r="H3" s="25" t="s">
        <v>92</v>
      </c>
      <c r="I3" s="123" t="s">
        <v>186</v>
      </c>
      <c r="J3" s="123" t="s">
        <v>0</v>
      </c>
      <c r="L3" s="32" t="s">
        <v>47</v>
      </c>
      <c r="M3" s="33" t="s">
        <v>48</v>
      </c>
      <c r="N3" s="33" t="s">
        <v>49</v>
      </c>
    </row>
    <row r="4" spans="1:14" s="19" customFormat="1" ht="24" customHeight="1">
      <c r="A4" s="13">
        <v>1</v>
      </c>
      <c r="B4" s="17" t="s">
        <v>11</v>
      </c>
      <c r="C4" s="59"/>
      <c r="D4" s="55"/>
      <c r="E4" s="54"/>
      <c r="F4" s="16">
        <v>45178000</v>
      </c>
      <c r="G4" s="20" t="s">
        <v>24</v>
      </c>
      <c r="H4" s="39"/>
      <c r="I4" s="124"/>
      <c r="J4" s="130">
        <f>F4+I4</f>
        <v>45178000</v>
      </c>
      <c r="L4" s="34" t="s">
        <v>50</v>
      </c>
      <c r="M4" s="35" t="s">
        <v>51</v>
      </c>
      <c r="N4" s="35" t="s">
        <v>52</v>
      </c>
    </row>
    <row r="5" spans="1:14" s="19" customFormat="1" ht="24" customHeight="1">
      <c r="A5" s="13">
        <v>2</v>
      </c>
      <c r="B5" s="17" t="s">
        <v>8</v>
      </c>
      <c r="C5" s="59"/>
      <c r="D5" s="55"/>
      <c r="E5" s="54"/>
      <c r="F5" s="16">
        <v>42960000</v>
      </c>
      <c r="G5" s="20" t="s">
        <v>29</v>
      </c>
      <c r="H5" s="39"/>
      <c r="I5" s="124"/>
      <c r="J5" s="130">
        <f t="shared" ref="J5:J51" si="0">F5+I5</f>
        <v>42960000</v>
      </c>
      <c r="L5" s="34" t="s">
        <v>84</v>
      </c>
      <c r="M5" s="35" t="s">
        <v>56</v>
      </c>
      <c r="N5" s="35" t="s">
        <v>8</v>
      </c>
    </row>
    <row r="6" spans="1:14" s="19" customFormat="1" ht="24" customHeight="1">
      <c r="A6" s="13">
        <v>3</v>
      </c>
      <c r="B6" s="17" t="s">
        <v>7</v>
      </c>
      <c r="C6" s="59" t="s">
        <v>102</v>
      </c>
      <c r="D6" s="55"/>
      <c r="E6" s="54"/>
      <c r="F6" s="16">
        <v>20913000</v>
      </c>
      <c r="G6" s="20" t="s">
        <v>29</v>
      </c>
      <c r="I6" s="125"/>
      <c r="J6" s="130">
        <f t="shared" si="0"/>
        <v>20913000</v>
      </c>
      <c r="L6" s="34" t="s">
        <v>89</v>
      </c>
      <c r="M6" s="35" t="s">
        <v>51</v>
      </c>
      <c r="N6" s="35" t="s">
        <v>7</v>
      </c>
    </row>
    <row r="7" spans="1:14" s="19" customFormat="1" ht="24" customHeight="1">
      <c r="A7" s="13">
        <v>4</v>
      </c>
      <c r="B7" s="17" t="s">
        <v>10</v>
      </c>
      <c r="C7" s="59" t="s">
        <v>93</v>
      </c>
      <c r="D7" s="55"/>
      <c r="E7" s="54"/>
      <c r="F7" s="16">
        <v>28753000</v>
      </c>
      <c r="G7" s="20" t="s">
        <v>24</v>
      </c>
      <c r="I7" s="125"/>
      <c r="J7" s="130">
        <f t="shared" si="0"/>
        <v>28753000</v>
      </c>
      <c r="L7" s="34" t="s">
        <v>188</v>
      </c>
      <c r="M7" s="35" t="s">
        <v>56</v>
      </c>
      <c r="N7" s="35" t="s">
        <v>10</v>
      </c>
    </row>
    <row r="8" spans="1:14" s="118" customFormat="1" ht="24" customHeight="1">
      <c r="A8" s="112">
        <v>5</v>
      </c>
      <c r="B8" s="113" t="s">
        <v>161</v>
      </c>
      <c r="C8" s="114" t="s">
        <v>93</v>
      </c>
      <c r="D8" s="115"/>
      <c r="E8" s="116"/>
      <c r="F8" s="42">
        <v>12000000</v>
      </c>
      <c r="G8" s="117" t="s">
        <v>29</v>
      </c>
      <c r="I8" s="126">
        <v>1500000</v>
      </c>
      <c r="J8" s="130">
        <f t="shared" si="0"/>
        <v>13500000</v>
      </c>
      <c r="L8" s="119" t="s">
        <v>80</v>
      </c>
      <c r="M8" s="120" t="s">
        <v>51</v>
      </c>
      <c r="N8" s="120" t="s">
        <v>4</v>
      </c>
    </row>
    <row r="9" spans="1:14" s="19" customFormat="1" ht="24" customHeight="1">
      <c r="A9" s="13">
        <v>7</v>
      </c>
      <c r="B9" s="17" t="s">
        <v>33</v>
      </c>
      <c r="C9" s="59" t="s">
        <v>93</v>
      </c>
      <c r="D9" s="55"/>
      <c r="E9" s="54"/>
      <c r="F9" s="16">
        <v>10800000</v>
      </c>
      <c r="G9" s="20" t="s">
        <v>24</v>
      </c>
      <c r="I9" s="125"/>
      <c r="J9" s="130">
        <f t="shared" si="0"/>
        <v>10800000</v>
      </c>
      <c r="L9" s="34" t="s">
        <v>65</v>
      </c>
      <c r="M9" s="35" t="s">
        <v>64</v>
      </c>
      <c r="N9" s="35" t="s">
        <v>33</v>
      </c>
    </row>
    <row r="10" spans="1:14" s="118" customFormat="1" ht="24" customHeight="1">
      <c r="A10" s="112">
        <v>8</v>
      </c>
      <c r="B10" s="113" t="s">
        <v>134</v>
      </c>
      <c r="C10" s="114" t="s">
        <v>93</v>
      </c>
      <c r="D10" s="115"/>
      <c r="E10" s="116"/>
      <c r="F10" s="42">
        <v>8000000</v>
      </c>
      <c r="G10" s="117" t="s">
        <v>24</v>
      </c>
      <c r="I10" s="126">
        <v>2000000</v>
      </c>
      <c r="J10" s="130">
        <f t="shared" si="0"/>
        <v>10000000</v>
      </c>
      <c r="K10" s="118" t="s">
        <v>46</v>
      </c>
      <c r="L10" s="119"/>
      <c r="M10" s="120"/>
      <c r="N10" s="120"/>
    </row>
    <row r="11" spans="1:14" s="118" customFormat="1" ht="24" customHeight="1">
      <c r="A11" s="112">
        <v>9</v>
      </c>
      <c r="B11" s="113" t="s">
        <v>28</v>
      </c>
      <c r="C11" s="114" t="s">
        <v>93</v>
      </c>
      <c r="D11" s="115"/>
      <c r="E11" s="116"/>
      <c r="F11" s="42">
        <v>14000000</v>
      </c>
      <c r="G11" s="117" t="s">
        <v>30</v>
      </c>
      <c r="I11" s="126">
        <v>4000000</v>
      </c>
      <c r="J11" s="130">
        <f t="shared" si="0"/>
        <v>18000000</v>
      </c>
      <c r="L11" s="119" t="s">
        <v>70</v>
      </c>
      <c r="M11" s="120" t="s">
        <v>51</v>
      </c>
      <c r="N11" s="120" t="s">
        <v>28</v>
      </c>
    </row>
    <row r="12" spans="1:14" s="118" customFormat="1" ht="24" customHeight="1">
      <c r="A12" s="112">
        <v>10</v>
      </c>
      <c r="B12" s="113" t="s">
        <v>42</v>
      </c>
      <c r="C12" s="114" t="s">
        <v>93</v>
      </c>
      <c r="D12" s="115"/>
      <c r="E12" s="116"/>
      <c r="F12" s="42">
        <v>10000000</v>
      </c>
      <c r="G12" s="117" t="s">
        <v>24</v>
      </c>
      <c r="I12" s="126">
        <v>2000000</v>
      </c>
      <c r="J12" s="130">
        <f t="shared" si="0"/>
        <v>12000000</v>
      </c>
      <c r="L12" s="119" t="s">
        <v>123</v>
      </c>
      <c r="M12" s="120" t="s">
        <v>64</v>
      </c>
      <c r="N12" s="120" t="s">
        <v>42</v>
      </c>
    </row>
    <row r="13" spans="1:14" s="19" customFormat="1" ht="24" customHeight="1">
      <c r="A13" s="13">
        <v>12</v>
      </c>
      <c r="B13" s="17" t="s">
        <v>125</v>
      </c>
      <c r="C13" s="59" t="s">
        <v>93</v>
      </c>
      <c r="D13" s="55"/>
      <c r="E13" s="54"/>
      <c r="F13" s="16">
        <v>6000000</v>
      </c>
      <c r="G13" s="20" t="s">
        <v>24</v>
      </c>
      <c r="I13" s="125"/>
      <c r="J13" s="130">
        <f t="shared" si="0"/>
        <v>6000000</v>
      </c>
      <c r="L13" s="34" t="s">
        <v>141</v>
      </c>
      <c r="M13" s="35" t="s">
        <v>142</v>
      </c>
      <c r="N13" s="35" t="s">
        <v>125</v>
      </c>
    </row>
    <row r="14" spans="1:14" s="19" customFormat="1" ht="24" customHeight="1">
      <c r="A14" s="13">
        <v>13</v>
      </c>
      <c r="B14" s="17" t="s">
        <v>31</v>
      </c>
      <c r="C14" s="59" t="s">
        <v>94</v>
      </c>
      <c r="D14" s="55"/>
      <c r="E14" s="54"/>
      <c r="F14" s="16">
        <v>29027000</v>
      </c>
      <c r="G14" s="20" t="s">
        <v>24</v>
      </c>
      <c r="I14" s="125"/>
      <c r="J14" s="130">
        <f t="shared" si="0"/>
        <v>29027000</v>
      </c>
      <c r="L14" s="34" t="s">
        <v>88</v>
      </c>
      <c r="M14" s="35" t="s">
        <v>60</v>
      </c>
      <c r="N14" s="35" t="s">
        <v>31</v>
      </c>
    </row>
    <row r="15" spans="1:14" s="8" customFormat="1" ht="24" customHeight="1">
      <c r="A15" s="132">
        <v>14</v>
      </c>
      <c r="B15" s="10" t="s">
        <v>3</v>
      </c>
      <c r="C15" s="133" t="s">
        <v>94</v>
      </c>
      <c r="D15" s="55"/>
      <c r="E15" s="54"/>
      <c r="F15" s="21">
        <v>14000000</v>
      </c>
      <c r="G15" s="40" t="s">
        <v>24</v>
      </c>
      <c r="I15" s="134"/>
      <c r="J15" s="130">
        <f t="shared" si="0"/>
        <v>14000000</v>
      </c>
      <c r="K15" s="1" t="s">
        <v>46</v>
      </c>
      <c r="L15" s="41" t="s">
        <v>76</v>
      </c>
      <c r="M15" s="36" t="s">
        <v>63</v>
      </c>
      <c r="N15" s="36" t="s">
        <v>75</v>
      </c>
    </row>
    <row r="16" spans="1:14" s="19" customFormat="1" ht="24" customHeight="1">
      <c r="A16" s="13">
        <v>15</v>
      </c>
      <c r="B16" s="17" t="s">
        <v>2</v>
      </c>
      <c r="C16" s="59" t="s">
        <v>94</v>
      </c>
      <c r="D16" s="55"/>
      <c r="E16" s="54"/>
      <c r="F16" s="16">
        <v>8000000</v>
      </c>
      <c r="G16" s="20" t="s">
        <v>30</v>
      </c>
      <c r="I16" s="125"/>
      <c r="J16" s="130">
        <f t="shared" si="0"/>
        <v>8000000</v>
      </c>
      <c r="K16" s="19" t="s">
        <v>187</v>
      </c>
      <c r="L16" s="34" t="s">
        <v>69</v>
      </c>
      <c r="M16" s="35" t="s">
        <v>51</v>
      </c>
      <c r="N16" s="35" t="s">
        <v>2</v>
      </c>
    </row>
    <row r="17" spans="1:14" s="19" customFormat="1" ht="24" customHeight="1">
      <c r="A17" s="13">
        <v>16</v>
      </c>
      <c r="B17" s="17" t="s">
        <v>37</v>
      </c>
      <c r="C17" s="59" t="s">
        <v>94</v>
      </c>
      <c r="D17" s="55"/>
      <c r="E17" s="54"/>
      <c r="F17" s="16">
        <v>8000000</v>
      </c>
      <c r="G17" s="20" t="s">
        <v>30</v>
      </c>
      <c r="I17" s="125"/>
      <c r="J17" s="130">
        <f t="shared" si="0"/>
        <v>8000000</v>
      </c>
      <c r="L17" s="34" t="s">
        <v>62</v>
      </c>
      <c r="M17" s="35" t="s">
        <v>51</v>
      </c>
      <c r="N17" s="35" t="s">
        <v>37</v>
      </c>
    </row>
    <row r="18" spans="1:14" s="19" customFormat="1" ht="24" customHeight="1">
      <c r="A18" s="13">
        <v>17</v>
      </c>
      <c r="B18" s="17" t="s">
        <v>38</v>
      </c>
      <c r="C18" s="59" t="s">
        <v>94</v>
      </c>
      <c r="D18" s="55"/>
      <c r="E18" s="54"/>
      <c r="F18" s="16">
        <v>8000000</v>
      </c>
      <c r="G18" s="20" t="s">
        <v>30</v>
      </c>
      <c r="I18" s="125"/>
      <c r="J18" s="130">
        <f t="shared" si="0"/>
        <v>8000000</v>
      </c>
      <c r="L18" s="34" t="s">
        <v>61</v>
      </c>
      <c r="M18" s="35" t="s">
        <v>54</v>
      </c>
      <c r="N18" s="35" t="s">
        <v>38</v>
      </c>
    </row>
    <row r="19" spans="1:14" s="19" customFormat="1" ht="24" customHeight="1">
      <c r="A19" s="13">
        <v>18</v>
      </c>
      <c r="B19" s="17" t="s">
        <v>105</v>
      </c>
      <c r="C19" s="59" t="s">
        <v>94</v>
      </c>
      <c r="D19" s="55"/>
      <c r="E19" s="54"/>
      <c r="F19" s="16">
        <v>10000000</v>
      </c>
      <c r="G19" s="20" t="s">
        <v>30</v>
      </c>
      <c r="I19" s="125"/>
      <c r="J19" s="130">
        <f t="shared" si="0"/>
        <v>10000000</v>
      </c>
      <c r="L19" s="34" t="s">
        <v>67</v>
      </c>
      <c r="M19" s="35" t="s">
        <v>64</v>
      </c>
      <c r="N19" s="35" t="s">
        <v>1</v>
      </c>
    </row>
    <row r="20" spans="1:14" s="19" customFormat="1" ht="24" customHeight="1">
      <c r="A20" s="13">
        <v>19</v>
      </c>
      <c r="B20" s="17" t="s">
        <v>40</v>
      </c>
      <c r="C20" s="59" t="s">
        <v>94</v>
      </c>
      <c r="D20" s="55"/>
      <c r="E20" s="54"/>
      <c r="F20" s="16">
        <v>8000000</v>
      </c>
      <c r="G20" s="20" t="s">
        <v>30</v>
      </c>
      <c r="I20" s="125"/>
      <c r="J20" s="130">
        <f t="shared" si="0"/>
        <v>8000000</v>
      </c>
      <c r="L20" s="34" t="s">
        <v>145</v>
      </c>
      <c r="M20" s="35" t="s">
        <v>57</v>
      </c>
      <c r="N20" s="35" t="s">
        <v>40</v>
      </c>
    </row>
    <row r="21" spans="1:14" s="19" customFormat="1" ht="25.5" customHeight="1">
      <c r="A21" s="13">
        <v>20</v>
      </c>
      <c r="B21" s="17" t="s">
        <v>41</v>
      </c>
      <c r="C21" s="59" t="s">
        <v>94</v>
      </c>
      <c r="D21" s="55"/>
      <c r="E21" s="54"/>
      <c r="F21" s="16">
        <v>10000000</v>
      </c>
      <c r="G21" s="20" t="s">
        <v>30</v>
      </c>
      <c r="I21" s="125"/>
      <c r="J21" s="130">
        <f t="shared" si="0"/>
        <v>10000000</v>
      </c>
      <c r="L21" s="34" t="s">
        <v>58</v>
      </c>
      <c r="M21" s="35" t="s">
        <v>56</v>
      </c>
      <c r="N21" s="35" t="s">
        <v>41</v>
      </c>
    </row>
    <row r="22" spans="1:14" s="118" customFormat="1" ht="22.5" customHeight="1">
      <c r="A22" s="112">
        <v>22</v>
      </c>
      <c r="B22" s="113" t="s">
        <v>127</v>
      </c>
      <c r="C22" s="114" t="s">
        <v>94</v>
      </c>
      <c r="D22" s="115"/>
      <c r="E22" s="116"/>
      <c r="F22" s="42">
        <v>8000000</v>
      </c>
      <c r="G22" s="117" t="s">
        <v>30</v>
      </c>
      <c r="I22" s="127">
        <v>2000000</v>
      </c>
      <c r="J22" s="130">
        <f t="shared" si="0"/>
        <v>10000000</v>
      </c>
      <c r="L22" s="119" t="s">
        <v>131</v>
      </c>
      <c r="M22" s="120" t="s">
        <v>56</v>
      </c>
      <c r="N22" s="120" t="s">
        <v>127</v>
      </c>
    </row>
    <row r="23" spans="1:14" s="19" customFormat="1" ht="22.5" customHeight="1">
      <c r="A23" s="13">
        <v>23</v>
      </c>
      <c r="B23" s="17" t="s">
        <v>149</v>
      </c>
      <c r="C23" s="59" t="s">
        <v>94</v>
      </c>
      <c r="D23" s="55"/>
      <c r="E23" s="54"/>
      <c r="F23" s="16">
        <v>6000000</v>
      </c>
      <c r="G23" s="20" t="s">
        <v>30</v>
      </c>
      <c r="J23" s="130">
        <f t="shared" si="0"/>
        <v>6000000</v>
      </c>
      <c r="L23" s="34" t="s">
        <v>157</v>
      </c>
      <c r="M23" s="35" t="s">
        <v>54</v>
      </c>
      <c r="N23" s="35"/>
    </row>
    <row r="24" spans="1:14" s="19" customFormat="1" ht="22.5" customHeight="1">
      <c r="A24" s="13">
        <v>24</v>
      </c>
      <c r="B24" s="17" t="s">
        <v>9</v>
      </c>
      <c r="C24" s="59" t="s">
        <v>95</v>
      </c>
      <c r="D24" s="55"/>
      <c r="E24" s="54"/>
      <c r="F24" s="16">
        <v>35126000</v>
      </c>
      <c r="G24" s="20" t="s">
        <v>30</v>
      </c>
      <c r="I24" s="127"/>
      <c r="J24" s="130">
        <f t="shared" si="0"/>
        <v>35126000</v>
      </c>
      <c r="L24" s="34" t="s">
        <v>53</v>
      </c>
      <c r="M24" s="35" t="s">
        <v>51</v>
      </c>
      <c r="N24" s="35" t="s">
        <v>9</v>
      </c>
    </row>
    <row r="25" spans="1:14" s="19" customFormat="1" ht="22.5" customHeight="1">
      <c r="A25" s="13">
        <v>25</v>
      </c>
      <c r="B25" s="17" t="s">
        <v>112</v>
      </c>
      <c r="C25" s="59" t="s">
        <v>95</v>
      </c>
      <c r="D25" s="55"/>
      <c r="E25" s="54"/>
      <c r="F25" s="16">
        <v>15000000</v>
      </c>
      <c r="G25" s="20" t="s">
        <v>30</v>
      </c>
      <c r="I25" s="127"/>
      <c r="J25" s="130">
        <f t="shared" si="0"/>
        <v>15000000</v>
      </c>
      <c r="L25" s="34" t="s">
        <v>77</v>
      </c>
      <c r="M25" s="35" t="s">
        <v>56</v>
      </c>
      <c r="N25" s="35" t="s">
        <v>16</v>
      </c>
    </row>
    <row r="26" spans="1:14" s="19" customFormat="1" ht="22.5" customHeight="1">
      <c r="A26" s="13">
        <v>26</v>
      </c>
      <c r="B26" s="17" t="s">
        <v>26</v>
      </c>
      <c r="C26" s="59" t="s">
        <v>95</v>
      </c>
      <c r="D26" s="55"/>
      <c r="E26" s="54"/>
      <c r="F26" s="16">
        <v>15000000</v>
      </c>
      <c r="G26" s="20" t="s">
        <v>30</v>
      </c>
      <c r="I26" s="127"/>
      <c r="J26" s="130">
        <f t="shared" si="0"/>
        <v>15000000</v>
      </c>
      <c r="L26" s="34" t="s">
        <v>72</v>
      </c>
      <c r="M26" s="35" t="s">
        <v>54</v>
      </c>
      <c r="N26" s="35" t="s">
        <v>26</v>
      </c>
    </row>
    <row r="27" spans="1:14" s="19" customFormat="1" ht="22.5" customHeight="1">
      <c r="A27" s="13">
        <v>27</v>
      </c>
      <c r="B27" s="17" t="s">
        <v>32</v>
      </c>
      <c r="C27" s="59" t="s">
        <v>95</v>
      </c>
      <c r="D27" s="55"/>
      <c r="E27" s="54"/>
      <c r="F27" s="16">
        <f>7500000+2000000</f>
        <v>9500000</v>
      </c>
      <c r="G27" s="20" t="s">
        <v>30</v>
      </c>
      <c r="I27" s="127"/>
      <c r="J27" s="130">
        <f t="shared" si="0"/>
        <v>9500000</v>
      </c>
      <c r="L27" s="34" t="s">
        <v>68</v>
      </c>
      <c r="M27" s="35" t="s">
        <v>56</v>
      </c>
      <c r="N27" s="35" t="s">
        <v>32</v>
      </c>
    </row>
    <row r="28" spans="1:14" s="19" customFormat="1" ht="22.5" customHeight="1">
      <c r="A28" s="13">
        <v>28</v>
      </c>
      <c r="B28" s="17" t="s">
        <v>39</v>
      </c>
      <c r="C28" s="59" t="s">
        <v>95</v>
      </c>
      <c r="D28" s="55"/>
      <c r="E28" s="54"/>
      <c r="F28" s="16">
        <v>8500000</v>
      </c>
      <c r="G28" s="20" t="s">
        <v>24</v>
      </c>
      <c r="I28" s="127"/>
      <c r="J28" s="130">
        <f t="shared" si="0"/>
        <v>8500000</v>
      </c>
      <c r="L28" s="34" t="s">
        <v>59</v>
      </c>
      <c r="M28" s="35" t="s">
        <v>60</v>
      </c>
      <c r="N28" s="35" t="s">
        <v>39</v>
      </c>
    </row>
    <row r="29" spans="1:14" s="19" customFormat="1" ht="22.5" customHeight="1">
      <c r="A29" s="13">
        <v>29</v>
      </c>
      <c r="B29" s="17" t="s">
        <v>44</v>
      </c>
      <c r="C29" s="59" t="s">
        <v>95</v>
      </c>
      <c r="D29" s="55"/>
      <c r="E29" s="54"/>
      <c r="F29" s="16">
        <v>8000000</v>
      </c>
      <c r="G29" s="20" t="s">
        <v>30</v>
      </c>
      <c r="H29" s="18"/>
      <c r="I29" s="128"/>
      <c r="J29" s="130">
        <f t="shared" si="0"/>
        <v>8000000</v>
      </c>
      <c r="L29" s="34" t="s">
        <v>55</v>
      </c>
      <c r="M29" s="35" t="s">
        <v>56</v>
      </c>
      <c r="N29" s="35" t="s">
        <v>44</v>
      </c>
    </row>
    <row r="30" spans="1:14" s="8" customFormat="1" ht="27" customHeight="1">
      <c r="A30" s="13">
        <v>30</v>
      </c>
      <c r="B30" s="10" t="s">
        <v>103</v>
      </c>
      <c r="C30" s="62" t="s">
        <v>95</v>
      </c>
      <c r="D30" s="56"/>
      <c r="E30" s="54"/>
      <c r="F30" s="21">
        <f>7000000</f>
        <v>7000000</v>
      </c>
      <c r="G30" s="40" t="s">
        <v>30</v>
      </c>
      <c r="H30" s="109" t="s">
        <v>185</v>
      </c>
      <c r="I30" s="129"/>
      <c r="J30" s="130">
        <f t="shared" si="0"/>
        <v>7000000</v>
      </c>
      <c r="L30" s="41" t="s">
        <v>104</v>
      </c>
      <c r="M30" s="36" t="s">
        <v>74</v>
      </c>
      <c r="N30" s="36" t="s">
        <v>144</v>
      </c>
    </row>
    <row r="31" spans="1:14" s="8" customFormat="1" ht="27" customHeight="1">
      <c r="A31" s="13">
        <v>31</v>
      </c>
      <c r="B31" s="10" t="s">
        <v>128</v>
      </c>
      <c r="C31" s="62" t="s">
        <v>95</v>
      </c>
      <c r="D31" s="56"/>
      <c r="E31" s="54"/>
      <c r="F31" s="21">
        <v>8000000</v>
      </c>
      <c r="G31" s="40" t="s">
        <v>24</v>
      </c>
      <c r="H31" s="109" t="s">
        <v>185</v>
      </c>
      <c r="I31" s="129"/>
      <c r="J31" s="130">
        <f t="shared" si="0"/>
        <v>8000000</v>
      </c>
      <c r="L31" s="41" t="s">
        <v>139</v>
      </c>
      <c r="M31" s="36" t="s">
        <v>138</v>
      </c>
      <c r="N31" s="36" t="s">
        <v>140</v>
      </c>
    </row>
    <row r="32" spans="1:14" s="19" customFormat="1" ht="32.25" customHeight="1">
      <c r="A32" s="13">
        <v>32</v>
      </c>
      <c r="B32" s="17" t="s">
        <v>121</v>
      </c>
      <c r="C32" s="59" t="s">
        <v>96</v>
      </c>
      <c r="D32" s="55"/>
      <c r="E32" s="54"/>
      <c r="F32" s="16">
        <f>26678000+500000</f>
        <v>27178000</v>
      </c>
      <c r="G32" s="20" t="s">
        <v>30</v>
      </c>
      <c r="H32" s="39" t="s">
        <v>169</v>
      </c>
      <c r="I32" s="124"/>
      <c r="J32" s="130">
        <f t="shared" si="0"/>
        <v>27178000</v>
      </c>
      <c r="L32" s="34" t="s">
        <v>86</v>
      </c>
      <c r="M32" s="35" t="s">
        <v>60</v>
      </c>
      <c r="N32" s="35" t="s">
        <v>85</v>
      </c>
    </row>
    <row r="33" spans="1:14" s="19" customFormat="1" ht="22.5" customHeight="1">
      <c r="A33" s="13">
        <v>33</v>
      </c>
      <c r="B33" s="17" t="s">
        <v>120</v>
      </c>
      <c r="C33" s="59" t="s">
        <v>96</v>
      </c>
      <c r="D33" s="55"/>
      <c r="E33" s="54"/>
      <c r="F33" s="16">
        <f>16000000+8000000</f>
        <v>24000000</v>
      </c>
      <c r="G33" s="20" t="s">
        <v>30</v>
      </c>
      <c r="H33" s="18"/>
      <c r="I33" s="128"/>
      <c r="J33" s="130">
        <f t="shared" si="0"/>
        <v>24000000</v>
      </c>
      <c r="L33" s="34" t="s">
        <v>81</v>
      </c>
      <c r="M33" s="35" t="s">
        <v>60</v>
      </c>
      <c r="N33" s="35" t="s">
        <v>5</v>
      </c>
    </row>
    <row r="34" spans="1:14" s="19" customFormat="1" ht="22.5" customHeight="1">
      <c r="A34" s="13">
        <v>34</v>
      </c>
      <c r="B34" s="17" t="s">
        <v>43</v>
      </c>
      <c r="C34" s="59" t="s">
        <v>96</v>
      </c>
      <c r="D34" s="55"/>
      <c r="E34" s="54"/>
      <c r="F34" s="16">
        <f>7000000+1000000</f>
        <v>8000000</v>
      </c>
      <c r="G34" s="20" t="s">
        <v>30</v>
      </c>
      <c r="H34" s="18"/>
      <c r="I34" s="128"/>
      <c r="J34" s="124">
        <f t="shared" si="0"/>
        <v>8000000</v>
      </c>
      <c r="L34" s="34" t="s">
        <v>162</v>
      </c>
      <c r="M34" s="35" t="s">
        <v>63</v>
      </c>
      <c r="N34" s="35" t="s">
        <v>43</v>
      </c>
    </row>
    <row r="35" spans="1:14" s="8" customFormat="1" ht="27" customHeight="1">
      <c r="A35" s="13">
        <v>35</v>
      </c>
      <c r="B35" s="10" t="s">
        <v>129</v>
      </c>
      <c r="C35" s="62" t="s">
        <v>96</v>
      </c>
      <c r="D35" s="56"/>
      <c r="E35" s="54"/>
      <c r="F35" s="21">
        <v>7000000</v>
      </c>
      <c r="G35" s="40" t="s">
        <v>30</v>
      </c>
      <c r="H35" s="109" t="s">
        <v>185</v>
      </c>
      <c r="I35" s="129"/>
      <c r="J35" s="130">
        <f t="shared" si="0"/>
        <v>7000000</v>
      </c>
      <c r="L35" s="41" t="s">
        <v>165</v>
      </c>
      <c r="M35" s="36" t="s">
        <v>56</v>
      </c>
      <c r="N35" s="36" t="s">
        <v>129</v>
      </c>
    </row>
    <row r="36" spans="1:14" s="8" customFormat="1" ht="27" customHeight="1">
      <c r="A36" s="13">
        <v>36</v>
      </c>
      <c r="B36" s="10" t="s">
        <v>148</v>
      </c>
      <c r="C36" s="62" t="s">
        <v>96</v>
      </c>
      <c r="D36" s="56"/>
      <c r="E36" s="54"/>
      <c r="F36" s="21">
        <v>7000000</v>
      </c>
      <c r="G36" s="40" t="s">
        <v>30</v>
      </c>
      <c r="H36" s="109" t="s">
        <v>185</v>
      </c>
      <c r="I36" s="129"/>
      <c r="J36" s="130">
        <f t="shared" si="0"/>
        <v>7000000</v>
      </c>
      <c r="L36" s="41" t="s">
        <v>158</v>
      </c>
      <c r="M36" s="36" t="s">
        <v>57</v>
      </c>
      <c r="N36" s="36" t="s">
        <v>148</v>
      </c>
    </row>
    <row r="37" spans="1:14" s="19" customFormat="1" ht="29.25" customHeight="1">
      <c r="A37" s="13">
        <v>39</v>
      </c>
      <c r="B37" s="17" t="s">
        <v>36</v>
      </c>
      <c r="C37" s="59" t="s">
        <v>98</v>
      </c>
      <c r="D37" s="55"/>
      <c r="E37" s="54"/>
      <c r="F37" s="16">
        <v>26850000</v>
      </c>
      <c r="G37" s="20" t="s">
        <v>30</v>
      </c>
      <c r="H37" s="18"/>
      <c r="I37" s="128"/>
      <c r="J37" s="130">
        <f t="shared" si="0"/>
        <v>26850000</v>
      </c>
      <c r="L37" s="34" t="s">
        <v>66</v>
      </c>
      <c r="M37" s="35" t="s">
        <v>51</v>
      </c>
      <c r="N37" s="35" t="s">
        <v>36</v>
      </c>
    </row>
    <row r="38" spans="1:14" s="8" customFormat="1" ht="41.25" customHeight="1">
      <c r="A38" s="112">
        <v>40</v>
      </c>
      <c r="B38" s="137" t="s">
        <v>150</v>
      </c>
      <c r="C38" s="138" t="s">
        <v>98</v>
      </c>
      <c r="D38" s="139"/>
      <c r="E38" s="116"/>
      <c r="F38" s="140">
        <v>2975000</v>
      </c>
      <c r="G38" s="141" t="s">
        <v>30</v>
      </c>
      <c r="H38" s="142" t="s">
        <v>164</v>
      </c>
      <c r="I38" s="143"/>
      <c r="J38" s="135">
        <f t="shared" si="0"/>
        <v>2975000</v>
      </c>
      <c r="K38" s="145"/>
      <c r="L38" s="146" t="s">
        <v>159</v>
      </c>
      <c r="M38" s="147" t="s">
        <v>160</v>
      </c>
      <c r="N38" s="147" t="s">
        <v>150</v>
      </c>
    </row>
    <row r="39" spans="1:14" s="8" customFormat="1" ht="41.25" customHeight="1">
      <c r="A39" s="13">
        <v>41</v>
      </c>
      <c r="B39" s="10" t="s">
        <v>166</v>
      </c>
      <c r="C39" s="62" t="s">
        <v>98</v>
      </c>
      <c r="D39" s="56"/>
      <c r="E39" s="54"/>
      <c r="F39" s="21">
        <v>7000000</v>
      </c>
      <c r="G39" s="40" t="s">
        <v>30</v>
      </c>
      <c r="H39" s="109" t="s">
        <v>184</v>
      </c>
      <c r="I39" s="129"/>
      <c r="J39" s="130">
        <f t="shared" si="0"/>
        <v>7000000</v>
      </c>
      <c r="L39" s="41" t="s">
        <v>172</v>
      </c>
      <c r="M39" s="35" t="s">
        <v>63</v>
      </c>
      <c r="N39" s="36" t="s">
        <v>166</v>
      </c>
    </row>
    <row r="40" spans="1:14" s="19" customFormat="1" ht="22.5" customHeight="1">
      <c r="A40" s="13">
        <v>42</v>
      </c>
      <c r="B40" s="17" t="s">
        <v>25</v>
      </c>
      <c r="C40" s="59" t="s">
        <v>99</v>
      </c>
      <c r="D40" s="55"/>
      <c r="E40" s="54"/>
      <c r="F40" s="16">
        <v>12000000</v>
      </c>
      <c r="G40" s="20" t="s">
        <v>30</v>
      </c>
      <c r="H40" s="18"/>
      <c r="I40" s="128"/>
      <c r="J40" s="130">
        <f t="shared" si="0"/>
        <v>12000000</v>
      </c>
      <c r="L40" s="34" t="s">
        <v>79</v>
      </c>
      <c r="M40" s="35" t="s">
        <v>63</v>
      </c>
      <c r="N40" s="35" t="s">
        <v>78</v>
      </c>
    </row>
    <row r="41" spans="1:14" s="19" customFormat="1" ht="22.5" customHeight="1">
      <c r="A41" s="13">
        <v>43</v>
      </c>
      <c r="B41" s="17" t="s">
        <v>6</v>
      </c>
      <c r="C41" s="59" t="s">
        <v>100</v>
      </c>
      <c r="D41" s="55"/>
      <c r="E41" s="54"/>
      <c r="F41" s="16">
        <v>15000000</v>
      </c>
      <c r="G41" s="20" t="s">
        <v>24</v>
      </c>
      <c r="H41" s="18"/>
      <c r="I41" s="128"/>
      <c r="J41" s="130">
        <f t="shared" si="0"/>
        <v>15000000</v>
      </c>
      <c r="L41" s="34" t="s">
        <v>82</v>
      </c>
      <c r="M41" s="35" t="s">
        <v>51</v>
      </c>
      <c r="N41" s="35" t="s">
        <v>6</v>
      </c>
    </row>
    <row r="42" spans="1:14" s="19" customFormat="1" ht="22.5" customHeight="1">
      <c r="A42" s="13">
        <v>44</v>
      </c>
      <c r="B42" s="17" t="s">
        <v>45</v>
      </c>
      <c r="C42" s="59" t="s">
        <v>97</v>
      </c>
      <c r="D42" s="55"/>
      <c r="E42" s="54"/>
      <c r="F42" s="16">
        <v>13902000</v>
      </c>
      <c r="G42" s="20" t="s">
        <v>29</v>
      </c>
      <c r="H42" s="18"/>
      <c r="I42" s="128"/>
      <c r="J42" s="124">
        <f t="shared" si="0"/>
        <v>13902000</v>
      </c>
      <c r="L42" s="34"/>
      <c r="M42" s="35"/>
      <c r="N42" s="35" t="s">
        <v>45</v>
      </c>
    </row>
    <row r="43" spans="1:14" s="19" customFormat="1" ht="22.5" customHeight="1">
      <c r="A43" s="13">
        <v>45</v>
      </c>
      <c r="B43" s="17" t="s">
        <v>34</v>
      </c>
      <c r="C43" s="59" t="s">
        <v>97</v>
      </c>
      <c r="D43" s="55"/>
      <c r="E43" s="54"/>
      <c r="F43" s="16">
        <v>17200000</v>
      </c>
      <c r="G43" s="20" t="s">
        <v>24</v>
      </c>
      <c r="H43" s="18"/>
      <c r="I43" s="128"/>
      <c r="J43" s="130">
        <f t="shared" si="0"/>
        <v>17200000</v>
      </c>
      <c r="L43" s="34"/>
      <c r="M43" s="35"/>
      <c r="N43" s="35" t="s">
        <v>34</v>
      </c>
    </row>
    <row r="44" spans="1:14" s="19" customFormat="1" ht="22.5" customHeight="1">
      <c r="A44" s="13">
        <v>46</v>
      </c>
      <c r="B44" s="17" t="s">
        <v>35</v>
      </c>
      <c r="C44" s="59" t="s">
        <v>97</v>
      </c>
      <c r="D44" s="55"/>
      <c r="E44" s="54"/>
      <c r="F44" s="16">
        <v>8000000</v>
      </c>
      <c r="G44" s="20" t="s">
        <v>29</v>
      </c>
      <c r="H44" s="18"/>
      <c r="I44" s="128"/>
      <c r="J44" s="130">
        <f t="shared" si="0"/>
        <v>8000000</v>
      </c>
      <c r="L44" s="34"/>
      <c r="M44" s="35"/>
      <c r="N44" s="35" t="s">
        <v>35</v>
      </c>
    </row>
    <row r="45" spans="1:14" s="19" customFormat="1" ht="22.5" customHeight="1">
      <c r="A45" s="13">
        <v>47</v>
      </c>
      <c r="B45" s="17" t="s">
        <v>17</v>
      </c>
      <c r="C45" s="59" t="s">
        <v>101</v>
      </c>
      <c r="D45" s="55"/>
      <c r="E45" s="54"/>
      <c r="F45" s="16">
        <v>16500000</v>
      </c>
      <c r="G45" s="20" t="s">
        <v>29</v>
      </c>
      <c r="H45" s="18"/>
      <c r="I45" s="128"/>
      <c r="J45" s="130">
        <f t="shared" si="0"/>
        <v>16500000</v>
      </c>
      <c r="L45" s="34" t="s">
        <v>83</v>
      </c>
      <c r="M45" s="35" t="s">
        <v>64</v>
      </c>
      <c r="N45" s="35" t="s">
        <v>17</v>
      </c>
    </row>
    <row r="46" spans="1:14" s="8" customFormat="1" ht="49.5" customHeight="1">
      <c r="A46" s="13">
        <v>48</v>
      </c>
      <c r="B46" s="10" t="s">
        <v>130</v>
      </c>
      <c r="C46" s="62" t="s">
        <v>101</v>
      </c>
      <c r="D46" s="56"/>
      <c r="E46" s="54"/>
      <c r="F46" s="21"/>
      <c r="G46" s="40" t="s">
        <v>24</v>
      </c>
      <c r="H46" s="27" t="s">
        <v>151</v>
      </c>
      <c r="I46" s="130"/>
      <c r="J46" s="124">
        <f t="shared" si="0"/>
        <v>0</v>
      </c>
      <c r="L46" s="41" t="s">
        <v>143</v>
      </c>
      <c r="M46" s="36" t="s">
        <v>133</v>
      </c>
      <c r="N46" s="36" t="s">
        <v>130</v>
      </c>
    </row>
    <row r="47" spans="1:14" s="8" customFormat="1" ht="31.5" customHeight="1">
      <c r="A47" s="13">
        <v>49</v>
      </c>
      <c r="B47" s="10" t="s">
        <v>146</v>
      </c>
      <c r="C47" s="62" t="s">
        <v>100</v>
      </c>
      <c r="D47" s="56"/>
      <c r="E47" s="54"/>
      <c r="F47" s="21">
        <v>9600000</v>
      </c>
      <c r="G47" s="40" t="s">
        <v>24</v>
      </c>
      <c r="H47" s="462" t="s">
        <v>154</v>
      </c>
      <c r="I47" s="129"/>
      <c r="J47" s="130">
        <f t="shared" si="0"/>
        <v>9600000</v>
      </c>
      <c r="L47" s="41" t="s">
        <v>152</v>
      </c>
      <c r="M47" s="36" t="s">
        <v>57</v>
      </c>
      <c r="N47" s="36" t="s">
        <v>146</v>
      </c>
    </row>
    <row r="48" spans="1:14" s="8" customFormat="1" ht="31.5" customHeight="1">
      <c r="A48" s="13">
        <v>50</v>
      </c>
      <c r="B48" s="10" t="s">
        <v>147</v>
      </c>
      <c r="C48" s="62" t="s">
        <v>100</v>
      </c>
      <c r="D48" s="56"/>
      <c r="E48" s="54"/>
      <c r="F48" s="21">
        <v>9600000</v>
      </c>
      <c r="G48" s="40" t="s">
        <v>24</v>
      </c>
      <c r="H48" s="463"/>
      <c r="I48" s="129"/>
      <c r="J48" s="130">
        <f t="shared" si="0"/>
        <v>9600000</v>
      </c>
      <c r="L48" s="41" t="s">
        <v>153</v>
      </c>
      <c r="M48" s="36" t="s">
        <v>57</v>
      </c>
      <c r="N48" s="36" t="s">
        <v>147</v>
      </c>
    </row>
    <row r="49" spans="1:15" s="145" customFormat="1" ht="31.5" customHeight="1">
      <c r="A49" s="136"/>
      <c r="B49" s="137" t="s">
        <v>178</v>
      </c>
      <c r="C49" s="138"/>
      <c r="D49" s="139"/>
      <c r="E49" s="116"/>
      <c r="F49" s="140">
        <v>1517000</v>
      </c>
      <c r="G49" s="141" t="s">
        <v>24</v>
      </c>
      <c r="H49" s="142" t="s">
        <v>181</v>
      </c>
      <c r="I49" s="143"/>
      <c r="J49" s="144">
        <f t="shared" si="0"/>
        <v>1517000</v>
      </c>
      <c r="L49" s="146"/>
      <c r="M49" s="147"/>
      <c r="N49" s="147"/>
    </row>
    <row r="50" spans="1:15" s="145" customFormat="1" ht="31.5" customHeight="1">
      <c r="A50" s="136"/>
      <c r="B50" s="137" t="s">
        <v>179</v>
      </c>
      <c r="C50" s="138"/>
      <c r="D50" s="139"/>
      <c r="E50" s="116"/>
      <c r="F50" s="140">
        <v>1517000</v>
      </c>
      <c r="G50" s="141" t="s">
        <v>24</v>
      </c>
      <c r="H50" s="142" t="s">
        <v>182</v>
      </c>
      <c r="I50" s="143"/>
      <c r="J50" s="144">
        <f t="shared" si="0"/>
        <v>1517000</v>
      </c>
      <c r="L50" s="146"/>
      <c r="M50" s="147"/>
      <c r="N50" s="147"/>
    </row>
    <row r="51" spans="1:15" s="145" customFormat="1" ht="31.5" customHeight="1">
      <c r="A51" s="136"/>
      <c r="B51" s="137" t="s">
        <v>180</v>
      </c>
      <c r="C51" s="138"/>
      <c r="D51" s="139"/>
      <c r="E51" s="116"/>
      <c r="F51" s="140">
        <v>2450000</v>
      </c>
      <c r="G51" s="141" t="s">
        <v>24</v>
      </c>
      <c r="H51" s="148" t="s">
        <v>183</v>
      </c>
      <c r="I51" s="149"/>
      <c r="J51" s="144">
        <f t="shared" si="0"/>
        <v>2450000</v>
      </c>
      <c r="L51" s="146"/>
      <c r="M51" s="147"/>
      <c r="N51" s="147"/>
    </row>
    <row r="52" spans="1:15" s="8" customFormat="1" ht="16.5" customHeight="1">
      <c r="A52" s="13"/>
      <c r="B52" s="10"/>
      <c r="C52" s="10"/>
      <c r="D52" s="10"/>
      <c r="E52" s="10"/>
      <c r="F52" s="21"/>
      <c r="G52" s="15"/>
      <c r="H52" s="15"/>
      <c r="I52" s="131"/>
      <c r="J52" s="131"/>
      <c r="L52" s="32"/>
      <c r="M52" s="33"/>
      <c r="N52" s="33"/>
      <c r="O52" s="19"/>
    </row>
    <row r="53" spans="1:15" s="3" customFormat="1" ht="19.5" customHeight="1">
      <c r="A53" s="6"/>
      <c r="B53" s="4" t="s">
        <v>0</v>
      </c>
      <c r="C53" s="4"/>
      <c r="D53" s="57">
        <f>SUBTOTAL(9,D4:D52)</f>
        <v>0</v>
      </c>
      <c r="E53" s="57">
        <f>SUBTOTAL(9,E4:E52)</f>
        <v>0</v>
      </c>
      <c r="F53" s="57">
        <f>SUBTOTAL(9,F4:F52)</f>
        <v>631046000</v>
      </c>
      <c r="G53" s="5"/>
      <c r="H53" s="5"/>
      <c r="I53" s="121"/>
      <c r="J53" s="121"/>
      <c r="L53" s="32"/>
      <c r="M53" s="33"/>
      <c r="N53" s="33"/>
    </row>
    <row r="54" spans="1:15" ht="21" customHeight="1">
      <c r="B54" s="1" t="s">
        <v>21</v>
      </c>
      <c r="F54" s="22">
        <f>+F53-F55-F56-F57</f>
        <v>0</v>
      </c>
      <c r="G54" s="22"/>
      <c r="I54" s="2">
        <f>5167000-1517000</f>
        <v>3650000</v>
      </c>
    </row>
    <row r="55" spans="1:15" ht="19.5" customHeight="1">
      <c r="B55" s="12" t="s">
        <v>22</v>
      </c>
      <c r="C55" s="12"/>
      <c r="D55" s="49"/>
      <c r="E55" s="49"/>
      <c r="F55" s="58">
        <f>SUMIF($G$4:$G$52,"idocNet",($F$4:$F$52))</f>
        <v>114275000</v>
      </c>
      <c r="G55" s="11"/>
      <c r="H55" s="11"/>
      <c r="I55" s="11"/>
      <c r="J55" s="11"/>
    </row>
    <row r="56" spans="1:15" ht="19.5" customHeight="1">
      <c r="B56" s="12" t="s">
        <v>23</v>
      </c>
      <c r="C56" s="12"/>
      <c r="D56" s="49"/>
      <c r="E56" s="49"/>
      <c r="F56" s="58">
        <f>SUMIF($G$4:$G$52,"idocST",($F$4:$F$52))</f>
        <v>291629000</v>
      </c>
      <c r="G56" s="11"/>
      <c r="H56" s="11"/>
      <c r="I56" s="11"/>
      <c r="J56" s="11"/>
    </row>
    <row r="57" spans="1:15" ht="19.5" customHeight="1">
      <c r="B57" s="12" t="s">
        <v>24</v>
      </c>
      <c r="C57" s="12"/>
      <c r="D57" s="49"/>
      <c r="E57" s="49"/>
      <c r="F57" s="58">
        <f>SUMIF($G$4:$G$52,"Long Quang",($F$4:$F$52))</f>
        <v>225142000</v>
      </c>
      <c r="G57" s="11"/>
      <c r="H57" s="11"/>
      <c r="I57" s="11"/>
      <c r="J57" s="11"/>
    </row>
    <row r="58" spans="1:15" ht="22.5" customHeight="1">
      <c r="E58" s="464" t="s">
        <v>18</v>
      </c>
      <c r="F58" s="464"/>
      <c r="G58" s="464"/>
      <c r="H58" s="464"/>
      <c r="I58" s="110"/>
      <c r="J58" s="111"/>
    </row>
    <row r="59" spans="1:15" ht="22.5" customHeight="1">
      <c r="D59" s="53"/>
      <c r="E59" s="53"/>
      <c r="F59" s="7"/>
      <c r="G59" s="3"/>
      <c r="H59" s="11"/>
      <c r="I59" s="11"/>
      <c r="J59" s="11"/>
    </row>
    <row r="60" spans="1:15" ht="22.5" customHeight="1">
      <c r="F60" s="7"/>
      <c r="G60" s="3"/>
      <c r="H60" s="11"/>
      <c r="I60" s="11"/>
      <c r="J60" s="11"/>
    </row>
    <row r="61" spans="1:15" ht="22.5" customHeight="1">
      <c r="E61" s="464" t="s">
        <v>19</v>
      </c>
      <c r="F61" s="464"/>
      <c r="G61" s="464"/>
      <c r="H61" s="464"/>
      <c r="I61" s="110"/>
      <c r="J61" s="111"/>
    </row>
    <row r="62" spans="1:15" ht="22.5" customHeight="1">
      <c r="H62" s="11"/>
      <c r="I62" s="11"/>
      <c r="J62" s="11"/>
    </row>
    <row r="63" spans="1:15" ht="22.5" customHeight="1">
      <c r="H63" s="11"/>
      <c r="I63" s="11"/>
      <c r="J63" s="11"/>
    </row>
    <row r="64" spans="1:15" ht="22.5" customHeight="1">
      <c r="H64" s="11"/>
      <c r="I64" s="11"/>
      <c r="J64" s="11"/>
    </row>
    <row r="65" spans="6:10" ht="22.5" customHeight="1">
      <c r="H65" s="11"/>
      <c r="I65" s="11"/>
      <c r="J65" s="11"/>
    </row>
    <row r="66" spans="6:10" ht="22.5" customHeight="1">
      <c r="H66" s="11"/>
      <c r="I66" s="11"/>
      <c r="J66" s="11"/>
    </row>
    <row r="67" spans="6:10" ht="22.5" customHeight="1">
      <c r="F67" s="38"/>
      <c r="H67" s="11"/>
      <c r="I67" s="11"/>
      <c r="J67" s="11"/>
    </row>
    <row r="68" spans="6:10" ht="22.5" customHeight="1">
      <c r="H68" s="11"/>
      <c r="I68" s="11"/>
      <c r="J68" s="11"/>
    </row>
    <row r="69" spans="6:10" ht="22.5" customHeight="1">
      <c r="H69" s="11"/>
      <c r="I69" s="11"/>
      <c r="J69" s="11"/>
    </row>
    <row r="70" spans="6:10" ht="22.5" customHeight="1">
      <c r="H70" s="11"/>
      <c r="I70" s="11"/>
      <c r="J70" s="11"/>
    </row>
    <row r="71" spans="6:10" ht="22.5" customHeight="1">
      <c r="H71" s="11"/>
      <c r="I71" s="11"/>
      <c r="J71" s="11"/>
    </row>
    <row r="72" spans="6:10" ht="22.5" customHeight="1">
      <c r="H72" s="11"/>
      <c r="I72" s="11"/>
      <c r="J72" s="11"/>
    </row>
    <row r="73" spans="6:10" ht="22.5" customHeight="1">
      <c r="H73" s="11"/>
      <c r="I73" s="11"/>
      <c r="J73" s="11"/>
    </row>
    <row r="74" spans="6:10" ht="22.5" customHeight="1">
      <c r="H74" s="11"/>
      <c r="I74" s="11"/>
      <c r="J74" s="11"/>
    </row>
    <row r="75" spans="6:10" ht="22.5" customHeight="1">
      <c r="H75" s="11"/>
      <c r="I75" s="11"/>
      <c r="J75" s="11"/>
    </row>
  </sheetData>
  <autoFilter ref="A3:O66"/>
  <mergeCells count="5">
    <mergeCell ref="A1:H1"/>
    <mergeCell ref="A2:H2"/>
    <mergeCell ref="H47:H48"/>
    <mergeCell ref="E58:H58"/>
    <mergeCell ref="E61:H61"/>
  </mergeCells>
  <printOptions horizontalCentered="1"/>
  <pageMargins left="0.2" right="0" top="0.5" bottom="0.2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28" zoomScale="85" zoomScaleNormal="85" workbookViewId="0">
      <selection activeCell="A34" sqref="A34:XFD34"/>
    </sheetView>
  </sheetViews>
  <sheetFormatPr defaultRowHeight="22.5" customHeight="1"/>
  <cols>
    <col min="1" max="1" width="4.28515625" style="1" customWidth="1"/>
    <col min="2" max="2" width="25.5703125" style="1" customWidth="1"/>
    <col min="3" max="3" width="13.5703125" style="1" bestFit="1" customWidth="1"/>
    <col min="4" max="4" width="18.85546875" style="1" hidden="1" customWidth="1"/>
    <col min="5" max="5" width="10.42578125" style="1" hidden="1" customWidth="1"/>
    <col min="6" max="6" width="19.85546875" style="2" bestFit="1" customWidth="1"/>
    <col min="7" max="7" width="18" style="1" customWidth="1"/>
    <col min="8" max="8" width="38.5703125" style="1" customWidth="1"/>
    <col min="9" max="9" width="20.28515625" style="1" customWidth="1"/>
    <col min="10" max="10" width="23" style="154" customWidth="1"/>
    <col min="11" max="11" width="17.5703125" style="155" customWidth="1"/>
    <col min="12" max="12" width="26.28515625" style="155" customWidth="1"/>
    <col min="13" max="13" width="9.140625" style="1" customWidth="1"/>
    <col min="14" max="16384" width="9.140625" style="1"/>
  </cols>
  <sheetData>
    <row r="1" spans="1:12" ht="22.5" customHeight="1">
      <c r="A1" s="460" t="s">
        <v>14</v>
      </c>
      <c r="B1" s="460"/>
      <c r="C1" s="460"/>
      <c r="D1" s="460"/>
      <c r="E1" s="460"/>
      <c r="F1" s="460"/>
      <c r="G1" s="460"/>
      <c r="H1" s="460"/>
    </row>
    <row r="2" spans="1:12" ht="22.5" customHeight="1">
      <c r="A2" s="461" t="s">
        <v>171</v>
      </c>
      <c r="B2" s="461"/>
      <c r="C2" s="461"/>
      <c r="D2" s="461"/>
      <c r="E2" s="461"/>
      <c r="F2" s="461"/>
      <c r="G2" s="461"/>
      <c r="H2" s="461"/>
    </row>
    <row r="3" spans="1:12" s="26" customFormat="1" ht="33" customHeight="1">
      <c r="A3" s="23" t="s">
        <v>20</v>
      </c>
      <c r="B3" s="23" t="s">
        <v>13</v>
      </c>
      <c r="C3" s="61" t="s">
        <v>90</v>
      </c>
      <c r="D3" s="156" t="s">
        <v>117</v>
      </c>
      <c r="E3" s="156" t="s">
        <v>119</v>
      </c>
      <c r="F3" s="52" t="s">
        <v>118</v>
      </c>
      <c r="G3" s="25" t="s">
        <v>91</v>
      </c>
      <c r="H3" s="25" t="s">
        <v>92</v>
      </c>
      <c r="J3" s="154" t="s">
        <v>47</v>
      </c>
      <c r="K3" s="155" t="s">
        <v>48</v>
      </c>
      <c r="L3" s="155" t="s">
        <v>49</v>
      </c>
    </row>
    <row r="4" spans="1:12" ht="24" customHeight="1">
      <c r="A4" s="13">
        <v>1</v>
      </c>
      <c r="B4" s="9" t="s">
        <v>11</v>
      </c>
      <c r="C4" s="151"/>
      <c r="D4" s="152"/>
      <c r="E4" s="153"/>
      <c r="F4" s="150">
        <v>45178000</v>
      </c>
      <c r="G4" s="14" t="s">
        <v>24</v>
      </c>
      <c r="H4" s="157"/>
      <c r="J4" s="154" t="s">
        <v>50</v>
      </c>
      <c r="K4" s="155" t="s">
        <v>51</v>
      </c>
      <c r="L4" s="155" t="s">
        <v>52</v>
      </c>
    </row>
    <row r="5" spans="1:12" ht="24" customHeight="1">
      <c r="A5" s="13">
        <v>2</v>
      </c>
      <c r="B5" s="9" t="s">
        <v>8</v>
      </c>
      <c r="C5" s="151"/>
      <c r="D5" s="152"/>
      <c r="E5" s="153"/>
      <c r="F5" s="150">
        <v>42960000</v>
      </c>
      <c r="G5" s="14" t="s">
        <v>29</v>
      </c>
      <c r="H5" s="157"/>
      <c r="J5" s="154" t="s">
        <v>84</v>
      </c>
      <c r="K5" s="155" t="s">
        <v>56</v>
      </c>
      <c r="L5" s="155" t="s">
        <v>8</v>
      </c>
    </row>
    <row r="6" spans="1:12" ht="24" customHeight="1">
      <c r="A6" s="13">
        <v>3</v>
      </c>
      <c r="B6" s="9" t="s">
        <v>7</v>
      </c>
      <c r="C6" s="151" t="s">
        <v>102</v>
      </c>
      <c r="D6" s="152"/>
      <c r="E6" s="153"/>
      <c r="F6" s="150">
        <v>20913000</v>
      </c>
      <c r="G6" s="14" t="s">
        <v>29</v>
      </c>
      <c r="J6" s="154" t="s">
        <v>89</v>
      </c>
      <c r="K6" s="155" t="s">
        <v>51</v>
      </c>
      <c r="L6" s="155" t="s">
        <v>7</v>
      </c>
    </row>
    <row r="7" spans="1:12" ht="24" customHeight="1">
      <c r="A7" s="13">
        <v>4</v>
      </c>
      <c r="B7" s="9" t="s">
        <v>10</v>
      </c>
      <c r="C7" s="151" t="s">
        <v>93</v>
      </c>
      <c r="D7" s="152"/>
      <c r="E7" s="153"/>
      <c r="F7" s="150">
        <v>28753000</v>
      </c>
      <c r="G7" s="14" t="s">
        <v>24</v>
      </c>
      <c r="J7" s="154" t="s">
        <v>188</v>
      </c>
      <c r="K7" s="155" t="s">
        <v>56</v>
      </c>
      <c r="L7" s="155" t="s">
        <v>10</v>
      </c>
    </row>
    <row r="8" spans="1:12" ht="24" customHeight="1">
      <c r="A8" s="13">
        <v>5</v>
      </c>
      <c r="B8" s="9" t="s">
        <v>161</v>
      </c>
      <c r="C8" s="151" t="s">
        <v>93</v>
      </c>
      <c r="D8" s="152"/>
      <c r="E8" s="153"/>
      <c r="F8" s="150">
        <v>12000000</v>
      </c>
      <c r="G8" s="14" t="s">
        <v>29</v>
      </c>
      <c r="J8" s="154" t="s">
        <v>80</v>
      </c>
      <c r="K8" s="155" t="s">
        <v>51</v>
      </c>
      <c r="L8" s="155" t="s">
        <v>4</v>
      </c>
    </row>
    <row r="9" spans="1:12" ht="24" customHeight="1">
      <c r="A9" s="13">
        <v>7</v>
      </c>
      <c r="B9" s="9" t="s">
        <v>33</v>
      </c>
      <c r="C9" s="151" t="s">
        <v>93</v>
      </c>
      <c r="D9" s="152"/>
      <c r="E9" s="153"/>
      <c r="F9" s="150">
        <v>10800000</v>
      </c>
      <c r="G9" s="14" t="s">
        <v>24</v>
      </c>
      <c r="J9" s="154" t="s">
        <v>65</v>
      </c>
      <c r="K9" s="155" t="s">
        <v>64</v>
      </c>
      <c r="L9" s="155" t="s">
        <v>33</v>
      </c>
    </row>
    <row r="10" spans="1:12" ht="24" customHeight="1">
      <c r="A10" s="13">
        <v>8</v>
      </c>
      <c r="B10" s="9" t="s">
        <v>134</v>
      </c>
      <c r="C10" s="151" t="s">
        <v>93</v>
      </c>
      <c r="D10" s="152"/>
      <c r="E10" s="153"/>
      <c r="F10" s="150">
        <v>8000000</v>
      </c>
      <c r="G10" s="14" t="s">
        <v>24</v>
      </c>
      <c r="I10" s="1" t="s">
        <v>46</v>
      </c>
    </row>
    <row r="11" spans="1:12" ht="24" customHeight="1">
      <c r="A11" s="13">
        <v>9</v>
      </c>
      <c r="B11" s="9" t="s">
        <v>28</v>
      </c>
      <c r="C11" s="151" t="s">
        <v>93</v>
      </c>
      <c r="D11" s="152"/>
      <c r="E11" s="153"/>
      <c r="F11" s="150">
        <v>14000000</v>
      </c>
      <c r="G11" s="14" t="s">
        <v>30</v>
      </c>
      <c r="J11" s="154" t="s">
        <v>70</v>
      </c>
      <c r="K11" s="155" t="s">
        <v>51</v>
      </c>
      <c r="L11" s="155" t="s">
        <v>28</v>
      </c>
    </row>
    <row r="12" spans="1:12" ht="24" customHeight="1">
      <c r="A12" s="13">
        <v>10</v>
      </c>
      <c r="B12" s="9" t="s">
        <v>42</v>
      </c>
      <c r="C12" s="151" t="s">
        <v>93</v>
      </c>
      <c r="D12" s="152"/>
      <c r="E12" s="153"/>
      <c r="F12" s="150">
        <v>10000000</v>
      </c>
      <c r="G12" s="14" t="s">
        <v>24</v>
      </c>
      <c r="H12" s="1" t="s">
        <v>224</v>
      </c>
      <c r="J12" s="154" t="s">
        <v>123</v>
      </c>
      <c r="K12" s="155" t="s">
        <v>64</v>
      </c>
      <c r="L12" s="155" t="s">
        <v>42</v>
      </c>
    </row>
    <row r="13" spans="1:12" ht="24" customHeight="1">
      <c r="A13" s="13">
        <v>12</v>
      </c>
      <c r="B13" s="9" t="s">
        <v>125</v>
      </c>
      <c r="C13" s="151" t="s">
        <v>93</v>
      </c>
      <c r="D13" s="152"/>
      <c r="E13" s="153"/>
      <c r="F13" s="150">
        <v>6000000</v>
      </c>
      <c r="G13" s="14" t="s">
        <v>24</v>
      </c>
      <c r="J13" s="154" t="s">
        <v>141</v>
      </c>
      <c r="K13" s="155" t="s">
        <v>142</v>
      </c>
      <c r="L13" s="155" t="s">
        <v>125</v>
      </c>
    </row>
    <row r="14" spans="1:12" ht="24" customHeight="1">
      <c r="A14" s="13">
        <v>13</v>
      </c>
      <c r="B14" s="9" t="s">
        <v>31</v>
      </c>
      <c r="C14" s="151" t="s">
        <v>94</v>
      </c>
      <c r="D14" s="152"/>
      <c r="E14" s="153"/>
      <c r="F14" s="150">
        <v>29027000</v>
      </c>
      <c r="G14" s="14" t="s">
        <v>24</v>
      </c>
      <c r="J14" s="154" t="s">
        <v>88</v>
      </c>
      <c r="K14" s="155" t="s">
        <v>60</v>
      </c>
      <c r="L14" s="155" t="s">
        <v>31</v>
      </c>
    </row>
    <row r="15" spans="1:12" ht="24" customHeight="1">
      <c r="A15" s="13">
        <v>14</v>
      </c>
      <c r="B15" s="9" t="s">
        <v>3</v>
      </c>
      <c r="C15" s="151" t="s">
        <v>94</v>
      </c>
      <c r="D15" s="152"/>
      <c r="E15" s="153"/>
      <c r="F15" s="150">
        <v>14000000</v>
      </c>
      <c r="G15" s="14" t="s">
        <v>24</v>
      </c>
      <c r="J15" s="154" t="s">
        <v>189</v>
      </c>
      <c r="K15" s="155" t="s">
        <v>63</v>
      </c>
      <c r="L15" s="155" t="s">
        <v>190</v>
      </c>
    </row>
    <row r="16" spans="1:12" ht="24" customHeight="1">
      <c r="A16" s="13">
        <v>16</v>
      </c>
      <c r="B16" s="9" t="s">
        <v>37</v>
      </c>
      <c r="C16" s="151" t="s">
        <v>94</v>
      </c>
      <c r="D16" s="152"/>
      <c r="E16" s="153"/>
      <c r="F16" s="150">
        <v>8000000</v>
      </c>
      <c r="G16" s="14" t="s">
        <v>30</v>
      </c>
      <c r="J16" s="154" t="s">
        <v>62</v>
      </c>
      <c r="K16" s="155" t="s">
        <v>51</v>
      </c>
      <c r="L16" s="155" t="s">
        <v>37</v>
      </c>
    </row>
    <row r="17" spans="1:12" ht="24" customHeight="1">
      <c r="A17" s="13">
        <v>17</v>
      </c>
      <c r="B17" s="9" t="s">
        <v>38</v>
      </c>
      <c r="C17" s="151" t="s">
        <v>94</v>
      </c>
      <c r="D17" s="152"/>
      <c r="E17" s="153"/>
      <c r="F17" s="150">
        <v>8000000</v>
      </c>
      <c r="G17" s="14" t="s">
        <v>30</v>
      </c>
      <c r="J17" s="154" t="s">
        <v>61</v>
      </c>
      <c r="K17" s="155" t="s">
        <v>54</v>
      </c>
      <c r="L17" s="155" t="s">
        <v>38</v>
      </c>
    </row>
    <row r="18" spans="1:12" ht="24" customHeight="1">
      <c r="A18" s="13">
        <v>18</v>
      </c>
      <c r="B18" s="9" t="s">
        <v>105</v>
      </c>
      <c r="C18" s="151" t="s">
        <v>94</v>
      </c>
      <c r="D18" s="152"/>
      <c r="E18" s="153"/>
      <c r="F18" s="150">
        <v>10000000</v>
      </c>
      <c r="G18" s="14" t="s">
        <v>30</v>
      </c>
      <c r="J18" s="154" t="s">
        <v>67</v>
      </c>
      <c r="K18" s="155" t="s">
        <v>64</v>
      </c>
      <c r="L18" s="155" t="s">
        <v>1</v>
      </c>
    </row>
    <row r="19" spans="1:12" ht="24" customHeight="1">
      <c r="A19" s="13">
        <v>19</v>
      </c>
      <c r="B19" s="9" t="s">
        <v>40</v>
      </c>
      <c r="C19" s="151" t="s">
        <v>94</v>
      </c>
      <c r="D19" s="152"/>
      <c r="E19" s="153"/>
      <c r="F19" s="150">
        <v>8000000</v>
      </c>
      <c r="G19" s="14" t="s">
        <v>30</v>
      </c>
      <c r="J19" s="154" t="s">
        <v>145</v>
      </c>
      <c r="K19" s="155" t="s">
        <v>57</v>
      </c>
      <c r="L19" s="155" t="s">
        <v>40</v>
      </c>
    </row>
    <row r="20" spans="1:12" ht="25.5" customHeight="1">
      <c r="A20" s="13">
        <v>20</v>
      </c>
      <c r="B20" s="9" t="s">
        <v>41</v>
      </c>
      <c r="C20" s="151" t="s">
        <v>94</v>
      </c>
      <c r="D20" s="152"/>
      <c r="E20" s="153"/>
      <c r="F20" s="150">
        <v>10000000</v>
      </c>
      <c r="G20" s="14" t="s">
        <v>30</v>
      </c>
      <c r="J20" s="154" t="s">
        <v>58</v>
      </c>
      <c r="K20" s="155" t="s">
        <v>56</v>
      </c>
      <c r="L20" s="155" t="s">
        <v>41</v>
      </c>
    </row>
    <row r="21" spans="1:12" ht="22.5" customHeight="1">
      <c r="A21" s="13">
        <v>22</v>
      </c>
      <c r="B21" s="9" t="s">
        <v>127</v>
      </c>
      <c r="C21" s="151" t="s">
        <v>94</v>
      </c>
      <c r="D21" s="152"/>
      <c r="E21" s="153"/>
      <c r="F21" s="150">
        <v>8000000</v>
      </c>
      <c r="G21" s="14" t="s">
        <v>30</v>
      </c>
      <c r="J21" s="154" t="s">
        <v>131</v>
      </c>
      <c r="K21" s="155" t="s">
        <v>56</v>
      </c>
      <c r="L21" s="155" t="s">
        <v>127</v>
      </c>
    </row>
    <row r="22" spans="1:12" ht="22.5" customHeight="1">
      <c r="A22" s="13">
        <v>24</v>
      </c>
      <c r="B22" s="9" t="s">
        <v>9</v>
      </c>
      <c r="C22" s="151" t="s">
        <v>95</v>
      </c>
      <c r="D22" s="152"/>
      <c r="E22" s="153"/>
      <c r="F22" s="150">
        <v>35126000</v>
      </c>
      <c r="G22" s="14" t="s">
        <v>30</v>
      </c>
      <c r="J22" s="154" t="s">
        <v>53</v>
      </c>
      <c r="K22" s="155" t="s">
        <v>51</v>
      </c>
      <c r="L22" s="155" t="s">
        <v>9</v>
      </c>
    </row>
    <row r="23" spans="1:12" s="184" customFormat="1" ht="22.5" customHeight="1">
      <c r="A23" s="112">
        <v>25</v>
      </c>
      <c r="B23" s="182" t="s">
        <v>112</v>
      </c>
      <c r="C23" s="187" t="s">
        <v>95</v>
      </c>
      <c r="D23" s="188"/>
      <c r="E23" s="183"/>
      <c r="F23" s="42">
        <v>15000000</v>
      </c>
      <c r="G23" s="89" t="s">
        <v>30</v>
      </c>
      <c r="J23" s="185" t="s">
        <v>77</v>
      </c>
      <c r="K23" s="186" t="s">
        <v>56</v>
      </c>
      <c r="L23" s="186" t="s">
        <v>16</v>
      </c>
    </row>
    <row r="24" spans="1:12" s="184" customFormat="1" ht="22.5" customHeight="1">
      <c r="A24" s="112">
        <v>26</v>
      </c>
      <c r="B24" s="182" t="s">
        <v>26</v>
      </c>
      <c r="C24" s="187" t="s">
        <v>95</v>
      </c>
      <c r="D24" s="188"/>
      <c r="E24" s="183"/>
      <c r="F24" s="42">
        <v>15000000</v>
      </c>
      <c r="G24" s="89" t="s">
        <v>30</v>
      </c>
      <c r="J24" s="185" t="s">
        <v>72</v>
      </c>
      <c r="K24" s="186" t="s">
        <v>54</v>
      </c>
      <c r="L24" s="186" t="s">
        <v>26</v>
      </c>
    </row>
    <row r="25" spans="1:12" s="184" customFormat="1" ht="22.5" customHeight="1">
      <c r="A25" s="112">
        <v>27</v>
      </c>
      <c r="B25" s="182" t="s">
        <v>32</v>
      </c>
      <c r="C25" s="187" t="s">
        <v>95</v>
      </c>
      <c r="D25" s="188"/>
      <c r="E25" s="183"/>
      <c r="F25" s="42">
        <f>7500000+2000000</f>
        <v>9500000</v>
      </c>
      <c r="G25" s="89" t="s">
        <v>30</v>
      </c>
      <c r="J25" s="185" t="s">
        <v>68</v>
      </c>
      <c r="K25" s="186" t="s">
        <v>56</v>
      </c>
      <c r="L25" s="186" t="s">
        <v>32</v>
      </c>
    </row>
    <row r="26" spans="1:12" s="184" customFormat="1" ht="22.5" customHeight="1">
      <c r="A26" s="112">
        <v>28</v>
      </c>
      <c r="B26" s="182" t="s">
        <v>39</v>
      </c>
      <c r="C26" s="187" t="s">
        <v>95</v>
      </c>
      <c r="D26" s="188"/>
      <c r="E26" s="183"/>
      <c r="F26" s="42">
        <v>8500000</v>
      </c>
      <c r="G26" s="89" t="s">
        <v>24</v>
      </c>
      <c r="J26" s="185" t="s">
        <v>59</v>
      </c>
      <c r="K26" s="186" t="s">
        <v>60</v>
      </c>
      <c r="L26" s="186" t="s">
        <v>39</v>
      </c>
    </row>
    <row r="27" spans="1:12" s="184" customFormat="1" ht="22.5" customHeight="1">
      <c r="A27" s="112">
        <v>29</v>
      </c>
      <c r="B27" s="182" t="s">
        <v>44</v>
      </c>
      <c r="C27" s="187" t="s">
        <v>95</v>
      </c>
      <c r="D27" s="188"/>
      <c r="E27" s="183"/>
      <c r="F27" s="42">
        <v>8000000</v>
      </c>
      <c r="G27" s="89" t="s">
        <v>30</v>
      </c>
      <c r="H27" s="89"/>
      <c r="J27" s="185" t="s">
        <v>55</v>
      </c>
      <c r="K27" s="186" t="s">
        <v>56</v>
      </c>
      <c r="L27" s="186" t="s">
        <v>44</v>
      </c>
    </row>
    <row r="28" spans="1:12" ht="27" customHeight="1">
      <c r="A28" s="13">
        <v>30</v>
      </c>
      <c r="B28" s="9" t="s">
        <v>103</v>
      </c>
      <c r="C28" s="158" t="s">
        <v>95</v>
      </c>
      <c r="D28" s="159"/>
      <c r="E28" s="153"/>
      <c r="F28" s="150">
        <f>7000000</f>
        <v>7000000</v>
      </c>
      <c r="G28" s="14" t="s">
        <v>30</v>
      </c>
      <c r="H28" s="163" t="s">
        <v>185</v>
      </c>
      <c r="J28" s="154" t="s">
        <v>104</v>
      </c>
      <c r="K28" s="155" t="s">
        <v>74</v>
      </c>
      <c r="L28" s="155" t="s">
        <v>144</v>
      </c>
    </row>
    <row r="29" spans="1:12" ht="27" customHeight="1">
      <c r="A29" s="13">
        <v>31</v>
      </c>
      <c r="B29" s="9" t="s">
        <v>128</v>
      </c>
      <c r="C29" s="158" t="s">
        <v>95</v>
      </c>
      <c r="D29" s="159"/>
      <c r="E29" s="153"/>
      <c r="F29" s="150">
        <v>8000000</v>
      </c>
      <c r="G29" s="14" t="s">
        <v>24</v>
      </c>
      <c r="H29" s="163" t="s">
        <v>210</v>
      </c>
      <c r="J29" s="154" t="s">
        <v>139</v>
      </c>
      <c r="K29" s="155" t="s">
        <v>138</v>
      </c>
      <c r="L29" s="155" t="s">
        <v>140</v>
      </c>
    </row>
    <row r="30" spans="1:12" ht="32.25" customHeight="1">
      <c r="A30" s="13">
        <v>32</v>
      </c>
      <c r="B30" s="9" t="s">
        <v>121</v>
      </c>
      <c r="C30" s="151" t="s">
        <v>96</v>
      </c>
      <c r="D30" s="152"/>
      <c r="E30" s="153"/>
      <c r="F30" s="150">
        <f>26678000+500000</f>
        <v>27178000</v>
      </c>
      <c r="G30" s="14" t="s">
        <v>30</v>
      </c>
      <c r="H30" s="157" t="s">
        <v>169</v>
      </c>
      <c r="J30" s="154" t="s">
        <v>86</v>
      </c>
      <c r="K30" s="155" t="s">
        <v>60</v>
      </c>
      <c r="L30" s="155" t="s">
        <v>85</v>
      </c>
    </row>
    <row r="31" spans="1:12" ht="22.5" customHeight="1">
      <c r="A31" s="13">
        <v>33</v>
      </c>
      <c r="B31" s="9" t="s">
        <v>120</v>
      </c>
      <c r="C31" s="151" t="s">
        <v>96</v>
      </c>
      <c r="D31" s="152"/>
      <c r="E31" s="153"/>
      <c r="F31" s="150">
        <f>16000000+8000000</f>
        <v>24000000</v>
      </c>
      <c r="G31" s="14" t="s">
        <v>30</v>
      </c>
      <c r="H31" s="14"/>
      <c r="J31" s="154" t="s">
        <v>81</v>
      </c>
      <c r="K31" s="155" t="s">
        <v>60</v>
      </c>
      <c r="L31" s="155" t="s">
        <v>5</v>
      </c>
    </row>
    <row r="32" spans="1:12" ht="22.5" customHeight="1">
      <c r="A32" s="13">
        <v>34</v>
      </c>
      <c r="B32" s="9" t="s">
        <v>43</v>
      </c>
      <c r="C32" s="151" t="s">
        <v>96</v>
      </c>
      <c r="D32" s="152"/>
      <c r="E32" s="153"/>
      <c r="F32" s="150">
        <f>7000000+1000000</f>
        <v>8000000</v>
      </c>
      <c r="G32" s="14" t="s">
        <v>30</v>
      </c>
      <c r="H32" s="14"/>
      <c r="J32" s="154" t="s">
        <v>162</v>
      </c>
      <c r="K32" s="155" t="s">
        <v>63</v>
      </c>
      <c r="L32" s="155" t="s">
        <v>43</v>
      </c>
    </row>
    <row r="33" spans="1:12" ht="27" customHeight="1">
      <c r="A33" s="13">
        <v>35</v>
      </c>
      <c r="B33" s="9" t="s">
        <v>129</v>
      </c>
      <c r="C33" s="158" t="s">
        <v>96</v>
      </c>
      <c r="D33" s="159"/>
      <c r="E33" s="153"/>
      <c r="F33" s="150">
        <v>7000000</v>
      </c>
      <c r="G33" s="14" t="s">
        <v>30</v>
      </c>
      <c r="H33" s="163" t="s">
        <v>185</v>
      </c>
      <c r="J33" s="154" t="s">
        <v>165</v>
      </c>
      <c r="K33" s="155" t="s">
        <v>56</v>
      </c>
      <c r="L33" s="155" t="s">
        <v>129</v>
      </c>
    </row>
    <row r="34" spans="1:12" ht="27" customHeight="1">
      <c r="A34" s="13">
        <v>36</v>
      </c>
      <c r="B34" s="9" t="s">
        <v>148</v>
      </c>
      <c r="C34" s="158" t="s">
        <v>96</v>
      </c>
      <c r="D34" s="159"/>
      <c r="E34" s="153"/>
      <c r="F34" s="150">
        <v>7000000</v>
      </c>
      <c r="G34" s="14" t="s">
        <v>30</v>
      </c>
      <c r="H34" s="163" t="s">
        <v>185</v>
      </c>
      <c r="J34" s="154" t="s">
        <v>158</v>
      </c>
      <c r="K34" s="155" t="s">
        <v>57</v>
      </c>
      <c r="L34" s="155" t="s">
        <v>148</v>
      </c>
    </row>
    <row r="35" spans="1:12" ht="29.25" customHeight="1">
      <c r="A35" s="13">
        <v>39</v>
      </c>
      <c r="B35" s="9" t="s">
        <v>36</v>
      </c>
      <c r="C35" s="151" t="s">
        <v>98</v>
      </c>
      <c r="D35" s="152"/>
      <c r="E35" s="153"/>
      <c r="F35" s="150">
        <v>26850000</v>
      </c>
      <c r="G35" s="14" t="s">
        <v>30</v>
      </c>
      <c r="H35" s="14"/>
      <c r="J35" s="154" t="s">
        <v>66</v>
      </c>
      <c r="K35" s="155" t="s">
        <v>51</v>
      </c>
      <c r="L35" s="155" t="s">
        <v>36</v>
      </c>
    </row>
    <row r="36" spans="1:12" ht="41.25" customHeight="1">
      <c r="A36" s="13">
        <v>40</v>
      </c>
      <c r="B36" s="9" t="s">
        <v>150</v>
      </c>
      <c r="C36" s="158" t="s">
        <v>98</v>
      </c>
      <c r="D36" s="159"/>
      <c r="E36" s="153"/>
      <c r="F36" s="150">
        <v>5950000</v>
      </c>
      <c r="G36" s="14" t="s">
        <v>30</v>
      </c>
      <c r="H36" s="163" t="s">
        <v>164</v>
      </c>
      <c r="J36" s="154" t="s">
        <v>159</v>
      </c>
      <c r="K36" s="155" t="s">
        <v>160</v>
      </c>
      <c r="L36" s="155" t="s">
        <v>150</v>
      </c>
    </row>
    <row r="37" spans="1:12" ht="41.25" customHeight="1">
      <c r="A37" s="13">
        <v>41</v>
      </c>
      <c r="B37" s="9" t="s">
        <v>166</v>
      </c>
      <c r="C37" s="158" t="s">
        <v>98</v>
      </c>
      <c r="D37" s="159"/>
      <c r="E37" s="153"/>
      <c r="F37" s="150">
        <v>9000000</v>
      </c>
      <c r="G37" s="14" t="s">
        <v>30</v>
      </c>
      <c r="H37" s="163" t="s">
        <v>184</v>
      </c>
      <c r="J37" s="154" t="s">
        <v>172</v>
      </c>
      <c r="K37" s="155" t="s">
        <v>63</v>
      </c>
      <c r="L37" s="155" t="s">
        <v>166</v>
      </c>
    </row>
    <row r="38" spans="1:12" ht="22.5" customHeight="1">
      <c r="A38" s="13">
        <v>42</v>
      </c>
      <c r="B38" s="9" t="s">
        <v>25</v>
      </c>
      <c r="C38" s="151" t="s">
        <v>99</v>
      </c>
      <c r="D38" s="152"/>
      <c r="E38" s="153"/>
      <c r="F38" s="150">
        <v>12000000</v>
      </c>
      <c r="G38" s="14" t="s">
        <v>30</v>
      </c>
      <c r="H38" s="14"/>
      <c r="J38" s="154" t="s">
        <v>79</v>
      </c>
      <c r="K38" s="155" t="s">
        <v>63</v>
      </c>
      <c r="L38" s="155" t="s">
        <v>78</v>
      </c>
    </row>
    <row r="39" spans="1:12" ht="22.5" customHeight="1">
      <c r="A39" s="13">
        <v>43</v>
      </c>
      <c r="B39" s="9" t="s">
        <v>6</v>
      </c>
      <c r="C39" s="151" t="s">
        <v>100</v>
      </c>
      <c r="D39" s="152"/>
      <c r="E39" s="153"/>
      <c r="F39" s="150">
        <v>15000000</v>
      </c>
      <c r="G39" s="14" t="s">
        <v>24</v>
      </c>
      <c r="H39" s="14"/>
      <c r="J39" s="154" t="s">
        <v>82</v>
      </c>
      <c r="K39" s="155" t="s">
        <v>51</v>
      </c>
      <c r="L39" s="155" t="s">
        <v>6</v>
      </c>
    </row>
    <row r="40" spans="1:12" ht="22.5" customHeight="1">
      <c r="A40" s="13">
        <v>44</v>
      </c>
      <c r="B40" s="9" t="s">
        <v>45</v>
      </c>
      <c r="C40" s="151" t="s">
        <v>97</v>
      </c>
      <c r="D40" s="152"/>
      <c r="E40" s="153"/>
      <c r="F40" s="150">
        <v>13902000</v>
      </c>
      <c r="G40" s="14" t="s">
        <v>29</v>
      </c>
      <c r="H40" s="14"/>
      <c r="L40" s="155" t="s">
        <v>45</v>
      </c>
    </row>
    <row r="41" spans="1:12" ht="22.5" customHeight="1">
      <c r="A41" s="13">
        <v>46</v>
      </c>
      <c r="B41" s="9" t="s">
        <v>35</v>
      </c>
      <c r="C41" s="151" t="s">
        <v>97</v>
      </c>
      <c r="D41" s="152"/>
      <c r="E41" s="153"/>
      <c r="F41" s="150">
        <v>8000000</v>
      </c>
      <c r="G41" s="14" t="s">
        <v>29</v>
      </c>
      <c r="H41" s="14"/>
      <c r="L41" s="155" t="s">
        <v>35</v>
      </c>
    </row>
    <row r="42" spans="1:12" ht="22.5" customHeight="1">
      <c r="A42" s="13">
        <v>47</v>
      </c>
      <c r="B42" s="9" t="s">
        <v>17</v>
      </c>
      <c r="C42" s="151" t="s">
        <v>101</v>
      </c>
      <c r="D42" s="152"/>
      <c r="E42" s="153"/>
      <c r="F42" s="150">
        <v>16500000</v>
      </c>
      <c r="G42" s="14" t="s">
        <v>29</v>
      </c>
      <c r="H42" s="14"/>
      <c r="J42" s="154" t="s">
        <v>83</v>
      </c>
      <c r="K42" s="155" t="s">
        <v>64</v>
      </c>
      <c r="L42" s="155" t="s">
        <v>17</v>
      </c>
    </row>
    <row r="43" spans="1:12" ht="49.5" customHeight="1">
      <c r="A43" s="13">
        <v>48</v>
      </c>
      <c r="B43" s="9" t="s">
        <v>130</v>
      </c>
      <c r="C43" s="158" t="s">
        <v>101</v>
      </c>
      <c r="D43" s="159"/>
      <c r="E43" s="153"/>
      <c r="F43" s="150"/>
      <c r="G43" s="14" t="s">
        <v>24</v>
      </c>
      <c r="H43" s="157" t="s">
        <v>151</v>
      </c>
      <c r="J43" s="154" t="s">
        <v>143</v>
      </c>
      <c r="K43" s="155" t="s">
        <v>133</v>
      </c>
      <c r="L43" s="155" t="s">
        <v>130</v>
      </c>
    </row>
    <row r="44" spans="1:12" ht="31.5" customHeight="1">
      <c r="A44" s="13">
        <v>49</v>
      </c>
      <c r="B44" s="9" t="s">
        <v>146</v>
      </c>
      <c r="C44" s="158" t="s">
        <v>100</v>
      </c>
      <c r="D44" s="159"/>
      <c r="E44" s="153"/>
      <c r="F44" s="150">
        <v>9600000</v>
      </c>
      <c r="G44" s="14" t="s">
        <v>24</v>
      </c>
      <c r="H44" s="465" t="s">
        <v>154</v>
      </c>
      <c r="J44" s="154" t="s">
        <v>152</v>
      </c>
      <c r="K44" s="155" t="s">
        <v>57</v>
      </c>
      <c r="L44" s="155" t="s">
        <v>146</v>
      </c>
    </row>
    <row r="45" spans="1:12" ht="31.5" customHeight="1">
      <c r="A45" s="13">
        <v>50</v>
      </c>
      <c r="B45" s="9" t="s">
        <v>147</v>
      </c>
      <c r="C45" s="158" t="s">
        <v>100</v>
      </c>
      <c r="D45" s="159"/>
      <c r="E45" s="153"/>
      <c r="F45" s="150">
        <v>9600000</v>
      </c>
      <c r="G45" s="14" t="s">
        <v>24</v>
      </c>
      <c r="H45" s="466"/>
      <c r="J45" s="154" t="s">
        <v>153</v>
      </c>
      <c r="K45" s="155" t="s">
        <v>57</v>
      </c>
      <c r="L45" s="155" t="s">
        <v>147</v>
      </c>
    </row>
    <row r="46" spans="1:12" ht="36.75" customHeight="1">
      <c r="A46" s="13"/>
      <c r="B46" s="9" t="s">
        <v>178</v>
      </c>
      <c r="C46" s="158"/>
      <c r="D46" s="159"/>
      <c r="E46" s="153"/>
      <c r="F46" s="150">
        <v>6500000</v>
      </c>
      <c r="G46" s="14" t="s">
        <v>24</v>
      </c>
      <c r="H46" s="163" t="s">
        <v>181</v>
      </c>
      <c r="J46" s="154" t="s">
        <v>222</v>
      </c>
      <c r="K46" s="155" t="s">
        <v>63</v>
      </c>
      <c r="L46" s="155" t="s">
        <v>223</v>
      </c>
    </row>
    <row r="47" spans="1:12" ht="36.75" customHeight="1">
      <c r="A47" s="169"/>
      <c r="B47" s="170" t="s">
        <v>179</v>
      </c>
      <c r="C47" s="171"/>
      <c r="D47" s="172"/>
      <c r="E47" s="173"/>
      <c r="F47" s="189">
        <v>6500000</v>
      </c>
      <c r="G47" s="174" t="s">
        <v>24</v>
      </c>
      <c r="H47" s="175" t="s">
        <v>182</v>
      </c>
      <c r="J47" s="154" t="s">
        <v>216</v>
      </c>
      <c r="K47" s="155" t="s">
        <v>51</v>
      </c>
      <c r="L47" s="155" t="s">
        <v>179</v>
      </c>
    </row>
    <row r="48" spans="1:12" ht="36.75" customHeight="1">
      <c r="A48" s="164"/>
      <c r="B48" s="165" t="s">
        <v>180</v>
      </c>
      <c r="C48" s="176"/>
      <c r="D48" s="177"/>
      <c r="E48" s="178"/>
      <c r="F48" s="166">
        <v>3500000</v>
      </c>
      <c r="G48" s="167" t="s">
        <v>24</v>
      </c>
      <c r="H48" s="179" t="s">
        <v>183</v>
      </c>
      <c r="I48" s="1" t="s">
        <v>46</v>
      </c>
    </row>
    <row r="49" spans="1:12" ht="36.75" customHeight="1">
      <c r="A49" s="164"/>
      <c r="B49" s="165" t="s">
        <v>192</v>
      </c>
      <c r="C49" s="165"/>
      <c r="D49" s="165"/>
      <c r="E49" s="165"/>
      <c r="F49" s="166">
        <v>4934000</v>
      </c>
      <c r="G49" s="167" t="s">
        <v>24</v>
      </c>
      <c r="H49" s="168" t="s">
        <v>191</v>
      </c>
      <c r="J49" s="154" t="s">
        <v>220</v>
      </c>
      <c r="K49" s="155" t="s">
        <v>54</v>
      </c>
      <c r="L49" s="155" t="s">
        <v>221</v>
      </c>
    </row>
    <row r="50" spans="1:12" ht="36.75" customHeight="1">
      <c r="A50" s="164"/>
      <c r="B50" s="165" t="s">
        <v>193</v>
      </c>
      <c r="C50" s="165"/>
      <c r="D50" s="165"/>
      <c r="E50" s="165"/>
      <c r="F50" s="166">
        <v>5517000</v>
      </c>
      <c r="G50" s="167" t="s">
        <v>24</v>
      </c>
      <c r="H50" s="168" t="s">
        <v>212</v>
      </c>
      <c r="J50" s="154" t="s">
        <v>213</v>
      </c>
      <c r="K50" s="155" t="s">
        <v>54</v>
      </c>
      <c r="L50" s="155" t="s">
        <v>193</v>
      </c>
    </row>
    <row r="51" spans="1:12" ht="36.75" customHeight="1">
      <c r="A51" s="164"/>
      <c r="B51" s="165" t="s">
        <v>194</v>
      </c>
      <c r="C51" s="165"/>
      <c r="D51" s="165"/>
      <c r="E51" s="165"/>
      <c r="F51" s="166">
        <v>5852000</v>
      </c>
      <c r="G51" s="167" t="s">
        <v>24</v>
      </c>
      <c r="H51" s="180" t="s">
        <v>195</v>
      </c>
      <c r="I51" s="1" t="s">
        <v>46</v>
      </c>
    </row>
    <row r="52" spans="1:12" ht="36.75" customHeight="1">
      <c r="A52" s="164"/>
      <c r="B52" s="165" t="s">
        <v>196</v>
      </c>
      <c r="C52" s="165"/>
      <c r="D52" s="165"/>
      <c r="E52" s="165"/>
      <c r="F52" s="166">
        <v>2617000</v>
      </c>
      <c r="G52" s="167" t="s">
        <v>24</v>
      </c>
      <c r="H52" s="180" t="s">
        <v>197</v>
      </c>
      <c r="J52" s="154" t="s">
        <v>214</v>
      </c>
      <c r="K52" s="155" t="s">
        <v>138</v>
      </c>
      <c r="L52" s="155" t="s">
        <v>215</v>
      </c>
    </row>
    <row r="53" spans="1:12" ht="36.75" customHeight="1">
      <c r="A53" s="164"/>
      <c r="B53" s="165" t="s">
        <v>199</v>
      </c>
      <c r="C53" s="165"/>
      <c r="D53" s="165"/>
      <c r="E53" s="165"/>
      <c r="F53" s="166">
        <v>1400000</v>
      </c>
      <c r="G53" s="167" t="s">
        <v>24</v>
      </c>
      <c r="H53" s="180" t="s">
        <v>198</v>
      </c>
      <c r="J53" s="154" t="s">
        <v>217</v>
      </c>
      <c r="K53" s="155" t="s">
        <v>218</v>
      </c>
      <c r="L53" s="155" t="s">
        <v>219</v>
      </c>
    </row>
    <row r="54" spans="1:12" ht="36.75" customHeight="1">
      <c r="A54" s="164"/>
      <c r="B54" s="165" t="s">
        <v>202</v>
      </c>
      <c r="C54" s="165"/>
      <c r="D54" s="165"/>
      <c r="E54" s="165"/>
      <c r="F54" s="166">
        <v>2400000</v>
      </c>
      <c r="G54" s="14" t="s">
        <v>30</v>
      </c>
      <c r="H54" s="180" t="s">
        <v>203</v>
      </c>
      <c r="I54" s="1" t="s">
        <v>46</v>
      </c>
    </row>
    <row r="55" spans="1:12" ht="36.75" customHeight="1">
      <c r="A55" s="164"/>
      <c r="B55" s="165" t="s">
        <v>205</v>
      </c>
      <c r="C55" s="165"/>
      <c r="D55" s="165"/>
      <c r="E55" s="165"/>
      <c r="F55" s="166">
        <v>2400000</v>
      </c>
      <c r="G55" s="14" t="s">
        <v>30</v>
      </c>
      <c r="H55" s="180" t="s">
        <v>204</v>
      </c>
      <c r="I55" s="1" t="s">
        <v>46</v>
      </c>
    </row>
    <row r="56" spans="1:12" ht="36.75" customHeight="1">
      <c r="A56" s="164"/>
      <c r="B56" s="165" t="s">
        <v>206</v>
      </c>
      <c r="C56" s="165"/>
      <c r="D56" s="165"/>
      <c r="E56" s="165"/>
      <c r="F56" s="166">
        <v>1900000</v>
      </c>
      <c r="G56" s="14" t="s">
        <v>30</v>
      </c>
      <c r="H56" s="180" t="s">
        <v>207</v>
      </c>
      <c r="I56" s="1" t="s">
        <v>46</v>
      </c>
    </row>
    <row r="57" spans="1:12" ht="36.75" customHeight="1">
      <c r="A57" s="164"/>
      <c r="B57" s="165" t="s">
        <v>208</v>
      </c>
      <c r="C57" s="165"/>
      <c r="D57" s="165"/>
      <c r="E57" s="165"/>
      <c r="F57" s="166">
        <v>2400000</v>
      </c>
      <c r="G57" s="14" t="s">
        <v>30</v>
      </c>
      <c r="H57" s="180" t="s">
        <v>209</v>
      </c>
      <c r="I57" s="1" t="s">
        <v>46</v>
      </c>
    </row>
    <row r="58" spans="1:12" s="3" customFormat="1" ht="19.5" customHeight="1">
      <c r="A58" s="6"/>
      <c r="B58" s="4" t="s">
        <v>0</v>
      </c>
      <c r="C58" s="4"/>
      <c r="D58" s="57">
        <f>SUBTOTAL(9,D4:D49)</f>
        <v>0</v>
      </c>
      <c r="E58" s="57">
        <f>SUBTOTAL(9,E4:E49)</f>
        <v>0</v>
      </c>
      <c r="F58" s="57">
        <f>SUBTOTAL(9,F4:F57)</f>
        <v>645257000</v>
      </c>
      <c r="G58" s="5"/>
      <c r="H58" s="5"/>
      <c r="J58" s="154"/>
      <c r="K58" s="155"/>
      <c r="L58" s="155"/>
    </row>
    <row r="59" spans="1:12" ht="21" customHeight="1">
      <c r="B59" s="1" t="s">
        <v>46</v>
      </c>
      <c r="F59" s="160">
        <f>SUMIF($I$4:$I$58,"TM",($F$4:$F$58))</f>
        <v>26452000</v>
      </c>
    </row>
    <row r="60" spans="1:12" ht="21" customHeight="1">
      <c r="B60" s="1" t="s">
        <v>211</v>
      </c>
      <c r="F60" s="162">
        <f>F58-F59</f>
        <v>618805000</v>
      </c>
      <c r="G60" s="162"/>
      <c r="H60" s="191">
        <f>F58-'tháng 4'!F60</f>
        <v>-54989000</v>
      </c>
    </row>
    <row r="61" spans="1:12" ht="19.5" customHeight="1">
      <c r="B61" s="12" t="s">
        <v>22</v>
      </c>
      <c r="C61" s="12"/>
      <c r="D61" s="12"/>
      <c r="E61" s="12"/>
      <c r="F61" s="58">
        <f>SUMIF($G$4:$G$58,"idocNet",($F$4:$F$58))</f>
        <v>114275000</v>
      </c>
      <c r="G61" s="11"/>
      <c r="H61" s="11"/>
    </row>
    <row r="62" spans="1:12" ht="19.5" customHeight="1">
      <c r="B62" s="12" t="s">
        <v>23</v>
      </c>
      <c r="C62" s="12"/>
      <c r="D62" s="12"/>
      <c r="E62" s="12"/>
      <c r="F62" s="58">
        <f>SUMIF($G$4:$G$58,"idocST",($F$4:$F$58))</f>
        <v>291704000</v>
      </c>
      <c r="G62" s="11"/>
      <c r="H62" s="11"/>
    </row>
    <row r="63" spans="1:12" ht="19.5" customHeight="1">
      <c r="B63" s="12" t="s">
        <v>24</v>
      </c>
      <c r="C63" s="12"/>
      <c r="D63" s="12"/>
      <c r="E63" s="12"/>
      <c r="F63" s="58">
        <f>SUMIF($G$4:$G$58,"Long Quang",($F$4:$F$58))</f>
        <v>239278000</v>
      </c>
      <c r="G63" s="11"/>
      <c r="H63" s="11"/>
    </row>
    <row r="64" spans="1:12" ht="22.5" customHeight="1">
      <c r="E64" s="464" t="s">
        <v>18</v>
      </c>
      <c r="F64" s="464"/>
      <c r="G64" s="464"/>
      <c r="H64" s="464"/>
    </row>
    <row r="65" spans="4:8" ht="22.5" customHeight="1">
      <c r="D65" s="161"/>
      <c r="E65" s="161"/>
      <c r="F65" s="7"/>
      <c r="G65" s="3"/>
      <c r="H65" s="11"/>
    </row>
    <row r="66" spans="4:8" ht="22.5" customHeight="1">
      <c r="F66" s="7"/>
      <c r="G66" s="3"/>
      <c r="H66" s="11"/>
    </row>
    <row r="67" spans="4:8" ht="22.5" customHeight="1">
      <c r="E67" s="464" t="s">
        <v>19</v>
      </c>
      <c r="F67" s="464"/>
      <c r="G67" s="464"/>
      <c r="H67" s="464"/>
    </row>
    <row r="68" spans="4:8" ht="22.5" customHeight="1">
      <c r="H68" s="11"/>
    </row>
    <row r="69" spans="4:8" ht="22.5" customHeight="1">
      <c r="H69" s="11"/>
    </row>
    <row r="70" spans="4:8" ht="22.5" customHeight="1">
      <c r="H70" s="11"/>
    </row>
    <row r="71" spans="4:8" ht="22.5" customHeight="1">
      <c r="H71" s="11"/>
    </row>
    <row r="72" spans="4:8" ht="22.5" customHeight="1">
      <c r="H72" s="11"/>
    </row>
    <row r="73" spans="4:8" ht="22.5" customHeight="1">
      <c r="H73" s="11"/>
    </row>
    <row r="74" spans="4:8" ht="22.5" customHeight="1">
      <c r="H74" s="11"/>
    </row>
    <row r="75" spans="4:8" ht="22.5" customHeight="1">
      <c r="H75" s="11"/>
    </row>
    <row r="76" spans="4:8" ht="22.5" customHeight="1">
      <c r="H76" s="11"/>
    </row>
    <row r="77" spans="4:8" ht="22.5" customHeight="1">
      <c r="H77" s="11"/>
    </row>
    <row r="78" spans="4:8" ht="22.5" customHeight="1">
      <c r="H78" s="11"/>
    </row>
    <row r="79" spans="4:8" ht="22.5" customHeight="1">
      <c r="H79" s="11"/>
    </row>
    <row r="80" spans="4:8" ht="22.5" customHeight="1">
      <c r="H80" s="11"/>
    </row>
    <row r="81" spans="8:8" ht="22.5" customHeight="1">
      <c r="H81" s="11"/>
    </row>
  </sheetData>
  <autoFilter ref="A3:M72"/>
  <mergeCells count="5">
    <mergeCell ref="A1:H1"/>
    <mergeCell ref="A2:H2"/>
    <mergeCell ref="H44:H45"/>
    <mergeCell ref="E64:H64"/>
    <mergeCell ref="E67:H67"/>
  </mergeCells>
  <printOptions horizontalCentered="1"/>
  <pageMargins left="0.2" right="0" top="0.5" bottom="0.2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7" zoomScale="90" zoomScaleNormal="90" workbookViewId="0">
      <selection activeCell="B37" sqref="B1:B1048576"/>
    </sheetView>
  </sheetViews>
  <sheetFormatPr defaultRowHeight="22.5" customHeight="1"/>
  <cols>
    <col min="1" max="1" width="4.28515625" style="1" customWidth="1"/>
    <col min="2" max="2" width="25.5703125" style="1" customWidth="1"/>
    <col min="3" max="3" width="13.5703125" style="1" bestFit="1" customWidth="1"/>
    <col min="4" max="4" width="18.85546875" style="1" hidden="1" customWidth="1"/>
    <col min="5" max="5" width="10.42578125" style="1" hidden="1" customWidth="1"/>
    <col min="6" max="6" width="19.85546875" style="2" customWidth="1"/>
    <col min="7" max="7" width="18" style="1" customWidth="1"/>
    <col min="8" max="8" width="38.5703125" style="1" customWidth="1"/>
    <col min="9" max="9" width="7.42578125" style="1" customWidth="1"/>
    <col min="10" max="10" width="10.140625" style="1" customWidth="1"/>
    <col min="11" max="11" width="23" style="154" customWidth="1"/>
    <col min="12" max="12" width="17.5703125" style="155" customWidth="1"/>
    <col min="13" max="13" width="26.28515625" style="155" customWidth="1"/>
    <col min="14" max="14" width="9.140625" style="1" customWidth="1"/>
    <col min="15" max="16384" width="9.140625" style="1"/>
  </cols>
  <sheetData>
    <row r="1" spans="1:13" ht="22.5" customHeight="1">
      <c r="A1" s="460" t="s">
        <v>14</v>
      </c>
      <c r="B1" s="460"/>
      <c r="C1" s="460"/>
      <c r="D1" s="460"/>
      <c r="E1" s="460"/>
      <c r="F1" s="460"/>
      <c r="G1" s="460"/>
      <c r="H1" s="460"/>
      <c r="I1" s="193"/>
    </row>
    <row r="2" spans="1:13" ht="22.5" customHeight="1">
      <c r="A2" s="461" t="s">
        <v>171</v>
      </c>
      <c r="B2" s="461"/>
      <c r="C2" s="461"/>
      <c r="D2" s="461"/>
      <c r="E2" s="461"/>
      <c r="F2" s="461"/>
      <c r="G2" s="461"/>
      <c r="H2" s="461"/>
      <c r="I2" s="196"/>
    </row>
    <row r="3" spans="1:13" s="26" customFormat="1" ht="33" customHeight="1">
      <c r="A3" s="23" t="s">
        <v>20</v>
      </c>
      <c r="B3" s="23" t="s">
        <v>13</v>
      </c>
      <c r="C3" s="61" t="s">
        <v>90</v>
      </c>
      <c r="D3" s="156" t="s">
        <v>117</v>
      </c>
      <c r="E3" s="156" t="s">
        <v>119</v>
      </c>
      <c r="F3" s="52" t="s">
        <v>118</v>
      </c>
      <c r="G3" s="25" t="s">
        <v>91</v>
      </c>
      <c r="H3" s="25" t="s">
        <v>92</v>
      </c>
      <c r="I3" s="218"/>
      <c r="K3" s="154" t="s">
        <v>47</v>
      </c>
      <c r="L3" s="155" t="s">
        <v>48</v>
      </c>
      <c r="M3" s="155" t="s">
        <v>49</v>
      </c>
    </row>
    <row r="4" spans="1:13" ht="24" customHeight="1">
      <c r="A4" s="13">
        <v>1</v>
      </c>
      <c r="B4" s="9" t="s">
        <v>11</v>
      </c>
      <c r="C4" s="151"/>
      <c r="D4" s="152"/>
      <c r="E4" s="153"/>
      <c r="F4" s="202">
        <v>45178000</v>
      </c>
      <c r="G4" s="14" t="s">
        <v>24</v>
      </c>
      <c r="H4" s="157"/>
      <c r="I4" s="219"/>
      <c r="K4" s="154" t="s">
        <v>50</v>
      </c>
      <c r="L4" s="155" t="s">
        <v>51</v>
      </c>
      <c r="M4" s="155" t="s">
        <v>52</v>
      </c>
    </row>
    <row r="5" spans="1:13" ht="24" customHeight="1">
      <c r="A5" s="13">
        <v>2</v>
      </c>
      <c r="B5" s="9" t="s">
        <v>8</v>
      </c>
      <c r="C5" s="151"/>
      <c r="D5" s="152"/>
      <c r="E5" s="153"/>
      <c r="F5" s="202">
        <v>42960000</v>
      </c>
      <c r="G5" s="14" t="s">
        <v>29</v>
      </c>
      <c r="H5" s="157"/>
      <c r="I5" s="219"/>
      <c r="K5" s="154" t="s">
        <v>84</v>
      </c>
      <c r="L5" s="155" t="s">
        <v>56</v>
      </c>
      <c r="M5" s="155" t="s">
        <v>8</v>
      </c>
    </row>
    <row r="6" spans="1:13" ht="24" customHeight="1">
      <c r="A6" s="13">
        <v>3</v>
      </c>
      <c r="B6" s="9" t="s">
        <v>7</v>
      </c>
      <c r="C6" s="151" t="s">
        <v>102</v>
      </c>
      <c r="D6" s="152"/>
      <c r="E6" s="153"/>
      <c r="F6" s="202">
        <v>20913000</v>
      </c>
      <c r="G6" s="14" t="s">
        <v>29</v>
      </c>
      <c r="K6" s="154" t="s">
        <v>89</v>
      </c>
      <c r="L6" s="155" t="s">
        <v>51</v>
      </c>
      <c r="M6" s="155" t="s">
        <v>7</v>
      </c>
    </row>
    <row r="7" spans="1:13" ht="24" customHeight="1">
      <c r="A7" s="13">
        <v>4</v>
      </c>
      <c r="B7" s="9" t="s">
        <v>10</v>
      </c>
      <c r="C7" s="151" t="s">
        <v>93</v>
      </c>
      <c r="D7" s="152"/>
      <c r="E7" s="153"/>
      <c r="F7" s="202">
        <v>28753000</v>
      </c>
      <c r="G7" s="14" t="s">
        <v>24</v>
      </c>
      <c r="K7" s="154" t="s">
        <v>188</v>
      </c>
      <c r="L7" s="155" t="s">
        <v>56</v>
      </c>
      <c r="M7" s="155" t="s">
        <v>10</v>
      </c>
    </row>
    <row r="8" spans="1:13" ht="24" customHeight="1">
      <c r="A8" s="13">
        <v>5</v>
      </c>
      <c r="B8" s="9" t="s">
        <v>161</v>
      </c>
      <c r="C8" s="151" t="s">
        <v>93</v>
      </c>
      <c r="D8" s="152"/>
      <c r="E8" s="153"/>
      <c r="F8" s="202">
        <v>12000000</v>
      </c>
      <c r="G8" s="14" t="s">
        <v>29</v>
      </c>
      <c r="K8" s="154" t="s">
        <v>80</v>
      </c>
      <c r="L8" s="155" t="s">
        <v>51</v>
      </c>
      <c r="M8" s="155" t="s">
        <v>4</v>
      </c>
    </row>
    <row r="9" spans="1:13" ht="24" customHeight="1">
      <c r="A9" s="13">
        <v>7</v>
      </c>
      <c r="B9" s="9" t="s">
        <v>33</v>
      </c>
      <c r="C9" s="151" t="s">
        <v>93</v>
      </c>
      <c r="D9" s="152"/>
      <c r="E9" s="153"/>
      <c r="F9" s="202">
        <v>10800000</v>
      </c>
      <c r="G9" s="14" t="s">
        <v>24</v>
      </c>
      <c r="K9" s="154" t="s">
        <v>65</v>
      </c>
      <c r="L9" s="155" t="s">
        <v>64</v>
      </c>
      <c r="M9" s="155" t="s">
        <v>33</v>
      </c>
    </row>
    <row r="10" spans="1:13" ht="24" customHeight="1">
      <c r="A10" s="13">
        <v>8</v>
      </c>
      <c r="B10" s="9" t="s">
        <v>134</v>
      </c>
      <c r="C10" s="151" t="s">
        <v>93</v>
      </c>
      <c r="D10" s="152"/>
      <c r="E10" s="153"/>
      <c r="F10" s="150">
        <v>8000000</v>
      </c>
      <c r="G10" s="14" t="s">
        <v>24</v>
      </c>
      <c r="J10" s="1" t="s">
        <v>46</v>
      </c>
    </row>
    <row r="11" spans="1:13" ht="24" customHeight="1">
      <c r="A11" s="13">
        <v>9</v>
      </c>
      <c r="B11" s="9" t="s">
        <v>28</v>
      </c>
      <c r="C11" s="151" t="s">
        <v>93</v>
      </c>
      <c r="D11" s="152"/>
      <c r="E11" s="153"/>
      <c r="F11" s="202">
        <v>14000000</v>
      </c>
      <c r="G11" s="14" t="s">
        <v>30</v>
      </c>
      <c r="K11" s="154" t="s">
        <v>70</v>
      </c>
      <c r="L11" s="155" t="s">
        <v>51</v>
      </c>
      <c r="M11" s="155" t="s">
        <v>28</v>
      </c>
    </row>
    <row r="12" spans="1:13" ht="24" customHeight="1">
      <c r="A12" s="13">
        <v>10</v>
      </c>
      <c r="B12" s="9" t="s">
        <v>42</v>
      </c>
      <c r="C12" s="151" t="s">
        <v>93</v>
      </c>
      <c r="D12" s="152"/>
      <c r="E12" s="153"/>
      <c r="F12" s="202">
        <v>10000000</v>
      </c>
      <c r="G12" s="14" t="s">
        <v>24</v>
      </c>
      <c r="K12" s="154" t="s">
        <v>123</v>
      </c>
      <c r="L12" s="155" t="s">
        <v>64</v>
      </c>
      <c r="M12" s="155" t="s">
        <v>42</v>
      </c>
    </row>
    <row r="13" spans="1:13" ht="24" customHeight="1">
      <c r="A13" s="13">
        <v>12</v>
      </c>
      <c r="B13" s="9" t="s">
        <v>125</v>
      </c>
      <c r="C13" s="151" t="s">
        <v>93</v>
      </c>
      <c r="D13" s="152"/>
      <c r="E13" s="153"/>
      <c r="F13" s="202">
        <v>6000000</v>
      </c>
      <c r="G13" s="14" t="s">
        <v>24</v>
      </c>
      <c r="H13" s="1" t="s">
        <v>239</v>
      </c>
      <c r="K13" s="154" t="s">
        <v>141</v>
      </c>
      <c r="L13" s="155" t="s">
        <v>142</v>
      </c>
      <c r="M13" s="155" t="s">
        <v>125</v>
      </c>
    </row>
    <row r="14" spans="1:13" ht="24" customHeight="1">
      <c r="A14" s="13">
        <v>13</v>
      </c>
      <c r="B14" s="9" t="s">
        <v>31</v>
      </c>
      <c r="C14" s="151" t="s">
        <v>94</v>
      </c>
      <c r="D14" s="152"/>
      <c r="E14" s="153"/>
      <c r="F14" s="202">
        <v>29027000</v>
      </c>
      <c r="G14" s="14" t="s">
        <v>24</v>
      </c>
      <c r="K14" s="154" t="s">
        <v>88</v>
      </c>
      <c r="L14" s="155" t="s">
        <v>60</v>
      </c>
      <c r="M14" s="155" t="s">
        <v>31</v>
      </c>
    </row>
    <row r="15" spans="1:13" ht="24" customHeight="1">
      <c r="A15" s="13">
        <v>14</v>
      </c>
      <c r="B15" s="9" t="s">
        <v>3</v>
      </c>
      <c r="C15" s="151" t="s">
        <v>94</v>
      </c>
      <c r="D15" s="152"/>
      <c r="E15" s="153"/>
      <c r="F15" s="202">
        <v>14000000</v>
      </c>
      <c r="G15" s="14" t="s">
        <v>24</v>
      </c>
      <c r="H15" s="1" t="s">
        <v>237</v>
      </c>
      <c r="K15" s="154" t="s">
        <v>189</v>
      </c>
      <c r="L15" s="155" t="s">
        <v>63</v>
      </c>
      <c r="M15" s="155" t="s">
        <v>190</v>
      </c>
    </row>
    <row r="16" spans="1:13" ht="24" customHeight="1">
      <c r="A16" s="13">
        <v>16</v>
      </c>
      <c r="B16" s="9" t="s">
        <v>37</v>
      </c>
      <c r="C16" s="151" t="s">
        <v>94</v>
      </c>
      <c r="D16" s="152"/>
      <c r="E16" s="153"/>
      <c r="F16" s="202">
        <v>8000000</v>
      </c>
      <c r="G16" s="14" t="s">
        <v>30</v>
      </c>
      <c r="K16" s="154" t="s">
        <v>62</v>
      </c>
      <c r="L16" s="155" t="s">
        <v>51</v>
      </c>
      <c r="M16" s="155" t="s">
        <v>37</v>
      </c>
    </row>
    <row r="17" spans="1:13" ht="24" customHeight="1">
      <c r="A17" s="13">
        <v>17</v>
      </c>
      <c r="B17" s="9" t="s">
        <v>38</v>
      </c>
      <c r="C17" s="151" t="s">
        <v>94</v>
      </c>
      <c r="D17" s="152"/>
      <c r="E17" s="153"/>
      <c r="F17" s="202">
        <v>8000000</v>
      </c>
      <c r="G17" s="14" t="s">
        <v>30</v>
      </c>
      <c r="K17" s="154" t="s">
        <v>61</v>
      </c>
      <c r="L17" s="155" t="s">
        <v>54</v>
      </c>
      <c r="M17" s="155" t="s">
        <v>38</v>
      </c>
    </row>
    <row r="18" spans="1:13" ht="24" customHeight="1">
      <c r="A18" s="13">
        <v>18</v>
      </c>
      <c r="B18" s="9" t="s">
        <v>105</v>
      </c>
      <c r="C18" s="151" t="s">
        <v>94</v>
      </c>
      <c r="D18" s="152"/>
      <c r="E18" s="153"/>
      <c r="F18" s="202">
        <v>10000000</v>
      </c>
      <c r="G18" s="14" t="s">
        <v>30</v>
      </c>
      <c r="H18" s="1" t="s">
        <v>238</v>
      </c>
      <c r="K18" s="154" t="s">
        <v>67</v>
      </c>
      <c r="L18" s="155" t="s">
        <v>64</v>
      </c>
      <c r="M18" s="155" t="s">
        <v>1</v>
      </c>
    </row>
    <row r="19" spans="1:13" ht="24" customHeight="1">
      <c r="A19" s="13">
        <v>19</v>
      </c>
      <c r="B19" s="9" t="s">
        <v>40</v>
      </c>
      <c r="C19" s="151" t="s">
        <v>94</v>
      </c>
      <c r="D19" s="152"/>
      <c r="E19" s="153"/>
      <c r="F19" s="202">
        <v>8000000</v>
      </c>
      <c r="G19" s="14" t="s">
        <v>30</v>
      </c>
      <c r="K19" s="154" t="s">
        <v>145</v>
      </c>
      <c r="L19" s="155" t="s">
        <v>57</v>
      </c>
      <c r="M19" s="155" t="s">
        <v>40</v>
      </c>
    </row>
    <row r="20" spans="1:13" ht="25.5" customHeight="1">
      <c r="A20" s="13">
        <v>20</v>
      </c>
      <c r="B20" s="9" t="s">
        <v>41</v>
      </c>
      <c r="C20" s="151" t="s">
        <v>94</v>
      </c>
      <c r="D20" s="152"/>
      <c r="E20" s="153"/>
      <c r="F20" s="202">
        <v>10000000</v>
      </c>
      <c r="G20" s="14" t="s">
        <v>30</v>
      </c>
      <c r="K20" s="154" t="s">
        <v>58</v>
      </c>
      <c r="L20" s="155" t="s">
        <v>56</v>
      </c>
      <c r="M20" s="155" t="s">
        <v>41</v>
      </c>
    </row>
    <row r="21" spans="1:13" ht="22.5" customHeight="1">
      <c r="A21" s="13">
        <v>22</v>
      </c>
      <c r="B21" s="9" t="s">
        <v>127</v>
      </c>
      <c r="C21" s="151" t="s">
        <v>94</v>
      </c>
      <c r="D21" s="152"/>
      <c r="E21" s="153"/>
      <c r="F21" s="202">
        <v>8000000</v>
      </c>
      <c r="G21" s="14" t="s">
        <v>30</v>
      </c>
      <c r="K21" s="154" t="s">
        <v>131</v>
      </c>
      <c r="L21" s="155" t="s">
        <v>56</v>
      </c>
      <c r="M21" s="155" t="s">
        <v>127</v>
      </c>
    </row>
    <row r="22" spans="1:13" ht="22.5" customHeight="1">
      <c r="A22" s="13">
        <v>24</v>
      </c>
      <c r="B22" s="9" t="s">
        <v>9</v>
      </c>
      <c r="C22" s="151" t="s">
        <v>95</v>
      </c>
      <c r="D22" s="152"/>
      <c r="E22" s="153"/>
      <c r="F22" s="202">
        <v>35126000</v>
      </c>
      <c r="G22" s="14" t="s">
        <v>30</v>
      </c>
      <c r="K22" s="154" t="s">
        <v>53</v>
      </c>
      <c r="L22" s="155" t="s">
        <v>51</v>
      </c>
      <c r="M22" s="155" t="s">
        <v>9</v>
      </c>
    </row>
    <row r="23" spans="1:13" ht="22.5" customHeight="1">
      <c r="A23" s="13">
        <v>25</v>
      </c>
      <c r="B23" s="9" t="s">
        <v>112</v>
      </c>
      <c r="C23" s="151" t="s">
        <v>95</v>
      </c>
      <c r="D23" s="152"/>
      <c r="E23" s="153"/>
      <c r="F23" s="202">
        <v>19000000</v>
      </c>
      <c r="G23" s="14" t="s">
        <v>30</v>
      </c>
      <c r="K23" s="154" t="s">
        <v>77</v>
      </c>
      <c r="L23" s="155" t="s">
        <v>56</v>
      </c>
      <c r="M23" s="155" t="s">
        <v>16</v>
      </c>
    </row>
    <row r="24" spans="1:13" ht="22.5" customHeight="1">
      <c r="A24" s="13">
        <v>26</v>
      </c>
      <c r="B24" s="9" t="s">
        <v>26</v>
      </c>
      <c r="C24" s="151" t="s">
        <v>95</v>
      </c>
      <c r="D24" s="152"/>
      <c r="E24" s="153"/>
      <c r="F24" s="202">
        <v>19000000</v>
      </c>
      <c r="G24" s="14" t="s">
        <v>30</v>
      </c>
      <c r="K24" s="154" t="s">
        <v>72</v>
      </c>
      <c r="L24" s="155" t="s">
        <v>54</v>
      </c>
      <c r="M24" s="155" t="s">
        <v>26</v>
      </c>
    </row>
    <row r="25" spans="1:13" ht="22.5" customHeight="1">
      <c r="A25" s="13">
        <v>27</v>
      </c>
      <c r="B25" s="9" t="s">
        <v>32</v>
      </c>
      <c r="C25" s="151" t="s">
        <v>95</v>
      </c>
      <c r="D25" s="152"/>
      <c r="E25" s="153"/>
      <c r="F25" s="202">
        <v>12000000</v>
      </c>
      <c r="G25" s="14" t="s">
        <v>30</v>
      </c>
      <c r="K25" s="154" t="s">
        <v>68</v>
      </c>
      <c r="L25" s="155" t="s">
        <v>56</v>
      </c>
      <c r="M25" s="155" t="s">
        <v>32</v>
      </c>
    </row>
    <row r="26" spans="1:13" ht="22.5" customHeight="1">
      <c r="A26" s="13">
        <v>28</v>
      </c>
      <c r="B26" s="9" t="s">
        <v>39</v>
      </c>
      <c r="C26" s="151" t="s">
        <v>95</v>
      </c>
      <c r="D26" s="152"/>
      <c r="E26" s="153"/>
      <c r="F26" s="202">
        <v>12000000</v>
      </c>
      <c r="G26" s="14" t="s">
        <v>24</v>
      </c>
      <c r="K26" s="154" t="s">
        <v>59</v>
      </c>
      <c r="L26" s="155" t="s">
        <v>60</v>
      </c>
      <c r="M26" s="155" t="s">
        <v>39</v>
      </c>
    </row>
    <row r="27" spans="1:13" ht="22.5" customHeight="1">
      <c r="A27" s="13">
        <v>29</v>
      </c>
      <c r="B27" s="9" t="s">
        <v>44</v>
      </c>
      <c r="C27" s="151" t="s">
        <v>95</v>
      </c>
      <c r="D27" s="152"/>
      <c r="E27" s="153"/>
      <c r="F27" s="202">
        <v>12000000</v>
      </c>
      <c r="G27" s="14" t="s">
        <v>30</v>
      </c>
      <c r="H27" s="14"/>
      <c r="I27" s="220"/>
      <c r="K27" s="154" t="s">
        <v>55</v>
      </c>
      <c r="L27" s="155" t="s">
        <v>56</v>
      </c>
      <c r="M27" s="155" t="s">
        <v>44</v>
      </c>
    </row>
    <row r="28" spans="1:13" ht="27" customHeight="1">
      <c r="A28" s="13">
        <v>30</v>
      </c>
      <c r="B28" s="9" t="s">
        <v>103</v>
      </c>
      <c r="C28" s="158" t="s">
        <v>95</v>
      </c>
      <c r="D28" s="159"/>
      <c r="E28" s="153"/>
      <c r="F28" s="202">
        <f>7000000</f>
        <v>7000000</v>
      </c>
      <c r="G28" s="14" t="s">
        <v>30</v>
      </c>
      <c r="H28" s="195" t="s">
        <v>238</v>
      </c>
      <c r="I28" s="221"/>
      <c r="K28" s="154" t="s">
        <v>104</v>
      </c>
      <c r="L28" s="155" t="s">
        <v>74</v>
      </c>
      <c r="M28" s="155" t="s">
        <v>144</v>
      </c>
    </row>
    <row r="29" spans="1:13" ht="27" customHeight="1">
      <c r="A29" s="13">
        <v>31</v>
      </c>
      <c r="B29" s="9" t="s">
        <v>128</v>
      </c>
      <c r="C29" s="158" t="s">
        <v>95</v>
      </c>
      <c r="D29" s="159"/>
      <c r="E29" s="153"/>
      <c r="F29" s="202">
        <v>9000000</v>
      </c>
      <c r="G29" s="14" t="s">
        <v>24</v>
      </c>
      <c r="H29" s="195" t="s">
        <v>210</v>
      </c>
      <c r="I29" s="221"/>
      <c r="K29" s="154" t="s">
        <v>139</v>
      </c>
      <c r="L29" s="155" t="s">
        <v>138</v>
      </c>
      <c r="M29" s="155" t="s">
        <v>140</v>
      </c>
    </row>
    <row r="30" spans="1:13" ht="32.25" customHeight="1">
      <c r="A30" s="13">
        <v>32</v>
      </c>
      <c r="B30" s="9" t="s">
        <v>121</v>
      </c>
      <c r="C30" s="151" t="s">
        <v>96</v>
      </c>
      <c r="D30" s="152"/>
      <c r="E30" s="153"/>
      <c r="F30" s="202">
        <f>26678000+500000</f>
        <v>27178000</v>
      </c>
      <c r="G30" s="14" t="s">
        <v>30</v>
      </c>
      <c r="H30" s="157" t="s">
        <v>169</v>
      </c>
      <c r="I30" s="219"/>
      <c r="K30" s="154" t="s">
        <v>86</v>
      </c>
      <c r="L30" s="155" t="s">
        <v>60</v>
      </c>
      <c r="M30" s="155" t="s">
        <v>85</v>
      </c>
    </row>
    <row r="31" spans="1:13" ht="22.5" customHeight="1">
      <c r="A31" s="13">
        <v>33</v>
      </c>
      <c r="B31" s="9" t="s">
        <v>120</v>
      </c>
      <c r="C31" s="151" t="s">
        <v>96</v>
      </c>
      <c r="D31" s="152"/>
      <c r="E31" s="153"/>
      <c r="F31" s="202">
        <f>16000000+8000000</f>
        <v>24000000</v>
      </c>
      <c r="G31" s="14" t="s">
        <v>30</v>
      </c>
      <c r="H31" s="14"/>
      <c r="I31" s="220"/>
      <c r="K31" s="154" t="s">
        <v>81</v>
      </c>
      <c r="L31" s="155" t="s">
        <v>60</v>
      </c>
      <c r="M31" s="155" t="s">
        <v>5</v>
      </c>
    </row>
    <row r="32" spans="1:13" ht="22.5" customHeight="1">
      <c r="A32" s="13">
        <v>34</v>
      </c>
      <c r="B32" s="9" t="s">
        <v>43</v>
      </c>
      <c r="C32" s="151" t="s">
        <v>96</v>
      </c>
      <c r="D32" s="152"/>
      <c r="E32" s="153"/>
      <c r="F32" s="202">
        <v>12000000</v>
      </c>
      <c r="G32" s="14" t="s">
        <v>30</v>
      </c>
      <c r="H32" s="14"/>
      <c r="I32" s="220"/>
      <c r="K32" s="154" t="s">
        <v>162</v>
      </c>
      <c r="L32" s="155" t="s">
        <v>63</v>
      </c>
      <c r="M32" s="155" t="s">
        <v>43</v>
      </c>
    </row>
    <row r="33" spans="1:13" ht="27" customHeight="1">
      <c r="A33" s="13">
        <v>35</v>
      </c>
      <c r="B33" s="9" t="s">
        <v>129</v>
      </c>
      <c r="C33" s="158" t="s">
        <v>96</v>
      </c>
      <c r="D33" s="159"/>
      <c r="E33" s="153"/>
      <c r="F33" s="202">
        <v>8000000</v>
      </c>
      <c r="G33" s="14" t="s">
        <v>30</v>
      </c>
      <c r="H33" s="195" t="s">
        <v>185</v>
      </c>
      <c r="I33" s="221"/>
      <c r="K33" s="154" t="s">
        <v>165</v>
      </c>
      <c r="L33" s="155" t="s">
        <v>56</v>
      </c>
      <c r="M33" s="155" t="s">
        <v>129</v>
      </c>
    </row>
    <row r="34" spans="1:13" ht="27" customHeight="1">
      <c r="A34" s="13">
        <v>36</v>
      </c>
      <c r="B34" s="9" t="s">
        <v>148</v>
      </c>
      <c r="C34" s="158" t="s">
        <v>96</v>
      </c>
      <c r="D34" s="159"/>
      <c r="E34" s="153"/>
      <c r="F34" s="202">
        <v>8000000</v>
      </c>
      <c r="G34" s="14" t="s">
        <v>30</v>
      </c>
      <c r="H34" s="195" t="s">
        <v>185</v>
      </c>
      <c r="I34" s="221"/>
      <c r="K34" s="154" t="s">
        <v>158</v>
      </c>
      <c r="L34" s="155" t="s">
        <v>57</v>
      </c>
      <c r="M34" s="155" t="s">
        <v>148</v>
      </c>
    </row>
    <row r="35" spans="1:13" ht="29.25" customHeight="1">
      <c r="A35" s="13">
        <v>39</v>
      </c>
      <c r="B35" s="9" t="s">
        <v>36</v>
      </c>
      <c r="C35" s="151" t="s">
        <v>98</v>
      </c>
      <c r="D35" s="152"/>
      <c r="E35" s="153"/>
      <c r="F35" s="202">
        <v>26850000</v>
      </c>
      <c r="G35" s="14" t="s">
        <v>30</v>
      </c>
      <c r="H35" s="14"/>
      <c r="I35" s="220"/>
      <c r="K35" s="154" t="s">
        <v>66</v>
      </c>
      <c r="L35" s="155" t="s">
        <v>51</v>
      </c>
      <c r="M35" s="155" t="s">
        <v>36</v>
      </c>
    </row>
    <row r="36" spans="1:13" s="118" customFormat="1" ht="41.25" customHeight="1">
      <c r="A36" s="205">
        <v>40</v>
      </c>
      <c r="B36" s="113" t="s">
        <v>150</v>
      </c>
      <c r="C36" s="206" t="s">
        <v>98</v>
      </c>
      <c r="D36" s="207"/>
      <c r="E36" s="208"/>
      <c r="F36" s="209">
        <v>7000000</v>
      </c>
      <c r="G36" s="117" t="s">
        <v>30</v>
      </c>
      <c r="H36" s="210" t="s">
        <v>164</v>
      </c>
      <c r="I36" s="222">
        <v>1</v>
      </c>
      <c r="J36" s="1"/>
      <c r="K36" s="211" t="s">
        <v>159</v>
      </c>
      <c r="L36" s="212" t="s">
        <v>160</v>
      </c>
      <c r="M36" s="212" t="s">
        <v>150</v>
      </c>
    </row>
    <row r="37" spans="1:13" ht="41.25" customHeight="1">
      <c r="A37" s="13">
        <v>41</v>
      </c>
      <c r="B37" s="9" t="s">
        <v>166</v>
      </c>
      <c r="C37" s="158" t="s">
        <v>98</v>
      </c>
      <c r="D37" s="159"/>
      <c r="E37" s="153"/>
      <c r="F37" s="202">
        <v>9000000</v>
      </c>
      <c r="G37" s="14" t="s">
        <v>30</v>
      </c>
      <c r="H37" s="195" t="s">
        <v>184</v>
      </c>
      <c r="I37" s="221"/>
      <c r="J37" s="118"/>
      <c r="K37" s="154" t="s">
        <v>172</v>
      </c>
      <c r="L37" s="155" t="s">
        <v>63</v>
      </c>
      <c r="M37" s="155" t="s">
        <v>166</v>
      </c>
    </row>
    <row r="38" spans="1:13" ht="22.5" customHeight="1">
      <c r="A38" s="13">
        <v>42</v>
      </c>
      <c r="B38" s="9" t="s">
        <v>25</v>
      </c>
      <c r="C38" s="151" t="s">
        <v>99</v>
      </c>
      <c r="D38" s="152"/>
      <c r="E38" s="153"/>
      <c r="F38" s="202">
        <v>12000000</v>
      </c>
      <c r="G38" s="14" t="s">
        <v>30</v>
      </c>
      <c r="H38" s="14"/>
      <c r="I38" s="220"/>
      <c r="K38" s="154" t="s">
        <v>79</v>
      </c>
      <c r="L38" s="155" t="s">
        <v>63</v>
      </c>
      <c r="M38" s="155" t="s">
        <v>78</v>
      </c>
    </row>
    <row r="39" spans="1:13" ht="22.5" customHeight="1">
      <c r="A39" s="13">
        <v>43</v>
      </c>
      <c r="B39" s="9" t="s">
        <v>6</v>
      </c>
      <c r="C39" s="151" t="s">
        <v>100</v>
      </c>
      <c r="D39" s="152"/>
      <c r="E39" s="153"/>
      <c r="F39" s="202">
        <v>15000000</v>
      </c>
      <c r="G39" s="14" t="s">
        <v>24</v>
      </c>
      <c r="H39" s="14"/>
      <c r="I39" s="220"/>
      <c r="K39" s="154" t="s">
        <v>82</v>
      </c>
      <c r="L39" s="155" t="s">
        <v>51</v>
      </c>
      <c r="M39" s="155" t="s">
        <v>6</v>
      </c>
    </row>
    <row r="40" spans="1:13" ht="22.5" customHeight="1">
      <c r="A40" s="13">
        <v>44</v>
      </c>
      <c r="B40" s="9" t="s">
        <v>45</v>
      </c>
      <c r="C40" s="151" t="s">
        <v>97</v>
      </c>
      <c r="D40" s="152"/>
      <c r="E40" s="153"/>
      <c r="F40" s="150">
        <v>13902000</v>
      </c>
      <c r="G40" s="14" t="s">
        <v>29</v>
      </c>
      <c r="H40" s="14"/>
      <c r="I40" s="220"/>
      <c r="M40" s="155" t="s">
        <v>45</v>
      </c>
    </row>
    <row r="41" spans="1:13" ht="22.5" customHeight="1">
      <c r="A41" s="13">
        <v>46</v>
      </c>
      <c r="B41" s="9" t="s">
        <v>35</v>
      </c>
      <c r="C41" s="151" t="s">
        <v>97</v>
      </c>
      <c r="D41" s="152"/>
      <c r="E41" s="153"/>
      <c r="F41" s="202">
        <v>8000000</v>
      </c>
      <c r="G41" s="14" t="s">
        <v>29</v>
      </c>
      <c r="H41" s="14"/>
      <c r="I41" s="220"/>
      <c r="M41" s="155" t="s">
        <v>35</v>
      </c>
    </row>
    <row r="42" spans="1:13" ht="22.5" customHeight="1">
      <c r="A42" s="13">
        <v>47</v>
      </c>
      <c r="B42" s="9" t="s">
        <v>17</v>
      </c>
      <c r="C42" s="151" t="s">
        <v>101</v>
      </c>
      <c r="D42" s="152"/>
      <c r="E42" s="153"/>
      <c r="F42" s="202">
        <v>16500000</v>
      </c>
      <c r="G42" s="14" t="s">
        <v>29</v>
      </c>
      <c r="H42" s="14"/>
      <c r="I42" s="220"/>
      <c r="K42" s="154" t="s">
        <v>83</v>
      </c>
      <c r="L42" s="155" t="s">
        <v>64</v>
      </c>
      <c r="M42" s="155" t="s">
        <v>17</v>
      </c>
    </row>
    <row r="43" spans="1:13" ht="49.5" customHeight="1">
      <c r="A43" s="13">
        <v>48</v>
      </c>
      <c r="B43" s="9" t="s">
        <v>130</v>
      </c>
      <c r="C43" s="158" t="s">
        <v>101</v>
      </c>
      <c r="D43" s="159"/>
      <c r="E43" s="153"/>
      <c r="F43" s="150"/>
      <c r="G43" s="14" t="s">
        <v>24</v>
      </c>
      <c r="H43" s="157" t="s">
        <v>151</v>
      </c>
      <c r="I43" s="219"/>
      <c r="K43" s="154" t="s">
        <v>143</v>
      </c>
      <c r="L43" s="155" t="s">
        <v>133</v>
      </c>
      <c r="M43" s="155" t="s">
        <v>130</v>
      </c>
    </row>
    <row r="44" spans="1:13" ht="31.5" customHeight="1">
      <c r="A44" s="13">
        <v>49</v>
      </c>
      <c r="B44" s="9" t="s">
        <v>146</v>
      </c>
      <c r="C44" s="158" t="s">
        <v>100</v>
      </c>
      <c r="D44" s="159"/>
      <c r="E44" s="153"/>
      <c r="F44" s="202">
        <v>9600000</v>
      </c>
      <c r="G44" s="14" t="s">
        <v>24</v>
      </c>
      <c r="H44" s="465" t="s">
        <v>154</v>
      </c>
      <c r="I44" s="221"/>
      <c r="K44" s="154" t="s">
        <v>152</v>
      </c>
      <c r="L44" s="155" t="s">
        <v>57</v>
      </c>
      <c r="M44" s="155" t="s">
        <v>146</v>
      </c>
    </row>
    <row r="45" spans="1:13" ht="31.5" customHeight="1">
      <c r="A45" s="13">
        <v>50</v>
      </c>
      <c r="B45" s="9" t="s">
        <v>147</v>
      </c>
      <c r="C45" s="158" t="s">
        <v>100</v>
      </c>
      <c r="D45" s="159"/>
      <c r="E45" s="153"/>
      <c r="F45" s="202">
        <v>9600000</v>
      </c>
      <c r="G45" s="14" t="s">
        <v>24</v>
      </c>
      <c r="H45" s="466"/>
      <c r="I45" s="221"/>
      <c r="K45" s="154" t="s">
        <v>153</v>
      </c>
      <c r="L45" s="155" t="s">
        <v>57</v>
      </c>
      <c r="M45" s="155" t="s">
        <v>147</v>
      </c>
    </row>
    <row r="46" spans="1:13" ht="36.75" customHeight="1">
      <c r="A46" s="13"/>
      <c r="B46" s="9" t="s">
        <v>178</v>
      </c>
      <c r="C46" s="158"/>
      <c r="D46" s="159"/>
      <c r="E46" s="153"/>
      <c r="F46" s="202">
        <v>6500000</v>
      </c>
      <c r="G46" s="14" t="s">
        <v>24</v>
      </c>
      <c r="H46" s="195" t="s">
        <v>181</v>
      </c>
      <c r="I46" s="221"/>
      <c r="K46" s="154" t="s">
        <v>222</v>
      </c>
      <c r="L46" s="155" t="s">
        <v>63</v>
      </c>
      <c r="M46" s="155" t="s">
        <v>223</v>
      </c>
    </row>
    <row r="47" spans="1:13" ht="36.75" customHeight="1">
      <c r="A47" s="169"/>
      <c r="B47" s="170" t="s">
        <v>179</v>
      </c>
      <c r="C47" s="171"/>
      <c r="D47" s="172"/>
      <c r="E47" s="173"/>
      <c r="F47" s="203">
        <v>6500000</v>
      </c>
      <c r="G47" s="174" t="s">
        <v>24</v>
      </c>
      <c r="H47" s="175" t="s">
        <v>182</v>
      </c>
      <c r="I47" s="221"/>
      <c r="K47" s="154" t="s">
        <v>216</v>
      </c>
      <c r="L47" s="155" t="s">
        <v>51</v>
      </c>
      <c r="M47" s="155" t="s">
        <v>179</v>
      </c>
    </row>
    <row r="48" spans="1:13" s="184" customFormat="1" ht="36.75" customHeight="1">
      <c r="A48" s="197"/>
      <c r="B48" s="198" t="s">
        <v>180</v>
      </c>
      <c r="C48" s="213"/>
      <c r="D48" s="214"/>
      <c r="E48" s="215"/>
      <c r="F48" s="201">
        <v>5525000</v>
      </c>
      <c r="G48" s="199" t="s">
        <v>24</v>
      </c>
      <c r="H48" s="216" t="s">
        <v>183</v>
      </c>
      <c r="I48" s="223"/>
      <c r="J48" s="1"/>
      <c r="K48" s="185" t="s">
        <v>233</v>
      </c>
      <c r="L48" s="186" t="s">
        <v>64</v>
      </c>
      <c r="M48" s="186" t="s">
        <v>180</v>
      </c>
    </row>
    <row r="49" spans="1:13" ht="36.75" customHeight="1">
      <c r="A49" s="164"/>
      <c r="B49" s="165" t="s">
        <v>192</v>
      </c>
      <c r="C49" s="165"/>
      <c r="D49" s="165"/>
      <c r="E49" s="165"/>
      <c r="F49" s="204">
        <v>6500000</v>
      </c>
      <c r="G49" s="167" t="s">
        <v>24</v>
      </c>
      <c r="H49" s="168" t="s">
        <v>191</v>
      </c>
      <c r="I49" s="219"/>
      <c r="J49" s="184"/>
      <c r="K49" s="154" t="s">
        <v>220</v>
      </c>
      <c r="L49" s="155" t="s">
        <v>54</v>
      </c>
      <c r="M49" s="155" t="s">
        <v>221</v>
      </c>
    </row>
    <row r="50" spans="1:13" s="184" customFormat="1" ht="36.75" customHeight="1">
      <c r="A50" s="197"/>
      <c r="B50" s="198" t="s">
        <v>193</v>
      </c>
      <c r="C50" s="198"/>
      <c r="D50" s="198"/>
      <c r="E50" s="198"/>
      <c r="F50" s="201">
        <v>6500000</v>
      </c>
      <c r="G50" s="199" t="s">
        <v>24</v>
      </c>
      <c r="H50" s="200" t="s">
        <v>212</v>
      </c>
      <c r="I50" s="224"/>
      <c r="J50" s="1"/>
      <c r="K50" s="185" t="s">
        <v>213</v>
      </c>
      <c r="L50" s="186" t="s">
        <v>54</v>
      </c>
      <c r="M50" s="186" t="s">
        <v>193</v>
      </c>
    </row>
    <row r="51" spans="1:13" s="184" customFormat="1" ht="36.75" customHeight="1">
      <c r="A51" s="197"/>
      <c r="B51" s="198" t="s">
        <v>194</v>
      </c>
      <c r="C51" s="198"/>
      <c r="D51" s="198"/>
      <c r="E51" s="198"/>
      <c r="F51" s="201">
        <v>5525000</v>
      </c>
      <c r="G51" s="199" t="s">
        <v>24</v>
      </c>
      <c r="H51" s="217" t="s">
        <v>195</v>
      </c>
      <c r="I51" s="225"/>
      <c r="K51" s="185" t="s">
        <v>232</v>
      </c>
      <c r="L51" s="186" t="s">
        <v>51</v>
      </c>
      <c r="M51" s="186" t="s">
        <v>194</v>
      </c>
    </row>
    <row r="52" spans="1:13" s="184" customFormat="1" ht="36.75" customHeight="1">
      <c r="A52" s="197"/>
      <c r="B52" s="198" t="s">
        <v>196</v>
      </c>
      <c r="C52" s="198"/>
      <c r="D52" s="198"/>
      <c r="E52" s="198"/>
      <c r="F52" s="201">
        <v>6500000</v>
      </c>
      <c r="G52" s="199" t="s">
        <v>24</v>
      </c>
      <c r="H52" s="217" t="s">
        <v>197</v>
      </c>
      <c r="I52" s="225"/>
      <c r="K52" s="185" t="s">
        <v>214</v>
      </c>
      <c r="L52" s="186" t="s">
        <v>138</v>
      </c>
      <c r="M52" s="186" t="s">
        <v>215</v>
      </c>
    </row>
    <row r="53" spans="1:13" s="184" customFormat="1" ht="36.75" customHeight="1">
      <c r="A53" s="197"/>
      <c r="B53" s="198" t="s">
        <v>199</v>
      </c>
      <c r="C53" s="198"/>
      <c r="D53" s="198"/>
      <c r="E53" s="198"/>
      <c r="F53" s="201">
        <v>6500000</v>
      </c>
      <c r="G53" s="199" t="s">
        <v>24</v>
      </c>
      <c r="H53" s="217" t="s">
        <v>198</v>
      </c>
      <c r="I53" s="225"/>
      <c r="K53" s="185" t="s">
        <v>217</v>
      </c>
      <c r="L53" s="186" t="s">
        <v>218</v>
      </c>
      <c r="M53" s="186" t="s">
        <v>219</v>
      </c>
    </row>
    <row r="54" spans="1:13" s="184" customFormat="1" ht="36.75" customHeight="1">
      <c r="A54" s="197"/>
      <c r="B54" s="198" t="s">
        <v>225</v>
      </c>
      <c r="C54" s="198"/>
      <c r="D54" s="198"/>
      <c r="E54" s="198"/>
      <c r="F54" s="201">
        <v>750000</v>
      </c>
      <c r="G54" s="199" t="s">
        <v>24</v>
      </c>
      <c r="H54" s="217"/>
      <c r="I54" s="225"/>
      <c r="K54" s="185"/>
      <c r="L54" s="186"/>
      <c r="M54" s="186"/>
    </row>
    <row r="55" spans="1:13" s="184" customFormat="1" ht="36.75" customHeight="1">
      <c r="A55" s="197"/>
      <c r="B55" s="198" t="s">
        <v>202</v>
      </c>
      <c r="C55" s="198"/>
      <c r="D55" s="198"/>
      <c r="E55" s="198"/>
      <c r="F55" s="201">
        <v>5261000</v>
      </c>
      <c r="G55" s="89" t="s">
        <v>30</v>
      </c>
      <c r="H55" s="217" t="s">
        <v>203</v>
      </c>
      <c r="I55" s="225"/>
      <c r="J55" s="184" t="s">
        <v>46</v>
      </c>
      <c r="K55" s="185" t="s">
        <v>235</v>
      </c>
      <c r="L55" s="186" t="s">
        <v>64</v>
      </c>
      <c r="M55" s="186" t="s">
        <v>236</v>
      </c>
    </row>
    <row r="56" spans="1:13" s="184" customFormat="1" ht="36.75" customHeight="1">
      <c r="A56" s="197"/>
      <c r="B56" s="198" t="s">
        <v>205</v>
      </c>
      <c r="C56" s="198"/>
      <c r="D56" s="198"/>
      <c r="E56" s="198"/>
      <c r="F56" s="201">
        <v>5261000</v>
      </c>
      <c r="G56" s="89" t="s">
        <v>30</v>
      </c>
      <c r="H56" s="217" t="s">
        <v>204</v>
      </c>
      <c r="I56" s="225"/>
      <c r="K56" s="185"/>
      <c r="L56" s="186"/>
      <c r="M56" s="186"/>
    </row>
    <row r="57" spans="1:13" s="184" customFormat="1" ht="36.75" customHeight="1">
      <c r="A57" s="197"/>
      <c r="B57" s="198" t="s">
        <v>206</v>
      </c>
      <c r="C57" s="198"/>
      <c r="D57" s="198"/>
      <c r="E57" s="198"/>
      <c r="F57" s="201">
        <v>5261000</v>
      </c>
      <c r="G57" s="89" t="s">
        <v>30</v>
      </c>
      <c r="H57" s="217" t="s">
        <v>207</v>
      </c>
      <c r="I57" s="225"/>
      <c r="J57" s="184" t="s">
        <v>46</v>
      </c>
      <c r="K57" s="185"/>
      <c r="L57" s="186"/>
      <c r="M57" s="186"/>
    </row>
    <row r="58" spans="1:13" s="184" customFormat="1" ht="48" customHeight="1">
      <c r="A58" s="197"/>
      <c r="B58" s="198" t="s">
        <v>208</v>
      </c>
      <c r="C58" s="198"/>
      <c r="D58" s="198"/>
      <c r="E58" s="198"/>
      <c r="F58" s="201">
        <v>5556000</v>
      </c>
      <c r="G58" s="89" t="s">
        <v>30</v>
      </c>
      <c r="H58" s="217" t="s">
        <v>209</v>
      </c>
      <c r="I58" s="225"/>
      <c r="J58" s="184" t="s">
        <v>46</v>
      </c>
      <c r="K58" s="185" t="s">
        <v>234</v>
      </c>
      <c r="L58" s="186" t="s">
        <v>133</v>
      </c>
      <c r="M58" s="186" t="s">
        <v>208</v>
      </c>
    </row>
    <row r="59" spans="1:13" s="184" customFormat="1" ht="36.75" customHeight="1">
      <c r="A59" s="197"/>
      <c r="B59" s="198" t="s">
        <v>226</v>
      </c>
      <c r="C59" s="198"/>
      <c r="D59" s="198"/>
      <c r="E59" s="198"/>
      <c r="F59" s="201">
        <v>2720000</v>
      </c>
      <c r="G59" s="89" t="s">
        <v>30</v>
      </c>
      <c r="H59" s="217"/>
      <c r="I59" s="225"/>
      <c r="K59" s="185"/>
      <c r="L59" s="186"/>
      <c r="M59" s="186"/>
    </row>
    <row r="60" spans="1:13" s="3" customFormat="1" ht="19.5" customHeight="1">
      <c r="A60" s="6"/>
      <c r="B60" s="4" t="s">
        <v>0</v>
      </c>
      <c r="C60" s="4"/>
      <c r="D60" s="57">
        <f>SUBTOTAL(9,D4:D49)</f>
        <v>0</v>
      </c>
      <c r="E60" s="57">
        <f>SUBTOTAL(9,E4:E49)</f>
        <v>0</v>
      </c>
      <c r="F60" s="57">
        <f>SUBTOTAL(9,F4:F59)</f>
        <v>700246000</v>
      </c>
      <c r="G60" s="5"/>
      <c r="H60" s="5"/>
      <c r="I60" s="121"/>
      <c r="J60" s="184" t="s">
        <v>46</v>
      </c>
      <c r="K60" s="154"/>
      <c r="L60" s="155"/>
      <c r="M60" s="155"/>
    </row>
    <row r="61" spans="1:13" ht="21" customHeight="1">
      <c r="B61" s="1" t="s">
        <v>46</v>
      </c>
      <c r="F61" s="160">
        <f ca="1">SUMIF($J$4:$J$61,"TM",($F$4:$F$60))</f>
        <v>724324000</v>
      </c>
      <c r="J61" s="3"/>
    </row>
    <row r="62" spans="1:13" ht="21" customHeight="1">
      <c r="B62" s="1" t="s">
        <v>211</v>
      </c>
      <c r="F62" s="162">
        <f ca="1">F60-F61</f>
        <v>-24078000</v>
      </c>
      <c r="G62" s="162"/>
    </row>
    <row r="63" spans="1:13" ht="19.5" customHeight="1">
      <c r="B63" s="12" t="s">
        <v>22</v>
      </c>
      <c r="C63" s="12"/>
      <c r="D63" s="12"/>
      <c r="E63" s="12"/>
      <c r="F63" s="58">
        <f>SUMIF($G$4:$G$60,"idocNet",($F$4:$F$60))</f>
        <v>114275000</v>
      </c>
      <c r="G63" s="11"/>
      <c r="H63" s="11"/>
      <c r="I63" s="11"/>
    </row>
    <row r="64" spans="1:13" ht="19.5" customHeight="1">
      <c r="B64" s="12" t="s">
        <v>23</v>
      </c>
      <c r="C64" s="12"/>
      <c r="D64" s="12"/>
      <c r="E64" s="12"/>
      <c r="F64" s="58">
        <f>SUMIF($G$4:$G$60,"idocST",($F$4:$F$60))</f>
        <v>328213000</v>
      </c>
      <c r="G64" s="11"/>
      <c r="H64" s="11"/>
      <c r="I64" s="11"/>
    </row>
    <row r="65" spans="2:9" ht="19.5" customHeight="1">
      <c r="B65" s="12" t="s">
        <v>24</v>
      </c>
      <c r="C65" s="12"/>
      <c r="D65" s="12"/>
      <c r="E65" s="12"/>
      <c r="F65" s="58">
        <f>SUMIF($G$4:$G$60,"Long Quang",($F$4:$F$60))</f>
        <v>257758000</v>
      </c>
      <c r="G65" s="11"/>
      <c r="H65" s="11"/>
      <c r="I65" s="11"/>
    </row>
    <row r="66" spans="2:9" ht="22.5" customHeight="1">
      <c r="E66" s="464" t="s">
        <v>18</v>
      </c>
      <c r="F66" s="464"/>
      <c r="G66" s="464"/>
      <c r="H66" s="464"/>
      <c r="I66" s="194"/>
    </row>
    <row r="67" spans="2:9" ht="22.5" customHeight="1">
      <c r="D67" s="161"/>
      <c r="E67" s="161"/>
      <c r="F67" s="7"/>
      <c r="G67" s="3"/>
      <c r="H67" s="11"/>
      <c r="I67" s="11"/>
    </row>
    <row r="68" spans="2:9" ht="22.5" customHeight="1">
      <c r="F68" s="7"/>
      <c r="G68" s="3"/>
      <c r="H68" s="11"/>
      <c r="I68" s="11"/>
    </row>
    <row r="69" spans="2:9" ht="22.5" customHeight="1">
      <c r="E69" s="464" t="s">
        <v>19</v>
      </c>
      <c r="F69" s="464"/>
      <c r="G69" s="464"/>
      <c r="H69" s="464"/>
      <c r="I69" s="194"/>
    </row>
    <row r="70" spans="2:9" ht="22.5" customHeight="1">
      <c r="H70" s="11"/>
      <c r="I70" s="11"/>
    </row>
    <row r="71" spans="2:9" ht="22.5" customHeight="1">
      <c r="H71" s="11"/>
      <c r="I71" s="11"/>
    </row>
    <row r="72" spans="2:9" ht="22.5" customHeight="1">
      <c r="H72" s="11"/>
      <c r="I72" s="11"/>
    </row>
    <row r="73" spans="2:9" ht="22.5" customHeight="1">
      <c r="H73" s="11"/>
      <c r="I73" s="11"/>
    </row>
    <row r="74" spans="2:9" ht="22.5" customHeight="1">
      <c r="H74" s="11"/>
      <c r="I74" s="11"/>
    </row>
    <row r="75" spans="2:9" ht="22.5" customHeight="1">
      <c r="H75" s="11"/>
      <c r="I75" s="11"/>
    </row>
    <row r="76" spans="2:9" ht="22.5" customHeight="1">
      <c r="H76" s="11"/>
      <c r="I76" s="11"/>
    </row>
    <row r="77" spans="2:9" ht="22.5" customHeight="1">
      <c r="H77" s="11"/>
      <c r="I77" s="11"/>
    </row>
    <row r="78" spans="2:9" ht="22.5" customHeight="1">
      <c r="H78" s="11"/>
      <c r="I78" s="11"/>
    </row>
    <row r="79" spans="2:9" ht="22.5" customHeight="1">
      <c r="H79" s="11"/>
      <c r="I79" s="11"/>
    </row>
    <row r="80" spans="2:9" ht="22.5" customHeight="1">
      <c r="H80" s="11"/>
      <c r="I80" s="11"/>
    </row>
    <row r="81" spans="8:9" ht="22.5" customHeight="1">
      <c r="H81" s="11"/>
      <c r="I81" s="11"/>
    </row>
    <row r="82" spans="8:9" ht="22.5" customHeight="1">
      <c r="H82" s="11"/>
      <c r="I82" s="11"/>
    </row>
    <row r="83" spans="8:9" ht="22.5" customHeight="1">
      <c r="H83" s="11"/>
      <c r="I83" s="11"/>
    </row>
  </sheetData>
  <autoFilter ref="A3:N74"/>
  <mergeCells count="5">
    <mergeCell ref="A1:H1"/>
    <mergeCell ref="A2:H2"/>
    <mergeCell ref="H44:H45"/>
    <mergeCell ref="E66:H66"/>
    <mergeCell ref="E69:H69"/>
  </mergeCells>
  <printOptions horizontalCentered="1"/>
  <pageMargins left="0.2" right="0" top="0.5" bottom="0.2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3" zoomScale="91" zoomScaleNormal="91" workbookViewId="0">
      <selection activeCell="O21" sqref="O21"/>
    </sheetView>
  </sheetViews>
  <sheetFormatPr defaultRowHeight="22.5" customHeight="1"/>
  <cols>
    <col min="1" max="1" width="4.28515625" style="1" customWidth="1"/>
    <col min="2" max="2" width="25.5703125" style="1" customWidth="1"/>
    <col min="3" max="3" width="13.5703125" style="1" bestFit="1" customWidth="1"/>
    <col min="4" max="4" width="18.85546875" style="1" hidden="1" customWidth="1"/>
    <col min="5" max="5" width="10.42578125" style="1" hidden="1" customWidth="1"/>
    <col min="6" max="6" width="13.7109375" style="1" customWidth="1"/>
    <col min="7" max="7" width="19.85546875" style="2" bestFit="1" customWidth="1"/>
    <col min="8" max="8" width="15.7109375" style="1" customWidth="1"/>
    <col min="9" max="16384" width="9.140625" style="1"/>
  </cols>
  <sheetData>
    <row r="1" spans="1:8" ht="22.5" customHeight="1">
      <c r="A1" s="460" t="s">
        <v>14</v>
      </c>
      <c r="B1" s="460"/>
      <c r="C1" s="460"/>
      <c r="D1" s="460"/>
      <c r="E1" s="460"/>
      <c r="F1" s="460"/>
      <c r="G1" s="460"/>
    </row>
    <row r="2" spans="1:8" ht="22.5" customHeight="1">
      <c r="A2" s="461"/>
      <c r="B2" s="461"/>
      <c r="C2" s="461"/>
      <c r="D2" s="461"/>
      <c r="E2" s="461"/>
      <c r="F2" s="461"/>
      <c r="G2" s="467"/>
    </row>
    <row r="3" spans="1:8" s="26" customFormat="1" ht="33" customHeight="1">
      <c r="A3" s="23" t="s">
        <v>20</v>
      </c>
      <c r="B3" s="23" t="s">
        <v>13</v>
      </c>
      <c r="C3" s="61" t="s">
        <v>90</v>
      </c>
      <c r="D3" s="156" t="s">
        <v>117</v>
      </c>
      <c r="E3" s="156" t="s">
        <v>119</v>
      </c>
      <c r="F3" s="156" t="s">
        <v>227</v>
      </c>
      <c r="G3" s="52" t="s">
        <v>228</v>
      </c>
      <c r="H3" s="167" t="s">
        <v>229</v>
      </c>
    </row>
    <row r="4" spans="1:8" ht="22.5" customHeight="1">
      <c r="A4" s="13">
        <v>1</v>
      </c>
      <c r="B4" s="9" t="s">
        <v>43</v>
      </c>
      <c r="C4" s="151" t="s">
        <v>96</v>
      </c>
      <c r="D4" s="152"/>
      <c r="E4" s="153"/>
      <c r="F4" s="153">
        <v>8000000</v>
      </c>
      <c r="G4" s="181">
        <v>12000000</v>
      </c>
      <c r="H4" s="192">
        <f>G4-F4</f>
        <v>4000000</v>
      </c>
    </row>
    <row r="5" spans="1:8" ht="27" customHeight="1">
      <c r="A5" s="13">
        <v>2</v>
      </c>
      <c r="B5" s="9" t="s">
        <v>129</v>
      </c>
      <c r="C5" s="158" t="s">
        <v>96</v>
      </c>
      <c r="D5" s="159"/>
      <c r="E5" s="153"/>
      <c r="F5" s="153">
        <v>7000000</v>
      </c>
      <c r="G5" s="181">
        <v>8000000</v>
      </c>
      <c r="H5" s="192">
        <f t="shared" ref="H5:H23" si="0">G5-F5</f>
        <v>1000000</v>
      </c>
    </row>
    <row r="6" spans="1:8" ht="27" customHeight="1">
      <c r="A6" s="13">
        <v>3</v>
      </c>
      <c r="B6" s="9" t="s">
        <v>148</v>
      </c>
      <c r="C6" s="158" t="s">
        <v>96</v>
      </c>
      <c r="D6" s="159"/>
      <c r="E6" s="153"/>
      <c r="F6" s="153">
        <v>7000000</v>
      </c>
      <c r="G6" s="181">
        <v>8000000</v>
      </c>
      <c r="H6" s="192">
        <f t="shared" si="0"/>
        <v>1000000</v>
      </c>
    </row>
    <row r="7" spans="1:8" ht="41.25" customHeight="1">
      <c r="A7" s="13">
        <v>4</v>
      </c>
      <c r="B7" s="9" t="s">
        <v>150</v>
      </c>
      <c r="C7" s="158" t="s">
        <v>98</v>
      </c>
      <c r="D7" s="159"/>
      <c r="E7" s="153"/>
      <c r="F7" s="153">
        <v>5950000</v>
      </c>
      <c r="G7" s="181">
        <v>7000000</v>
      </c>
      <c r="H7" s="192">
        <f t="shared" si="0"/>
        <v>1050000</v>
      </c>
    </row>
    <row r="8" spans="1:8" ht="41.25" customHeight="1">
      <c r="A8" s="13">
        <v>5</v>
      </c>
      <c r="B8" s="9" t="s">
        <v>166</v>
      </c>
      <c r="C8" s="158" t="s">
        <v>98</v>
      </c>
      <c r="D8" s="159"/>
      <c r="E8" s="153"/>
      <c r="F8" s="153">
        <v>9000000</v>
      </c>
      <c r="G8" s="181">
        <v>9000000</v>
      </c>
      <c r="H8" s="192">
        <f t="shared" si="0"/>
        <v>0</v>
      </c>
    </row>
    <row r="9" spans="1:8" ht="36.75" customHeight="1">
      <c r="A9" s="13">
        <v>6</v>
      </c>
      <c r="B9" s="9" t="s">
        <v>178</v>
      </c>
      <c r="C9" s="158" t="s">
        <v>136</v>
      </c>
      <c r="D9" s="159"/>
      <c r="E9" s="153"/>
      <c r="F9" s="153">
        <v>6500000</v>
      </c>
      <c r="G9" s="181">
        <v>6500000</v>
      </c>
      <c r="H9" s="192">
        <f t="shared" si="0"/>
        <v>0</v>
      </c>
    </row>
    <row r="10" spans="1:8" ht="36.75" customHeight="1">
      <c r="A10" s="13">
        <v>7</v>
      </c>
      <c r="B10" s="170" t="s">
        <v>179</v>
      </c>
      <c r="C10" s="158" t="s">
        <v>136</v>
      </c>
      <c r="D10" s="172"/>
      <c r="E10" s="173"/>
      <c r="F10" s="173">
        <v>6500000</v>
      </c>
      <c r="G10" s="181">
        <v>6500000</v>
      </c>
      <c r="H10" s="192">
        <f t="shared" si="0"/>
        <v>0</v>
      </c>
    </row>
    <row r="11" spans="1:8" ht="36.75" customHeight="1">
      <c r="A11" s="13">
        <v>8</v>
      </c>
      <c r="B11" s="165" t="s">
        <v>180</v>
      </c>
      <c r="C11" s="158" t="s">
        <v>98</v>
      </c>
      <c r="D11" s="177"/>
      <c r="E11" s="178"/>
      <c r="F11" s="178">
        <v>3500000</v>
      </c>
      <c r="G11" s="181">
        <v>5525000</v>
      </c>
      <c r="H11" s="192">
        <f t="shared" si="0"/>
        <v>2025000</v>
      </c>
    </row>
    <row r="12" spans="1:8" ht="36.75" customHeight="1">
      <c r="A12" s="13">
        <v>9</v>
      </c>
      <c r="B12" s="165" t="s">
        <v>192</v>
      </c>
      <c r="C12" s="158" t="s">
        <v>136</v>
      </c>
      <c r="D12" s="165"/>
      <c r="E12" s="165"/>
      <c r="F12" s="178">
        <v>4934000</v>
      </c>
      <c r="G12" s="181">
        <v>6500000</v>
      </c>
      <c r="H12" s="192">
        <f t="shared" si="0"/>
        <v>1566000</v>
      </c>
    </row>
    <row r="13" spans="1:8" ht="36.75" customHeight="1">
      <c r="A13" s="13">
        <v>10</v>
      </c>
      <c r="B13" s="165" t="s">
        <v>193</v>
      </c>
      <c r="C13" s="158" t="s">
        <v>136</v>
      </c>
      <c r="D13" s="165"/>
      <c r="E13" s="165"/>
      <c r="F13" s="190">
        <v>5517000</v>
      </c>
      <c r="G13" s="181">
        <v>6500000</v>
      </c>
      <c r="H13" s="192">
        <f t="shared" si="0"/>
        <v>983000</v>
      </c>
    </row>
    <row r="14" spans="1:8" ht="36.75" customHeight="1">
      <c r="A14" s="13">
        <v>11</v>
      </c>
      <c r="B14" s="165" t="s">
        <v>194</v>
      </c>
      <c r="C14" s="165" t="s">
        <v>230</v>
      </c>
      <c r="D14" s="165"/>
      <c r="E14" s="165"/>
      <c r="F14" s="190">
        <v>5852000</v>
      </c>
      <c r="G14" s="181">
        <v>5525000</v>
      </c>
      <c r="H14" s="192">
        <f t="shared" si="0"/>
        <v>-327000</v>
      </c>
    </row>
    <row r="15" spans="1:8" ht="36.75" customHeight="1">
      <c r="A15" s="13">
        <v>12</v>
      </c>
      <c r="B15" s="165" t="s">
        <v>196</v>
      </c>
      <c r="C15" s="165" t="s">
        <v>230</v>
      </c>
      <c r="D15" s="165"/>
      <c r="E15" s="165"/>
      <c r="F15" s="190">
        <v>2617000</v>
      </c>
      <c r="G15" s="181">
        <v>6500000</v>
      </c>
      <c r="H15" s="192">
        <f t="shared" si="0"/>
        <v>3883000</v>
      </c>
    </row>
    <row r="16" spans="1:8" ht="36.75" customHeight="1">
      <c r="A16" s="13">
        <v>13</v>
      </c>
      <c r="B16" s="165" t="s">
        <v>199</v>
      </c>
      <c r="C16" s="165" t="s">
        <v>230</v>
      </c>
      <c r="D16" s="165"/>
      <c r="E16" s="165"/>
      <c r="F16" s="190">
        <v>1400000</v>
      </c>
      <c r="G16" s="181">
        <v>6500000</v>
      </c>
      <c r="H16" s="192">
        <f t="shared" si="0"/>
        <v>5100000</v>
      </c>
    </row>
    <row r="17" spans="1:8" ht="36.75" customHeight="1">
      <c r="A17" s="13">
        <v>14</v>
      </c>
      <c r="B17" s="165" t="s">
        <v>225</v>
      </c>
      <c r="C17" s="165" t="s">
        <v>230</v>
      </c>
      <c r="D17" s="165"/>
      <c r="E17" s="165"/>
      <c r="F17" s="190">
        <v>0</v>
      </c>
      <c r="G17" s="181">
        <v>750000</v>
      </c>
      <c r="H17" s="192">
        <f t="shared" si="0"/>
        <v>750000</v>
      </c>
    </row>
    <row r="18" spans="1:8" ht="36.75" customHeight="1">
      <c r="A18" s="13">
        <v>15</v>
      </c>
      <c r="B18" s="165" t="s">
        <v>202</v>
      </c>
      <c r="C18" s="176" t="s">
        <v>231</v>
      </c>
      <c r="D18" s="165"/>
      <c r="E18" s="165"/>
      <c r="F18" s="190">
        <v>2400000</v>
      </c>
      <c r="G18" s="181">
        <v>5261000</v>
      </c>
      <c r="H18" s="192">
        <f t="shared" si="0"/>
        <v>2861000</v>
      </c>
    </row>
    <row r="19" spans="1:8" ht="36.75" customHeight="1">
      <c r="A19" s="13">
        <v>16</v>
      </c>
      <c r="B19" s="165" t="s">
        <v>205</v>
      </c>
      <c r="C19" s="176" t="s">
        <v>231</v>
      </c>
      <c r="D19" s="165"/>
      <c r="E19" s="165"/>
      <c r="F19" s="190">
        <v>2400000</v>
      </c>
      <c r="G19" s="181">
        <v>5261000</v>
      </c>
      <c r="H19" s="192">
        <f t="shared" si="0"/>
        <v>2861000</v>
      </c>
    </row>
    <row r="20" spans="1:8" ht="36.75" customHeight="1">
      <c r="A20" s="13">
        <v>17</v>
      </c>
      <c r="B20" s="165" t="s">
        <v>206</v>
      </c>
      <c r="C20" s="176" t="s">
        <v>231</v>
      </c>
      <c r="D20" s="165"/>
      <c r="E20" s="165"/>
      <c r="F20" s="190">
        <v>1900000</v>
      </c>
      <c r="G20" s="181">
        <v>5261000</v>
      </c>
      <c r="H20" s="192">
        <f t="shared" si="0"/>
        <v>3361000</v>
      </c>
    </row>
    <row r="21" spans="1:8" ht="48" customHeight="1">
      <c r="A21" s="13">
        <v>18</v>
      </c>
      <c r="B21" s="165" t="s">
        <v>208</v>
      </c>
      <c r="C21" s="176" t="s">
        <v>231</v>
      </c>
      <c r="D21" s="165"/>
      <c r="E21" s="165"/>
      <c r="F21" s="190">
        <v>2400000</v>
      </c>
      <c r="G21" s="181">
        <v>5556000</v>
      </c>
      <c r="H21" s="192">
        <f t="shared" si="0"/>
        <v>3156000</v>
      </c>
    </row>
    <row r="22" spans="1:8" ht="36.75" customHeight="1">
      <c r="A22" s="13">
        <v>19</v>
      </c>
      <c r="B22" s="165" t="s">
        <v>226</v>
      </c>
      <c r="C22" s="176" t="s">
        <v>231</v>
      </c>
      <c r="D22" s="165"/>
      <c r="E22" s="165"/>
      <c r="F22" s="190">
        <v>0</v>
      </c>
      <c r="G22" s="181">
        <v>2720000</v>
      </c>
      <c r="H22" s="192">
        <f t="shared" si="0"/>
        <v>2720000</v>
      </c>
    </row>
    <row r="23" spans="1:8" s="3" customFormat="1" ht="19.5" customHeight="1">
      <c r="A23" s="13">
        <v>20</v>
      </c>
      <c r="B23" s="4" t="s">
        <v>0</v>
      </c>
      <c r="C23" s="4"/>
      <c r="D23" s="57">
        <f>SUBTOTAL(9,D4:D12)</f>
        <v>0</v>
      </c>
      <c r="E23" s="57">
        <f>SUBTOTAL(9,E4:E12)</f>
        <v>0</v>
      </c>
      <c r="F23" s="57">
        <f>SUM(F4:F22)</f>
        <v>82870000</v>
      </c>
      <c r="G23" s="57">
        <f>SUM(G4:G22)</f>
        <v>118859000</v>
      </c>
      <c r="H23" s="192">
        <f t="shared" si="0"/>
        <v>35989000</v>
      </c>
    </row>
    <row r="24" spans="1:8" ht="22.5" customHeight="1">
      <c r="G24" s="7"/>
    </row>
    <row r="25" spans="1:8" ht="22.5" customHeight="1">
      <c r="E25" s="464"/>
      <c r="F25" s="464"/>
      <c r="G25" s="464"/>
    </row>
  </sheetData>
  <autoFilter ref="A3:G30"/>
  <mergeCells count="3">
    <mergeCell ref="A1:G1"/>
    <mergeCell ref="A2:G2"/>
    <mergeCell ref="E25:G25"/>
  </mergeCells>
  <printOptions horizontalCentered="1"/>
  <pageMargins left="0.2" right="0" top="0.5" bottom="0.2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D70"/>
  <sheetViews>
    <sheetView zoomScale="90" zoomScaleNormal="90" workbookViewId="0">
      <pane ySplit="3" topLeftCell="A49" activePane="bottomLeft" state="frozen"/>
      <selection pane="bottomLeft" activeCell="I7" sqref="I7"/>
    </sheetView>
  </sheetViews>
  <sheetFormatPr defaultRowHeight="22.5" customHeight="1"/>
  <cols>
    <col min="1" max="1" width="5.85546875" style="285" customWidth="1"/>
    <col min="2" max="2" width="22.42578125" style="285" customWidth="1"/>
    <col min="3" max="3" width="11" style="409" customWidth="1"/>
    <col min="4" max="4" width="11" style="334" customWidth="1"/>
    <col min="5" max="6" width="14.7109375" style="336" customWidth="1"/>
    <col min="7" max="7" width="13" style="336" customWidth="1"/>
    <col min="8" max="8" width="13" style="336" hidden="1" customWidth="1"/>
    <col min="9" max="9" width="13" style="336" customWidth="1"/>
    <col min="10" max="10" width="20.7109375" style="336" customWidth="1"/>
    <col min="11" max="11" width="13.85546875" style="336" customWidth="1"/>
    <col min="12" max="12" width="25.7109375" style="334" hidden="1" customWidth="1"/>
    <col min="13" max="13" width="26.5703125" style="283" hidden="1" customWidth="1"/>
    <col min="14" max="14" width="18.42578125" style="284" hidden="1" customWidth="1"/>
    <col min="15" max="15" width="27.28515625" style="284" hidden="1" customWidth="1"/>
    <col min="16" max="16" width="15.28515625" style="285" hidden="1" customWidth="1"/>
    <col min="17" max="18" width="15.28515625" style="285" customWidth="1"/>
    <col min="19" max="16384" width="9.140625" style="285"/>
  </cols>
  <sheetData>
    <row r="1" spans="1:82" ht="22.5" customHeight="1">
      <c r="A1" s="468" t="s">
        <v>14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</row>
    <row r="2" spans="1:82" ht="22.5" customHeight="1">
      <c r="A2" s="469" t="s">
        <v>344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</row>
    <row r="3" spans="1:82" s="430" customFormat="1" ht="63" customHeight="1">
      <c r="A3" s="425" t="s">
        <v>20</v>
      </c>
      <c r="B3" s="425" t="s">
        <v>13</v>
      </c>
      <c r="C3" s="426" t="s">
        <v>90</v>
      </c>
      <c r="D3" s="427" t="s">
        <v>308</v>
      </c>
      <c r="E3" s="428" t="s">
        <v>348</v>
      </c>
      <c r="F3" s="428" t="s">
        <v>352</v>
      </c>
      <c r="G3" s="428" t="s">
        <v>367</v>
      </c>
      <c r="H3" s="428" t="s">
        <v>368</v>
      </c>
      <c r="I3" s="428" t="s">
        <v>354</v>
      </c>
      <c r="J3" s="429" t="s">
        <v>353</v>
      </c>
      <c r="K3" s="428" t="s">
        <v>358</v>
      </c>
      <c r="L3" s="427" t="s">
        <v>279</v>
      </c>
      <c r="M3" s="377" t="s">
        <v>47</v>
      </c>
      <c r="N3" s="378" t="s">
        <v>48</v>
      </c>
      <c r="O3" s="378" t="s">
        <v>49</v>
      </c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295"/>
      <c r="AW3" s="295"/>
      <c r="AX3" s="295"/>
      <c r="AY3" s="295"/>
      <c r="AZ3" s="295"/>
      <c r="BA3" s="295"/>
      <c r="BB3" s="295"/>
      <c r="BC3" s="295"/>
      <c r="BD3" s="295"/>
      <c r="BE3" s="295"/>
      <c r="BF3" s="295"/>
      <c r="BG3" s="295"/>
      <c r="BH3" s="295"/>
      <c r="BI3" s="295"/>
      <c r="BJ3" s="295"/>
      <c r="BK3" s="295"/>
      <c r="BL3" s="295"/>
      <c r="BM3" s="295"/>
      <c r="BN3" s="295"/>
      <c r="BO3" s="295"/>
      <c r="BP3" s="295"/>
      <c r="BQ3" s="295"/>
      <c r="BR3" s="295"/>
      <c r="BS3" s="295"/>
      <c r="BT3" s="295"/>
      <c r="BU3" s="295"/>
      <c r="BV3" s="295"/>
      <c r="BW3" s="295"/>
      <c r="BX3" s="295"/>
      <c r="BY3" s="295"/>
      <c r="BZ3" s="295"/>
      <c r="CA3" s="295"/>
      <c r="CB3" s="295"/>
      <c r="CC3" s="295"/>
      <c r="CD3" s="295"/>
    </row>
    <row r="4" spans="1:82" s="295" customFormat="1" ht="31.5" customHeight="1">
      <c r="A4" s="421" t="s">
        <v>360</v>
      </c>
      <c r="B4" s="472" t="s">
        <v>359</v>
      </c>
      <c r="C4" s="473"/>
      <c r="D4" s="474"/>
      <c r="E4" s="288">
        <f>+SUBTOTAL(9,E5:E10)</f>
        <v>110775000</v>
      </c>
      <c r="F4" s="288">
        <f t="shared" ref="F4:K4" si="0">+SUBTOTAL(9,F5:F10)</f>
        <v>30045600</v>
      </c>
      <c r="G4" s="288">
        <f t="shared" si="0"/>
        <v>2628990</v>
      </c>
      <c r="H4" s="288">
        <f t="shared" si="0"/>
        <v>5383170</v>
      </c>
      <c r="I4" s="288">
        <f t="shared" si="0"/>
        <v>205230.09999999983</v>
      </c>
      <c r="J4" s="288">
        <f t="shared" si="0"/>
        <v>113609220.09999999</v>
      </c>
      <c r="K4" s="288">
        <f t="shared" si="0"/>
        <v>3</v>
      </c>
      <c r="L4" s="292"/>
      <c r="M4" s="293"/>
      <c r="N4" s="294"/>
      <c r="O4" s="294"/>
    </row>
    <row r="5" spans="1:82" s="346" customFormat="1" ht="24" customHeight="1">
      <c r="A5" s="342">
        <v>1</v>
      </c>
      <c r="B5" s="343" t="s">
        <v>8</v>
      </c>
      <c r="C5" s="347" t="s">
        <v>301</v>
      </c>
      <c r="D5" s="345" t="s">
        <v>29</v>
      </c>
      <c r="E5" s="301">
        <v>42960000</v>
      </c>
      <c r="F5" s="301">
        <v>5007600</v>
      </c>
      <c r="G5" s="301">
        <f>10.5%*F5</f>
        <v>525798</v>
      </c>
      <c r="H5" s="301">
        <f>21.5%*F5</f>
        <v>1076634</v>
      </c>
      <c r="I5" s="301">
        <v>205230.09999999983</v>
      </c>
      <c r="J5" s="301">
        <f>+E5+G5+I5</f>
        <v>43691028.100000001</v>
      </c>
      <c r="K5" s="301">
        <v>1</v>
      </c>
      <c r="L5" s="367" t="s">
        <v>240</v>
      </c>
      <c r="M5" s="368" t="s">
        <v>84</v>
      </c>
      <c r="N5" s="369" t="s">
        <v>56</v>
      </c>
      <c r="O5" s="369" t="s">
        <v>8</v>
      </c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</row>
    <row r="6" spans="1:82" s="346" customFormat="1" ht="24" customHeight="1">
      <c r="A6" s="342">
        <v>2</v>
      </c>
      <c r="B6" s="343" t="s">
        <v>7</v>
      </c>
      <c r="C6" s="344" t="s">
        <v>102</v>
      </c>
      <c r="D6" s="345" t="s">
        <v>29</v>
      </c>
      <c r="E6" s="301">
        <v>20913000</v>
      </c>
      <c r="F6" s="301">
        <v>5007600</v>
      </c>
      <c r="G6" s="301"/>
      <c r="H6" s="301"/>
      <c r="I6" s="301"/>
      <c r="J6" s="301">
        <f t="shared" ref="J6:J10" si="1">+E6+G6+I6</f>
        <v>20913000</v>
      </c>
      <c r="K6" s="301"/>
      <c r="L6" s="367" t="s">
        <v>357</v>
      </c>
      <c r="M6" s="368" t="s">
        <v>89</v>
      </c>
      <c r="N6" s="369" t="s">
        <v>51</v>
      </c>
      <c r="O6" s="369" t="s">
        <v>7</v>
      </c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</row>
    <row r="7" spans="1:82" s="346" customFormat="1" ht="24" customHeight="1">
      <c r="A7" s="342">
        <v>3</v>
      </c>
      <c r="B7" s="343" t="s">
        <v>27</v>
      </c>
      <c r="C7" s="344" t="s">
        <v>93</v>
      </c>
      <c r="D7" s="345" t="s">
        <v>29</v>
      </c>
      <c r="E7" s="301">
        <v>8500000</v>
      </c>
      <c r="F7" s="301">
        <v>5007600</v>
      </c>
      <c r="G7" s="301">
        <f>10.5%*F7</f>
        <v>525798</v>
      </c>
      <c r="H7" s="301">
        <f t="shared" ref="H7:H10" si="2">21.5%*F7</f>
        <v>1076634</v>
      </c>
      <c r="I7" s="301"/>
      <c r="J7" s="301">
        <f t="shared" si="1"/>
        <v>9025798</v>
      </c>
      <c r="K7" s="301"/>
      <c r="L7" s="367" t="s">
        <v>345</v>
      </c>
      <c r="M7" s="368" t="s">
        <v>71</v>
      </c>
      <c r="N7" s="369" t="s">
        <v>64</v>
      </c>
      <c r="O7" s="369" t="s">
        <v>27</v>
      </c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</row>
    <row r="8" spans="1:82" s="346" customFormat="1" ht="24" customHeight="1">
      <c r="A8" s="342">
        <v>4</v>
      </c>
      <c r="B8" s="343" t="s">
        <v>35</v>
      </c>
      <c r="C8" s="344" t="s">
        <v>97</v>
      </c>
      <c r="D8" s="345" t="s">
        <v>29</v>
      </c>
      <c r="E8" s="301">
        <v>8000000</v>
      </c>
      <c r="F8" s="301">
        <v>5007600</v>
      </c>
      <c r="G8" s="301">
        <f>10.5%*F8</f>
        <v>525798</v>
      </c>
      <c r="H8" s="301">
        <f t="shared" si="2"/>
        <v>1076634</v>
      </c>
      <c r="I8" s="301"/>
      <c r="J8" s="301">
        <f t="shared" si="1"/>
        <v>8525798</v>
      </c>
      <c r="K8" s="301"/>
      <c r="L8" s="382" t="s">
        <v>347</v>
      </c>
      <c r="M8" s="368" t="s">
        <v>251</v>
      </c>
      <c r="N8" s="369" t="s">
        <v>64</v>
      </c>
      <c r="O8" s="369" t="s">
        <v>35</v>
      </c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</row>
    <row r="9" spans="1:82" s="346" customFormat="1" ht="24" customHeight="1">
      <c r="A9" s="342">
        <v>5</v>
      </c>
      <c r="B9" s="343" t="s">
        <v>355</v>
      </c>
      <c r="C9" s="344" t="s">
        <v>349</v>
      </c>
      <c r="D9" s="345" t="s">
        <v>350</v>
      </c>
      <c r="E9" s="301">
        <v>13902000</v>
      </c>
      <c r="F9" s="301">
        <v>5007600</v>
      </c>
      <c r="G9" s="301">
        <f>10.5%*F9</f>
        <v>525798</v>
      </c>
      <c r="H9" s="301">
        <f t="shared" si="2"/>
        <v>1076634</v>
      </c>
      <c r="I9" s="301"/>
      <c r="J9" s="301">
        <f t="shared" si="1"/>
        <v>14427798</v>
      </c>
      <c r="K9" s="301"/>
      <c r="L9" s="343" t="s">
        <v>351</v>
      </c>
      <c r="M9" s="381" t="s">
        <v>356</v>
      </c>
      <c r="N9" s="369"/>
      <c r="O9" s="369"/>
      <c r="Q9" s="285" t="s">
        <v>369</v>
      </c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</row>
    <row r="10" spans="1:82" s="346" customFormat="1" ht="24" customHeight="1">
      <c r="A10" s="342">
        <v>6</v>
      </c>
      <c r="B10" s="410" t="s">
        <v>17</v>
      </c>
      <c r="C10" s="411" t="s">
        <v>101</v>
      </c>
      <c r="D10" s="412" t="s">
        <v>29</v>
      </c>
      <c r="E10" s="413">
        <v>16500000</v>
      </c>
      <c r="F10" s="301">
        <v>5007600</v>
      </c>
      <c r="G10" s="301">
        <f>10.5%*F10</f>
        <v>525798</v>
      </c>
      <c r="H10" s="301">
        <f t="shared" si="2"/>
        <v>1076634</v>
      </c>
      <c r="I10" s="301"/>
      <c r="J10" s="301">
        <f t="shared" si="1"/>
        <v>17025798</v>
      </c>
      <c r="K10" s="301">
        <v>2</v>
      </c>
      <c r="L10" s="382" t="s">
        <v>240</v>
      </c>
      <c r="M10" s="416" t="s">
        <v>83</v>
      </c>
      <c r="N10" s="417" t="s">
        <v>64</v>
      </c>
      <c r="O10" s="417" t="s">
        <v>17</v>
      </c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</row>
    <row r="11" spans="1:82" s="295" customFormat="1" ht="31.5" customHeight="1">
      <c r="A11" s="421" t="s">
        <v>362</v>
      </c>
      <c r="B11" s="472" t="s">
        <v>361</v>
      </c>
      <c r="C11" s="473"/>
      <c r="D11" s="474"/>
      <c r="E11" s="288">
        <f>+SUBTOTAL(9,E12:E31)</f>
        <v>266304000</v>
      </c>
      <c r="F11" s="288">
        <f t="shared" ref="F11:K11" si="3">+SUBTOTAL(9,F12:F31)</f>
        <v>100644400</v>
      </c>
      <c r="G11" s="288">
        <f t="shared" si="3"/>
        <v>8990268</v>
      </c>
      <c r="H11" s="288">
        <f t="shared" si="3"/>
        <v>18408644</v>
      </c>
      <c r="I11" s="288">
        <f t="shared" si="3"/>
        <v>0</v>
      </c>
      <c r="J11" s="288">
        <f t="shared" si="3"/>
        <v>275294268</v>
      </c>
      <c r="K11" s="288">
        <f t="shared" si="3"/>
        <v>8</v>
      </c>
      <c r="L11" s="292"/>
      <c r="M11" s="293"/>
      <c r="N11" s="294"/>
      <c r="O11" s="294"/>
    </row>
    <row r="12" spans="1:82" s="379" customFormat="1" ht="24" customHeight="1">
      <c r="A12" s="371">
        <v>1</v>
      </c>
      <c r="B12" s="372" t="s">
        <v>28</v>
      </c>
      <c r="C12" s="373" t="s">
        <v>93</v>
      </c>
      <c r="D12" s="375" t="s">
        <v>30</v>
      </c>
      <c r="E12" s="374">
        <v>14000000</v>
      </c>
      <c r="F12" s="374">
        <v>5007600</v>
      </c>
      <c r="G12" s="374">
        <f t="shared" ref="G12:G28" si="4">10.5%*F12</f>
        <v>525798</v>
      </c>
      <c r="H12" s="374">
        <f>21.5%*F12</f>
        <v>1076634</v>
      </c>
      <c r="I12" s="374"/>
      <c r="J12" s="374">
        <f t="shared" ref="J12:J31" si="5">+E12+G12+I12</f>
        <v>14525798</v>
      </c>
      <c r="K12" s="374"/>
      <c r="L12" s="376" t="s">
        <v>240</v>
      </c>
      <c r="M12" s="377" t="s">
        <v>70</v>
      </c>
      <c r="N12" s="378" t="s">
        <v>51</v>
      </c>
      <c r="O12" s="378" t="s">
        <v>28</v>
      </c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</row>
    <row r="13" spans="1:82" s="379" customFormat="1" ht="24" customHeight="1">
      <c r="A13" s="371">
        <v>2</v>
      </c>
      <c r="B13" s="372" t="s">
        <v>37</v>
      </c>
      <c r="C13" s="373" t="s">
        <v>94</v>
      </c>
      <c r="D13" s="375" t="s">
        <v>30</v>
      </c>
      <c r="E13" s="374">
        <v>8000000</v>
      </c>
      <c r="F13" s="374">
        <v>5007600</v>
      </c>
      <c r="G13" s="374">
        <f t="shared" si="4"/>
        <v>525798</v>
      </c>
      <c r="H13" s="374">
        <f t="shared" ref="H13:H28" si="6">21.5%*F13</f>
        <v>1076634</v>
      </c>
      <c r="I13" s="374"/>
      <c r="J13" s="374">
        <f t="shared" si="5"/>
        <v>8525798</v>
      </c>
      <c r="K13" s="374"/>
      <c r="L13" s="376" t="s">
        <v>240</v>
      </c>
      <c r="M13" s="377" t="s">
        <v>62</v>
      </c>
      <c r="N13" s="378" t="s">
        <v>51</v>
      </c>
      <c r="O13" s="378" t="s">
        <v>37</v>
      </c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</row>
    <row r="14" spans="1:82" s="379" customFormat="1" ht="24" customHeight="1">
      <c r="A14" s="371">
        <v>3</v>
      </c>
      <c r="B14" s="372" t="s">
        <v>38</v>
      </c>
      <c r="C14" s="373" t="s">
        <v>94</v>
      </c>
      <c r="D14" s="375" t="s">
        <v>30</v>
      </c>
      <c r="E14" s="374">
        <v>8000000</v>
      </c>
      <c r="F14" s="374">
        <v>5007600</v>
      </c>
      <c r="G14" s="374">
        <f t="shared" si="4"/>
        <v>525798</v>
      </c>
      <c r="H14" s="374">
        <f t="shared" si="6"/>
        <v>1076634</v>
      </c>
      <c r="I14" s="374"/>
      <c r="J14" s="374">
        <f t="shared" si="5"/>
        <v>8525798</v>
      </c>
      <c r="K14" s="374"/>
      <c r="L14" s="376" t="s">
        <v>240</v>
      </c>
      <c r="M14" s="377" t="s">
        <v>61</v>
      </c>
      <c r="N14" s="378" t="s">
        <v>54</v>
      </c>
      <c r="O14" s="378" t="s">
        <v>38</v>
      </c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</row>
    <row r="15" spans="1:82" s="379" customFormat="1" ht="24" customHeight="1">
      <c r="A15" s="371">
        <v>4</v>
      </c>
      <c r="B15" s="372" t="s">
        <v>40</v>
      </c>
      <c r="C15" s="373" t="s">
        <v>94</v>
      </c>
      <c r="D15" s="375" t="s">
        <v>30</v>
      </c>
      <c r="E15" s="374">
        <v>8000000</v>
      </c>
      <c r="F15" s="374">
        <v>5007600</v>
      </c>
      <c r="G15" s="374">
        <f t="shared" si="4"/>
        <v>525798</v>
      </c>
      <c r="H15" s="374">
        <f t="shared" si="6"/>
        <v>1076634</v>
      </c>
      <c r="I15" s="374"/>
      <c r="J15" s="374">
        <f t="shared" si="5"/>
        <v>8525798</v>
      </c>
      <c r="K15" s="374"/>
      <c r="L15" s="376" t="s">
        <v>240</v>
      </c>
      <c r="M15" s="377" t="s">
        <v>145</v>
      </c>
      <c r="N15" s="378" t="s">
        <v>57</v>
      </c>
      <c r="O15" s="378" t="s">
        <v>40</v>
      </c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</row>
    <row r="16" spans="1:82" s="379" customFormat="1" ht="24" customHeight="1">
      <c r="A16" s="371">
        <v>5</v>
      </c>
      <c r="B16" s="372" t="s">
        <v>41</v>
      </c>
      <c r="C16" s="373" t="s">
        <v>94</v>
      </c>
      <c r="D16" s="375" t="s">
        <v>30</v>
      </c>
      <c r="E16" s="374">
        <v>10000000</v>
      </c>
      <c r="F16" s="374">
        <v>5007600</v>
      </c>
      <c r="G16" s="374">
        <f t="shared" si="4"/>
        <v>525798</v>
      </c>
      <c r="H16" s="374">
        <f t="shared" si="6"/>
        <v>1076634</v>
      </c>
      <c r="I16" s="374"/>
      <c r="J16" s="374">
        <f t="shared" si="5"/>
        <v>10525798</v>
      </c>
      <c r="K16" s="374"/>
      <c r="L16" s="376" t="s">
        <v>240</v>
      </c>
      <c r="M16" s="377" t="s">
        <v>58</v>
      </c>
      <c r="N16" s="378" t="s">
        <v>56</v>
      </c>
      <c r="O16" s="378" t="s">
        <v>41</v>
      </c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</row>
    <row r="17" spans="1:82" s="379" customFormat="1" ht="24" customHeight="1">
      <c r="A17" s="371">
        <v>6</v>
      </c>
      <c r="B17" s="372" t="s">
        <v>9</v>
      </c>
      <c r="C17" s="373" t="s">
        <v>95</v>
      </c>
      <c r="D17" s="375" t="s">
        <v>30</v>
      </c>
      <c r="E17" s="374">
        <v>35126000</v>
      </c>
      <c r="F17" s="374">
        <v>5007600</v>
      </c>
      <c r="G17" s="374">
        <f t="shared" si="4"/>
        <v>525798</v>
      </c>
      <c r="H17" s="374">
        <f t="shared" si="6"/>
        <v>1076634</v>
      </c>
      <c r="I17" s="374"/>
      <c r="J17" s="374">
        <f t="shared" si="5"/>
        <v>35651798</v>
      </c>
      <c r="K17" s="374">
        <v>2</v>
      </c>
      <c r="L17" s="376" t="s">
        <v>240</v>
      </c>
      <c r="M17" s="377" t="s">
        <v>53</v>
      </c>
      <c r="N17" s="378" t="s">
        <v>51</v>
      </c>
      <c r="O17" s="378" t="s">
        <v>9</v>
      </c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</row>
    <row r="18" spans="1:82" s="379" customFormat="1" ht="24" customHeight="1">
      <c r="A18" s="371">
        <v>7</v>
      </c>
      <c r="B18" s="372" t="s">
        <v>112</v>
      </c>
      <c r="C18" s="373" t="s">
        <v>95</v>
      </c>
      <c r="D18" s="375" t="s">
        <v>30</v>
      </c>
      <c r="E18" s="374">
        <v>19000000</v>
      </c>
      <c r="F18" s="374">
        <v>5007600</v>
      </c>
      <c r="G18" s="374">
        <f t="shared" si="4"/>
        <v>525798</v>
      </c>
      <c r="H18" s="374">
        <f t="shared" si="6"/>
        <v>1076634</v>
      </c>
      <c r="I18" s="374"/>
      <c r="J18" s="374">
        <f t="shared" si="5"/>
        <v>19525798</v>
      </c>
      <c r="K18" s="374"/>
      <c r="L18" s="376" t="s">
        <v>240</v>
      </c>
      <c r="M18" s="377" t="s">
        <v>77</v>
      </c>
      <c r="N18" s="378" t="s">
        <v>56</v>
      </c>
      <c r="O18" s="378" t="s">
        <v>16</v>
      </c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</row>
    <row r="19" spans="1:82" s="379" customFormat="1" ht="25.5" customHeight="1">
      <c r="A19" s="371">
        <v>8</v>
      </c>
      <c r="B19" s="372" t="s">
        <v>26</v>
      </c>
      <c r="C19" s="373" t="s">
        <v>95</v>
      </c>
      <c r="D19" s="375" t="s">
        <v>30</v>
      </c>
      <c r="E19" s="374">
        <v>19000000</v>
      </c>
      <c r="F19" s="374">
        <v>5007600</v>
      </c>
      <c r="G19" s="374">
        <f t="shared" si="4"/>
        <v>525798</v>
      </c>
      <c r="H19" s="374">
        <f t="shared" si="6"/>
        <v>1076634</v>
      </c>
      <c r="I19" s="374"/>
      <c r="J19" s="374">
        <f t="shared" si="5"/>
        <v>19525798</v>
      </c>
      <c r="K19" s="374"/>
      <c r="L19" s="376" t="s">
        <v>240</v>
      </c>
      <c r="M19" s="377" t="s">
        <v>72</v>
      </c>
      <c r="N19" s="378" t="s">
        <v>54</v>
      </c>
      <c r="O19" s="378" t="s">
        <v>26</v>
      </c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</row>
    <row r="20" spans="1:82" s="379" customFormat="1" ht="22.5" customHeight="1">
      <c r="A20" s="371">
        <v>9</v>
      </c>
      <c r="B20" s="372" t="s">
        <v>32</v>
      </c>
      <c r="C20" s="373" t="s">
        <v>95</v>
      </c>
      <c r="D20" s="375" t="s">
        <v>30</v>
      </c>
      <c r="E20" s="374">
        <v>12000000</v>
      </c>
      <c r="F20" s="374">
        <v>5007600</v>
      </c>
      <c r="G20" s="374">
        <f t="shared" si="4"/>
        <v>525798</v>
      </c>
      <c r="H20" s="374">
        <f t="shared" si="6"/>
        <v>1076634</v>
      </c>
      <c r="I20" s="374"/>
      <c r="J20" s="374">
        <f t="shared" si="5"/>
        <v>12525798</v>
      </c>
      <c r="K20" s="374"/>
      <c r="L20" s="376" t="s">
        <v>240</v>
      </c>
      <c r="M20" s="377" t="s">
        <v>68</v>
      </c>
      <c r="N20" s="378" t="s">
        <v>56</v>
      </c>
      <c r="O20" s="378" t="s">
        <v>32</v>
      </c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</row>
    <row r="21" spans="1:82" s="379" customFormat="1" ht="22.5" customHeight="1">
      <c r="A21" s="371">
        <v>10</v>
      </c>
      <c r="B21" s="372" t="s">
        <v>128</v>
      </c>
      <c r="C21" s="372" t="s">
        <v>95</v>
      </c>
      <c r="D21" s="375" t="s">
        <v>30</v>
      </c>
      <c r="E21" s="374">
        <v>9000000</v>
      </c>
      <c r="F21" s="374">
        <v>5007600</v>
      </c>
      <c r="G21" s="374">
        <f t="shared" si="4"/>
        <v>525798</v>
      </c>
      <c r="H21" s="374">
        <f t="shared" si="6"/>
        <v>1076634</v>
      </c>
      <c r="I21" s="374"/>
      <c r="J21" s="374">
        <f t="shared" si="5"/>
        <v>9525798</v>
      </c>
      <c r="K21" s="374"/>
      <c r="L21" s="376" t="s">
        <v>240</v>
      </c>
      <c r="M21" s="377" t="s">
        <v>139</v>
      </c>
      <c r="N21" s="378" t="s">
        <v>138</v>
      </c>
      <c r="O21" s="378" t="s">
        <v>140</v>
      </c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</row>
    <row r="22" spans="1:82" s="379" customFormat="1" ht="22.5" customHeight="1">
      <c r="A22" s="371">
        <v>11</v>
      </c>
      <c r="B22" s="372" t="s">
        <v>121</v>
      </c>
      <c r="C22" s="373" t="s">
        <v>96</v>
      </c>
      <c r="D22" s="375" t="s">
        <v>30</v>
      </c>
      <c r="E22" s="374">
        <f>26678000+500000</f>
        <v>27178000</v>
      </c>
      <c r="F22" s="374">
        <v>5007600</v>
      </c>
      <c r="G22" s="374">
        <f t="shared" si="4"/>
        <v>525798</v>
      </c>
      <c r="H22" s="374">
        <f t="shared" si="6"/>
        <v>1076634</v>
      </c>
      <c r="I22" s="374"/>
      <c r="J22" s="374">
        <f t="shared" si="5"/>
        <v>27703798</v>
      </c>
      <c r="K22" s="374">
        <v>1</v>
      </c>
      <c r="L22" s="376" t="s">
        <v>343</v>
      </c>
      <c r="M22" s="377" t="s">
        <v>86</v>
      </c>
      <c r="N22" s="378" t="s">
        <v>60</v>
      </c>
      <c r="O22" s="378" t="s">
        <v>85</v>
      </c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</row>
    <row r="23" spans="1:82" s="379" customFormat="1" ht="22.5" customHeight="1">
      <c r="A23" s="371">
        <v>12</v>
      </c>
      <c r="B23" s="372" t="s">
        <v>120</v>
      </c>
      <c r="C23" s="373" t="s">
        <v>96</v>
      </c>
      <c r="D23" s="375" t="s">
        <v>30</v>
      </c>
      <c r="E23" s="374">
        <f>16000000+8000000</f>
        <v>24000000</v>
      </c>
      <c r="F23" s="374">
        <v>5007600</v>
      </c>
      <c r="G23" s="374">
        <f t="shared" si="4"/>
        <v>525798</v>
      </c>
      <c r="H23" s="374">
        <f t="shared" si="6"/>
        <v>1076634</v>
      </c>
      <c r="I23" s="374"/>
      <c r="J23" s="374">
        <f t="shared" si="5"/>
        <v>24525798</v>
      </c>
      <c r="K23" s="374"/>
      <c r="L23" s="376" t="s">
        <v>240</v>
      </c>
      <c r="M23" s="377" t="s">
        <v>81</v>
      </c>
      <c r="N23" s="378" t="s">
        <v>60</v>
      </c>
      <c r="O23" s="378" t="s">
        <v>5</v>
      </c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</row>
    <row r="24" spans="1:82" s="379" customFormat="1" ht="22.5" customHeight="1">
      <c r="A24" s="371">
        <v>13</v>
      </c>
      <c r="B24" s="372" t="s">
        <v>129</v>
      </c>
      <c r="C24" s="372" t="s">
        <v>96</v>
      </c>
      <c r="D24" s="375" t="s">
        <v>30</v>
      </c>
      <c r="E24" s="374">
        <v>8000000</v>
      </c>
      <c r="F24" s="374">
        <v>5007600</v>
      </c>
      <c r="G24" s="374">
        <f t="shared" si="4"/>
        <v>525798</v>
      </c>
      <c r="H24" s="374">
        <f t="shared" si="6"/>
        <v>1076634</v>
      </c>
      <c r="I24" s="374"/>
      <c r="J24" s="374">
        <f t="shared" si="5"/>
        <v>8525798</v>
      </c>
      <c r="K24" s="374"/>
      <c r="L24" s="376" t="s">
        <v>240</v>
      </c>
      <c r="M24" s="377" t="s">
        <v>165</v>
      </c>
      <c r="N24" s="378" t="s">
        <v>56</v>
      </c>
      <c r="O24" s="378" t="s">
        <v>129</v>
      </c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</row>
    <row r="25" spans="1:82" s="379" customFormat="1" ht="22.5" customHeight="1">
      <c r="A25" s="371">
        <v>14</v>
      </c>
      <c r="B25" s="372" t="s">
        <v>166</v>
      </c>
      <c r="C25" s="372" t="s">
        <v>98</v>
      </c>
      <c r="D25" s="375" t="s">
        <v>30</v>
      </c>
      <c r="E25" s="374">
        <v>9000000</v>
      </c>
      <c r="F25" s="374">
        <v>5007600</v>
      </c>
      <c r="G25" s="374">
        <f t="shared" si="4"/>
        <v>525798</v>
      </c>
      <c r="H25" s="374">
        <f t="shared" si="6"/>
        <v>1076634</v>
      </c>
      <c r="I25" s="374"/>
      <c r="J25" s="374">
        <f t="shared" si="5"/>
        <v>9525798</v>
      </c>
      <c r="K25" s="374"/>
      <c r="L25" s="390" t="s">
        <v>240</v>
      </c>
      <c r="M25" s="377" t="s">
        <v>172</v>
      </c>
      <c r="N25" s="378" t="s">
        <v>63</v>
      </c>
      <c r="O25" s="378" t="s">
        <v>166</v>
      </c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</row>
    <row r="26" spans="1:82" s="379" customFormat="1" ht="27" customHeight="1">
      <c r="A26" s="371">
        <v>15</v>
      </c>
      <c r="B26" s="372" t="s">
        <v>25</v>
      </c>
      <c r="C26" s="373" t="s">
        <v>99</v>
      </c>
      <c r="D26" s="375" t="s">
        <v>30</v>
      </c>
      <c r="E26" s="374">
        <v>12000000</v>
      </c>
      <c r="F26" s="374">
        <v>5007600</v>
      </c>
      <c r="G26" s="374">
        <f t="shared" si="4"/>
        <v>525798</v>
      </c>
      <c r="H26" s="374">
        <f t="shared" si="6"/>
        <v>1076634</v>
      </c>
      <c r="I26" s="374"/>
      <c r="J26" s="374">
        <f t="shared" si="5"/>
        <v>12525798</v>
      </c>
      <c r="K26" s="374">
        <v>2</v>
      </c>
      <c r="L26" s="390" t="s">
        <v>240</v>
      </c>
      <c r="M26" s="377" t="s">
        <v>79</v>
      </c>
      <c r="N26" s="378" t="s">
        <v>63</v>
      </c>
      <c r="O26" s="378" t="s">
        <v>78</v>
      </c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</row>
    <row r="27" spans="1:82" s="379" customFormat="1" ht="21.75" customHeight="1">
      <c r="A27" s="371">
        <v>16</v>
      </c>
      <c r="B27" s="372" t="s">
        <v>275</v>
      </c>
      <c r="C27" s="373" t="s">
        <v>276</v>
      </c>
      <c r="D27" s="375" t="s">
        <v>30</v>
      </c>
      <c r="E27" s="374">
        <v>17000000</v>
      </c>
      <c r="F27" s="374">
        <v>5500000</v>
      </c>
      <c r="G27" s="374">
        <f t="shared" si="4"/>
        <v>577500</v>
      </c>
      <c r="H27" s="374">
        <f t="shared" si="6"/>
        <v>1182500</v>
      </c>
      <c r="I27" s="374"/>
      <c r="J27" s="374">
        <f t="shared" si="5"/>
        <v>17577500</v>
      </c>
      <c r="K27" s="374">
        <v>3</v>
      </c>
      <c r="L27" s="372" t="s">
        <v>330</v>
      </c>
      <c r="M27" s="422" t="s">
        <v>289</v>
      </c>
      <c r="N27" s="378" t="s">
        <v>288</v>
      </c>
      <c r="O27" s="378" t="s">
        <v>275</v>
      </c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</row>
    <row r="28" spans="1:82" s="379" customFormat="1" ht="22.5" customHeight="1">
      <c r="A28" s="371">
        <v>17</v>
      </c>
      <c r="B28" s="372" t="s">
        <v>208</v>
      </c>
      <c r="C28" s="372" t="s">
        <v>304</v>
      </c>
      <c r="D28" s="375" t="s">
        <v>30</v>
      </c>
      <c r="E28" s="374">
        <v>7000000</v>
      </c>
      <c r="F28" s="374">
        <v>5007600</v>
      </c>
      <c r="G28" s="374">
        <f t="shared" si="4"/>
        <v>525798</v>
      </c>
      <c r="H28" s="374">
        <f t="shared" si="6"/>
        <v>1076634</v>
      </c>
      <c r="I28" s="374"/>
      <c r="J28" s="374">
        <f t="shared" si="5"/>
        <v>7525798</v>
      </c>
      <c r="K28" s="374"/>
      <c r="L28" s="390" t="s">
        <v>240</v>
      </c>
      <c r="M28" s="377" t="s">
        <v>234</v>
      </c>
      <c r="N28" s="378" t="s">
        <v>133</v>
      </c>
      <c r="O28" s="372" t="s">
        <v>208</v>
      </c>
      <c r="P28" s="420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</row>
    <row r="29" spans="1:82" s="379" customFormat="1" ht="22.5" customHeight="1">
      <c r="A29" s="371">
        <v>18</v>
      </c>
      <c r="B29" s="372" t="s">
        <v>226</v>
      </c>
      <c r="C29" s="372" t="s">
        <v>304</v>
      </c>
      <c r="D29" s="375" t="s">
        <v>30</v>
      </c>
      <c r="E29" s="374">
        <v>7000000</v>
      </c>
      <c r="F29" s="374">
        <v>5007600</v>
      </c>
      <c r="G29" s="374"/>
      <c r="H29" s="374"/>
      <c r="I29" s="374"/>
      <c r="J29" s="374">
        <f t="shared" si="5"/>
        <v>7000000</v>
      </c>
      <c r="K29" s="374"/>
      <c r="L29" s="390" t="s">
        <v>290</v>
      </c>
      <c r="M29" s="377" t="s">
        <v>250</v>
      </c>
      <c r="N29" s="378" t="s">
        <v>133</v>
      </c>
      <c r="O29" s="372" t="s">
        <v>226</v>
      </c>
      <c r="P29" s="420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</row>
    <row r="30" spans="1:82" s="379" customFormat="1" ht="27" customHeight="1">
      <c r="A30" s="371">
        <v>19</v>
      </c>
      <c r="B30" s="372" t="s">
        <v>257</v>
      </c>
      <c r="C30" s="372" t="s">
        <v>136</v>
      </c>
      <c r="D30" s="375" t="s">
        <v>30</v>
      </c>
      <c r="E30" s="374">
        <v>6000000</v>
      </c>
      <c r="F30" s="374">
        <v>5007600</v>
      </c>
      <c r="G30" s="374"/>
      <c r="H30" s="374"/>
      <c r="I30" s="374"/>
      <c r="J30" s="374">
        <f t="shared" si="5"/>
        <v>6000000</v>
      </c>
      <c r="K30" s="374"/>
      <c r="L30" s="376" t="s">
        <v>283</v>
      </c>
      <c r="M30" s="422" t="s">
        <v>340</v>
      </c>
      <c r="N30" s="378" t="s">
        <v>341</v>
      </c>
      <c r="O30" s="372" t="str">
        <f>+B30</f>
        <v>Chu Quang Hưng</v>
      </c>
      <c r="P30" s="420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</row>
    <row r="31" spans="1:82" s="379" customFormat="1" ht="27" customHeight="1">
      <c r="A31" s="371">
        <v>20</v>
      </c>
      <c r="B31" s="372" t="s">
        <v>284</v>
      </c>
      <c r="C31" s="372" t="s">
        <v>304</v>
      </c>
      <c r="D31" s="375" t="s">
        <v>30</v>
      </c>
      <c r="E31" s="374">
        <v>7000000</v>
      </c>
      <c r="F31" s="374">
        <v>5007600</v>
      </c>
      <c r="G31" s="374"/>
      <c r="H31" s="374"/>
      <c r="I31" s="374"/>
      <c r="J31" s="374">
        <f t="shared" si="5"/>
        <v>7000000</v>
      </c>
      <c r="K31" s="374"/>
      <c r="L31" s="376" t="s">
        <v>336</v>
      </c>
      <c r="M31" s="422" t="s">
        <v>338</v>
      </c>
      <c r="N31" s="378" t="s">
        <v>339</v>
      </c>
      <c r="O31" s="372" t="str">
        <f>+B31</f>
        <v>Phạm Văn Lĩnh</v>
      </c>
      <c r="P31" s="420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</row>
    <row r="32" spans="1:82" s="295" customFormat="1" ht="31.5" customHeight="1">
      <c r="A32" s="421" t="s">
        <v>363</v>
      </c>
      <c r="B32" s="472" t="s">
        <v>364</v>
      </c>
      <c r="C32" s="473"/>
      <c r="D32" s="474"/>
      <c r="E32" s="288">
        <f>+SUBTOTAL(9,E33:E53)</f>
        <v>262758000</v>
      </c>
      <c r="F32" s="288">
        <f t="shared" ref="F32:K32" si="7">+SUBTOTAL(9,F33:F53)</f>
        <v>105159600</v>
      </c>
      <c r="G32" s="288">
        <f t="shared" si="7"/>
        <v>10515960</v>
      </c>
      <c r="H32" s="288">
        <f t="shared" si="7"/>
        <v>21532680</v>
      </c>
      <c r="I32" s="288">
        <f t="shared" si="7"/>
        <v>495842.30000000005</v>
      </c>
      <c r="J32" s="288">
        <f t="shared" si="7"/>
        <v>273769802.30000001</v>
      </c>
      <c r="K32" s="288">
        <f t="shared" si="7"/>
        <v>4</v>
      </c>
      <c r="L32" s="292"/>
      <c r="M32" s="293"/>
      <c r="N32" s="294"/>
      <c r="O32" s="294"/>
    </row>
    <row r="33" spans="1:82" s="407" customFormat="1" ht="41.25" customHeight="1">
      <c r="A33" s="383">
        <v>1</v>
      </c>
      <c r="B33" s="384" t="s">
        <v>11</v>
      </c>
      <c r="C33" s="384" t="s">
        <v>301</v>
      </c>
      <c r="D33" s="386" t="s">
        <v>24</v>
      </c>
      <c r="E33" s="387">
        <v>45178000</v>
      </c>
      <c r="F33" s="387">
        <v>5007600</v>
      </c>
      <c r="G33" s="387">
        <f t="shared" ref="G33:G49" si="8">10.5%*F33</f>
        <v>525798</v>
      </c>
      <c r="H33" s="387">
        <f>21.5%*F33</f>
        <v>1076634</v>
      </c>
      <c r="I33" s="387">
        <v>45990.100000000006</v>
      </c>
      <c r="J33" s="387">
        <f t="shared" ref="J33:J53" si="9">+E33+G33+I33</f>
        <v>45749788.100000001</v>
      </c>
      <c r="K33" s="387">
        <v>4</v>
      </c>
      <c r="L33" s="391" t="s">
        <v>240</v>
      </c>
      <c r="M33" s="392" t="s">
        <v>50</v>
      </c>
      <c r="N33" s="388" t="s">
        <v>51</v>
      </c>
      <c r="O33" s="388" t="s">
        <v>52</v>
      </c>
      <c r="P33" s="389" t="e">
        <f>+VLOOKUP(E33,[1]data!$E$5:$E$49,3,0)</f>
        <v>#REF!</v>
      </c>
      <c r="Q33" s="285"/>
      <c r="R33" s="285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6"/>
      <c r="AX33" s="316"/>
      <c r="AY33" s="316"/>
      <c r="AZ33" s="316"/>
      <c r="BA33" s="316"/>
      <c r="BB33" s="316"/>
      <c r="BC33" s="316"/>
      <c r="BD33" s="316"/>
      <c r="BE33" s="316"/>
      <c r="BF33" s="316"/>
      <c r="BG33" s="316"/>
      <c r="BH33" s="316"/>
      <c r="BI33" s="316"/>
      <c r="BJ33" s="316"/>
      <c r="BK33" s="316"/>
      <c r="BL33" s="316"/>
      <c r="BM33" s="316"/>
      <c r="BN33" s="316"/>
      <c r="BO33" s="316"/>
      <c r="BP33" s="316"/>
      <c r="BQ33" s="316"/>
      <c r="BR33" s="316"/>
      <c r="BS33" s="316"/>
      <c r="BT33" s="316"/>
      <c r="BU33" s="316"/>
      <c r="BV33" s="316"/>
      <c r="BW33" s="316"/>
      <c r="BX33" s="316"/>
      <c r="BY33" s="316"/>
      <c r="BZ33" s="316"/>
      <c r="CA33" s="316"/>
      <c r="CB33" s="316"/>
      <c r="CC33" s="316"/>
      <c r="CD33" s="316"/>
    </row>
    <row r="34" spans="1:82" s="389" customFormat="1" ht="41.25" customHeight="1">
      <c r="A34" s="383">
        <v>2</v>
      </c>
      <c r="B34" s="384" t="s">
        <v>10</v>
      </c>
      <c r="C34" s="385" t="s">
        <v>93</v>
      </c>
      <c r="D34" s="386" t="s">
        <v>24</v>
      </c>
      <c r="E34" s="387">
        <v>28753000</v>
      </c>
      <c r="F34" s="387">
        <v>5007600</v>
      </c>
      <c r="G34" s="387">
        <f t="shared" si="8"/>
        <v>525798</v>
      </c>
      <c r="H34" s="387">
        <f t="shared" ref="H34:H53" si="10">21.5%*F34</f>
        <v>1076634</v>
      </c>
      <c r="I34" s="387">
        <v>199888.1</v>
      </c>
      <c r="J34" s="387">
        <f t="shared" si="9"/>
        <v>29478686.100000001</v>
      </c>
      <c r="K34" s="387"/>
      <c r="L34" s="391" t="s">
        <v>240</v>
      </c>
      <c r="M34" s="392" t="s">
        <v>188</v>
      </c>
      <c r="N34" s="388" t="s">
        <v>56</v>
      </c>
      <c r="O34" s="388" t="s">
        <v>10</v>
      </c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</row>
    <row r="35" spans="1:82" s="389" customFormat="1" ht="22.5" customHeight="1">
      <c r="A35" s="383">
        <v>3</v>
      </c>
      <c r="B35" s="384" t="s">
        <v>33</v>
      </c>
      <c r="C35" s="385" t="s">
        <v>93</v>
      </c>
      <c r="D35" s="386" t="s">
        <v>24</v>
      </c>
      <c r="E35" s="387">
        <v>10800000</v>
      </c>
      <c r="F35" s="387">
        <v>5007600</v>
      </c>
      <c r="G35" s="387">
        <f t="shared" si="8"/>
        <v>525798</v>
      </c>
      <c r="H35" s="387">
        <f t="shared" si="10"/>
        <v>1076634</v>
      </c>
      <c r="I35" s="387"/>
      <c r="J35" s="387">
        <f t="shared" si="9"/>
        <v>11325798</v>
      </c>
      <c r="K35" s="387"/>
      <c r="L35" s="391" t="s">
        <v>240</v>
      </c>
      <c r="M35" s="392" t="s">
        <v>335</v>
      </c>
      <c r="N35" s="388" t="s">
        <v>64</v>
      </c>
      <c r="O35" s="388" t="s">
        <v>33</v>
      </c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</row>
    <row r="36" spans="1:82" s="389" customFormat="1" ht="22.5" customHeight="1">
      <c r="A36" s="383">
        <v>4</v>
      </c>
      <c r="B36" s="384" t="s">
        <v>134</v>
      </c>
      <c r="C36" s="385" t="s">
        <v>93</v>
      </c>
      <c r="D36" s="386" t="s">
        <v>24</v>
      </c>
      <c r="E36" s="387">
        <v>8000000</v>
      </c>
      <c r="F36" s="387">
        <v>5007600</v>
      </c>
      <c r="G36" s="387">
        <f t="shared" si="8"/>
        <v>525798</v>
      </c>
      <c r="H36" s="387">
        <f t="shared" si="10"/>
        <v>1076634</v>
      </c>
      <c r="I36" s="387"/>
      <c r="J36" s="387">
        <f t="shared" si="9"/>
        <v>8525798</v>
      </c>
      <c r="K36" s="387"/>
      <c r="L36" s="391" t="s">
        <v>282</v>
      </c>
      <c r="M36" s="392"/>
      <c r="N36" s="388"/>
      <c r="O36" s="388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</row>
    <row r="37" spans="1:82" s="389" customFormat="1" ht="22.5" customHeight="1">
      <c r="A37" s="383">
        <v>5</v>
      </c>
      <c r="B37" s="384" t="s">
        <v>42</v>
      </c>
      <c r="C37" s="385" t="s">
        <v>93</v>
      </c>
      <c r="D37" s="386" t="s">
        <v>24</v>
      </c>
      <c r="E37" s="387">
        <v>10000000</v>
      </c>
      <c r="F37" s="387">
        <v>5007600</v>
      </c>
      <c r="G37" s="387">
        <f t="shared" si="8"/>
        <v>525798</v>
      </c>
      <c r="H37" s="387">
        <f t="shared" si="10"/>
        <v>1076634</v>
      </c>
      <c r="I37" s="387"/>
      <c r="J37" s="387">
        <f t="shared" si="9"/>
        <v>10525798</v>
      </c>
      <c r="K37" s="387"/>
      <c r="L37" s="391" t="s">
        <v>240</v>
      </c>
      <c r="M37" s="392" t="s">
        <v>123</v>
      </c>
      <c r="N37" s="388" t="s">
        <v>64</v>
      </c>
      <c r="O37" s="388" t="s">
        <v>42</v>
      </c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</row>
    <row r="38" spans="1:82" s="389" customFormat="1" ht="22.5" customHeight="1">
      <c r="A38" s="383">
        <v>6</v>
      </c>
      <c r="B38" s="384" t="s">
        <v>31</v>
      </c>
      <c r="C38" s="385" t="s">
        <v>94</v>
      </c>
      <c r="D38" s="386" t="s">
        <v>24</v>
      </c>
      <c r="E38" s="387">
        <v>29027000</v>
      </c>
      <c r="F38" s="387">
        <v>5007600</v>
      </c>
      <c r="G38" s="387">
        <f t="shared" si="8"/>
        <v>525798</v>
      </c>
      <c r="H38" s="387">
        <f t="shared" si="10"/>
        <v>1076634</v>
      </c>
      <c r="I38" s="387">
        <v>249964.1</v>
      </c>
      <c r="J38" s="387">
        <f t="shared" si="9"/>
        <v>29802762.100000001</v>
      </c>
      <c r="K38" s="387"/>
      <c r="L38" s="391" t="s">
        <v>334</v>
      </c>
      <c r="M38" s="392" t="s">
        <v>88</v>
      </c>
      <c r="N38" s="388" t="s">
        <v>60</v>
      </c>
      <c r="O38" s="388" t="s">
        <v>31</v>
      </c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</row>
    <row r="39" spans="1:82" s="389" customFormat="1" ht="22.5" customHeight="1">
      <c r="A39" s="383">
        <v>7</v>
      </c>
      <c r="B39" s="384" t="s">
        <v>127</v>
      </c>
      <c r="C39" s="385" t="s">
        <v>94</v>
      </c>
      <c r="D39" s="386" t="s">
        <v>24</v>
      </c>
      <c r="E39" s="387">
        <v>8000000</v>
      </c>
      <c r="F39" s="387">
        <v>5007600</v>
      </c>
      <c r="G39" s="387">
        <f t="shared" si="8"/>
        <v>525798</v>
      </c>
      <c r="H39" s="387">
        <f t="shared" si="10"/>
        <v>1076634</v>
      </c>
      <c r="I39" s="387"/>
      <c r="J39" s="387">
        <f t="shared" si="9"/>
        <v>8525798</v>
      </c>
      <c r="K39" s="387"/>
      <c r="L39" s="391" t="s">
        <v>240</v>
      </c>
      <c r="M39" s="392" t="s">
        <v>131</v>
      </c>
      <c r="N39" s="388" t="s">
        <v>56</v>
      </c>
      <c r="O39" s="388" t="s">
        <v>127</v>
      </c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</row>
    <row r="40" spans="1:82" s="389" customFormat="1" ht="22.5" customHeight="1">
      <c r="A40" s="383">
        <v>8</v>
      </c>
      <c r="B40" s="384" t="s">
        <v>44</v>
      </c>
      <c r="C40" s="385" t="s">
        <v>95</v>
      </c>
      <c r="D40" s="386" t="s">
        <v>24</v>
      </c>
      <c r="E40" s="387">
        <v>12000000</v>
      </c>
      <c r="F40" s="387">
        <v>5007600</v>
      </c>
      <c r="G40" s="387">
        <f t="shared" si="8"/>
        <v>525798</v>
      </c>
      <c r="H40" s="387">
        <f t="shared" si="10"/>
        <v>1076634</v>
      </c>
      <c r="I40" s="387"/>
      <c r="J40" s="387">
        <f t="shared" si="9"/>
        <v>12525798</v>
      </c>
      <c r="K40" s="387"/>
      <c r="L40" s="391" t="s">
        <v>240</v>
      </c>
      <c r="M40" s="392" t="s">
        <v>55</v>
      </c>
      <c r="N40" s="388" t="s">
        <v>56</v>
      </c>
      <c r="O40" s="388" t="s">
        <v>44</v>
      </c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</row>
    <row r="41" spans="1:82" s="389" customFormat="1" ht="36.75" customHeight="1">
      <c r="A41" s="383">
        <v>9</v>
      </c>
      <c r="B41" s="384" t="s">
        <v>43</v>
      </c>
      <c r="C41" s="385" t="s">
        <v>96</v>
      </c>
      <c r="D41" s="386" t="s">
        <v>24</v>
      </c>
      <c r="E41" s="387">
        <v>12000000</v>
      </c>
      <c r="F41" s="387">
        <v>5007600</v>
      </c>
      <c r="G41" s="387">
        <f t="shared" si="8"/>
        <v>525798</v>
      </c>
      <c r="H41" s="387">
        <f t="shared" si="10"/>
        <v>1076634</v>
      </c>
      <c r="I41" s="387"/>
      <c r="J41" s="387">
        <f t="shared" si="9"/>
        <v>12525798</v>
      </c>
      <c r="K41" s="387"/>
      <c r="L41" s="391" t="s">
        <v>240</v>
      </c>
      <c r="M41" s="392" t="s">
        <v>162</v>
      </c>
      <c r="N41" s="388" t="s">
        <v>63</v>
      </c>
      <c r="O41" s="388" t="s">
        <v>43</v>
      </c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  <c r="AT41" s="285"/>
      <c r="AU41" s="285"/>
      <c r="AV41" s="285"/>
      <c r="AW41" s="285"/>
      <c r="AX41" s="285"/>
      <c r="AY41" s="285"/>
      <c r="AZ41" s="285"/>
      <c r="BA41" s="285"/>
      <c r="BB41" s="285"/>
      <c r="BC41" s="285"/>
      <c r="BD41" s="285"/>
      <c r="BE41" s="285"/>
      <c r="BF41" s="285"/>
      <c r="BG41" s="285"/>
      <c r="BH41" s="285"/>
      <c r="BI41" s="285"/>
      <c r="BJ41" s="285"/>
      <c r="BK41" s="285"/>
      <c r="BL41" s="28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</row>
    <row r="42" spans="1:82" s="389" customFormat="1" ht="36.75" customHeight="1">
      <c r="A42" s="383">
        <v>10</v>
      </c>
      <c r="B42" s="384" t="s">
        <v>148</v>
      </c>
      <c r="C42" s="384" t="s">
        <v>96</v>
      </c>
      <c r="D42" s="386" t="s">
        <v>24</v>
      </c>
      <c r="E42" s="387">
        <v>8000000</v>
      </c>
      <c r="F42" s="387">
        <v>5007600</v>
      </c>
      <c r="G42" s="387">
        <f t="shared" si="8"/>
        <v>525798</v>
      </c>
      <c r="H42" s="387">
        <f t="shared" si="10"/>
        <v>1076634</v>
      </c>
      <c r="I42" s="387"/>
      <c r="J42" s="387">
        <f t="shared" si="9"/>
        <v>8525798</v>
      </c>
      <c r="K42" s="387"/>
      <c r="L42" s="391" t="s">
        <v>240</v>
      </c>
      <c r="M42" s="392" t="s">
        <v>158</v>
      </c>
      <c r="N42" s="388" t="s">
        <v>57</v>
      </c>
      <c r="O42" s="388" t="s">
        <v>148</v>
      </c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</row>
    <row r="43" spans="1:82" s="389" customFormat="1" ht="36.75" customHeight="1">
      <c r="A43" s="383">
        <v>11</v>
      </c>
      <c r="B43" s="402" t="s">
        <v>150</v>
      </c>
      <c r="C43" s="402" t="s">
        <v>98</v>
      </c>
      <c r="D43" s="403" t="s">
        <v>24</v>
      </c>
      <c r="E43" s="404">
        <v>7000000</v>
      </c>
      <c r="F43" s="387">
        <v>5007600</v>
      </c>
      <c r="G43" s="387">
        <f t="shared" si="8"/>
        <v>525798</v>
      </c>
      <c r="H43" s="387">
        <f t="shared" si="10"/>
        <v>1076634</v>
      </c>
      <c r="I43" s="387"/>
      <c r="J43" s="387">
        <f t="shared" si="9"/>
        <v>7525798</v>
      </c>
      <c r="K43" s="387"/>
      <c r="L43" s="394" t="s">
        <v>240</v>
      </c>
      <c r="M43" s="405" t="s">
        <v>159</v>
      </c>
      <c r="N43" s="406" t="s">
        <v>160</v>
      </c>
      <c r="O43" s="406" t="s">
        <v>150</v>
      </c>
      <c r="P43" s="407"/>
      <c r="Q43" s="316"/>
      <c r="R43" s="316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5"/>
      <c r="AT43" s="285"/>
      <c r="AU43" s="285"/>
      <c r="AV43" s="285"/>
      <c r="AW43" s="285"/>
      <c r="AX43" s="285"/>
      <c r="AY43" s="285"/>
      <c r="AZ43" s="285"/>
      <c r="BA43" s="285"/>
      <c r="BB43" s="285"/>
      <c r="BC43" s="285"/>
      <c r="BD43" s="285"/>
      <c r="BE43" s="285"/>
      <c r="BF43" s="285"/>
      <c r="BG43" s="285"/>
      <c r="BH43" s="285"/>
      <c r="BI43" s="285"/>
      <c r="BJ43" s="285"/>
      <c r="BK43" s="28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</row>
    <row r="44" spans="1:82" s="389" customFormat="1" ht="36.75" customHeight="1">
      <c r="A44" s="383">
        <v>12</v>
      </c>
      <c r="B44" s="384" t="s">
        <v>6</v>
      </c>
      <c r="C44" s="385" t="s">
        <v>100</v>
      </c>
      <c r="D44" s="386" t="s">
        <v>24</v>
      </c>
      <c r="E44" s="387">
        <v>15000000</v>
      </c>
      <c r="F44" s="387">
        <v>5007600</v>
      </c>
      <c r="G44" s="387">
        <f t="shared" si="8"/>
        <v>525798</v>
      </c>
      <c r="H44" s="387">
        <f t="shared" si="10"/>
        <v>1076634</v>
      </c>
      <c r="I44" s="387"/>
      <c r="J44" s="387">
        <f t="shared" si="9"/>
        <v>15525798</v>
      </c>
      <c r="K44" s="387"/>
      <c r="L44" s="394" t="s">
        <v>346</v>
      </c>
      <c r="M44" s="392" t="s">
        <v>82</v>
      </c>
      <c r="N44" s="388" t="s">
        <v>51</v>
      </c>
      <c r="O44" s="388" t="s">
        <v>6</v>
      </c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  <c r="AT44" s="285"/>
      <c r="AU44" s="285"/>
      <c r="AV44" s="285"/>
      <c r="AW44" s="285"/>
      <c r="AX44" s="285"/>
      <c r="AY44" s="285"/>
      <c r="AZ44" s="285"/>
      <c r="BA44" s="285"/>
      <c r="BB44" s="285"/>
      <c r="BC44" s="285"/>
      <c r="BD44" s="285"/>
      <c r="BE44" s="285"/>
      <c r="BF44" s="285"/>
      <c r="BG44" s="285"/>
      <c r="BH44" s="285"/>
      <c r="BI44" s="285"/>
      <c r="BJ44" s="285"/>
      <c r="BK44" s="28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</row>
    <row r="45" spans="1:82" s="389" customFormat="1" ht="36.75" customHeight="1">
      <c r="A45" s="383">
        <v>13</v>
      </c>
      <c r="B45" s="384" t="s">
        <v>179</v>
      </c>
      <c r="C45" s="384" t="s">
        <v>136</v>
      </c>
      <c r="D45" s="386" t="s">
        <v>24</v>
      </c>
      <c r="E45" s="387">
        <v>6500000</v>
      </c>
      <c r="F45" s="387">
        <v>5007600</v>
      </c>
      <c r="G45" s="387">
        <f t="shared" si="8"/>
        <v>525798</v>
      </c>
      <c r="H45" s="387">
        <f t="shared" si="10"/>
        <v>1076634</v>
      </c>
      <c r="I45" s="387"/>
      <c r="J45" s="387">
        <f t="shared" si="9"/>
        <v>7025798</v>
      </c>
      <c r="K45" s="387"/>
      <c r="L45" s="394" t="s">
        <v>240</v>
      </c>
      <c r="M45" s="392" t="s">
        <v>216</v>
      </c>
      <c r="N45" s="388" t="s">
        <v>51</v>
      </c>
      <c r="O45" s="388" t="s">
        <v>179</v>
      </c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  <c r="AT45" s="285"/>
      <c r="AU45" s="285"/>
      <c r="AV45" s="285"/>
      <c r="AW45" s="285"/>
      <c r="AX45" s="285"/>
      <c r="AY45" s="285"/>
      <c r="AZ45" s="285"/>
      <c r="BA45" s="285"/>
      <c r="BB45" s="285"/>
      <c r="BC45" s="285"/>
      <c r="BD45" s="285"/>
      <c r="BE45" s="285"/>
      <c r="BF45" s="285"/>
      <c r="BG45" s="285"/>
      <c r="BH45" s="285"/>
      <c r="BI45" s="285"/>
      <c r="BJ45" s="285"/>
      <c r="BK45" s="28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</row>
    <row r="46" spans="1:82" s="389" customFormat="1" ht="36.75" customHeight="1">
      <c r="A46" s="383">
        <v>14</v>
      </c>
      <c r="B46" s="384" t="s">
        <v>192</v>
      </c>
      <c r="C46" s="384" t="s">
        <v>136</v>
      </c>
      <c r="D46" s="386" t="s">
        <v>24</v>
      </c>
      <c r="E46" s="387">
        <v>8000000</v>
      </c>
      <c r="F46" s="387">
        <v>5007600</v>
      </c>
      <c r="G46" s="387">
        <f t="shared" si="8"/>
        <v>525798</v>
      </c>
      <c r="H46" s="387">
        <f t="shared" si="10"/>
        <v>1076634</v>
      </c>
      <c r="I46" s="387"/>
      <c r="J46" s="387">
        <f t="shared" si="9"/>
        <v>8525798</v>
      </c>
      <c r="K46" s="414"/>
      <c r="L46" s="415" t="s">
        <v>240</v>
      </c>
      <c r="M46" s="392" t="s">
        <v>220</v>
      </c>
      <c r="N46" s="388" t="s">
        <v>54</v>
      </c>
      <c r="O46" s="388" t="s">
        <v>221</v>
      </c>
      <c r="P46" s="418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</row>
    <row r="47" spans="1:82" s="389" customFormat="1" ht="36.75" customHeight="1">
      <c r="A47" s="383">
        <v>15</v>
      </c>
      <c r="B47" s="384" t="s">
        <v>193</v>
      </c>
      <c r="C47" s="393" t="s">
        <v>302</v>
      </c>
      <c r="D47" s="386" t="s">
        <v>24</v>
      </c>
      <c r="E47" s="387">
        <v>6500000</v>
      </c>
      <c r="F47" s="387">
        <v>5007600</v>
      </c>
      <c r="G47" s="387">
        <f t="shared" si="8"/>
        <v>525798</v>
      </c>
      <c r="H47" s="387">
        <f t="shared" si="10"/>
        <v>1076634</v>
      </c>
      <c r="I47" s="387"/>
      <c r="J47" s="387">
        <f t="shared" si="9"/>
        <v>7025798</v>
      </c>
      <c r="K47" s="387"/>
      <c r="L47" s="394" t="s">
        <v>240</v>
      </c>
      <c r="M47" s="392" t="s">
        <v>213</v>
      </c>
      <c r="N47" s="388" t="s">
        <v>54</v>
      </c>
      <c r="O47" s="388" t="s">
        <v>193</v>
      </c>
      <c r="P47" s="418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</row>
    <row r="48" spans="1:82" s="389" customFormat="1" ht="36.75" customHeight="1">
      <c r="A48" s="383">
        <v>16</v>
      </c>
      <c r="B48" s="384" t="s">
        <v>298</v>
      </c>
      <c r="C48" s="393" t="s">
        <v>302</v>
      </c>
      <c r="D48" s="386" t="s">
        <v>24</v>
      </c>
      <c r="E48" s="387">
        <v>6500000</v>
      </c>
      <c r="F48" s="387">
        <v>5007600</v>
      </c>
      <c r="G48" s="387">
        <f t="shared" si="8"/>
        <v>525798</v>
      </c>
      <c r="H48" s="387">
        <f t="shared" si="10"/>
        <v>1076634</v>
      </c>
      <c r="I48" s="387"/>
      <c r="J48" s="387">
        <f t="shared" si="9"/>
        <v>7025798</v>
      </c>
      <c r="K48" s="387"/>
      <c r="L48" s="394" t="s">
        <v>240</v>
      </c>
      <c r="M48" s="392" t="s">
        <v>214</v>
      </c>
      <c r="N48" s="388" t="s">
        <v>138</v>
      </c>
      <c r="O48" s="388" t="s">
        <v>215</v>
      </c>
      <c r="P48" s="418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</row>
    <row r="49" spans="1:82" s="389" customFormat="1" ht="36.75" customHeight="1">
      <c r="A49" s="383">
        <v>17</v>
      </c>
      <c r="B49" s="384" t="s">
        <v>3</v>
      </c>
      <c r="C49" s="384" t="s">
        <v>302</v>
      </c>
      <c r="D49" s="386" t="s">
        <v>24</v>
      </c>
      <c r="E49" s="387">
        <v>14000000</v>
      </c>
      <c r="F49" s="387">
        <v>5007600</v>
      </c>
      <c r="G49" s="387">
        <f t="shared" si="8"/>
        <v>525798</v>
      </c>
      <c r="H49" s="387">
        <f t="shared" ref="H49" si="11">21.5%*F49</f>
        <v>1076634</v>
      </c>
      <c r="I49" s="387"/>
      <c r="J49" s="387">
        <f t="shared" si="9"/>
        <v>14525798</v>
      </c>
      <c r="K49" s="387"/>
      <c r="L49" s="394" t="s">
        <v>240</v>
      </c>
      <c r="M49" s="392" t="s">
        <v>214</v>
      </c>
      <c r="N49" s="388" t="s">
        <v>138</v>
      </c>
      <c r="O49" s="388" t="s">
        <v>215</v>
      </c>
      <c r="P49" s="418"/>
      <c r="Q49" s="285" t="s">
        <v>369</v>
      </c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</row>
    <row r="50" spans="1:82" s="389" customFormat="1" ht="36.75" customHeight="1">
      <c r="A50" s="383">
        <v>18</v>
      </c>
      <c r="B50" s="384" t="s">
        <v>225</v>
      </c>
      <c r="C50" s="384" t="s">
        <v>302</v>
      </c>
      <c r="D50" s="386" t="s">
        <v>24</v>
      </c>
      <c r="E50" s="387">
        <f>6500000</f>
        <v>6500000</v>
      </c>
      <c r="F50" s="387">
        <v>5007600</v>
      </c>
      <c r="G50" s="387"/>
      <c r="H50" s="387"/>
      <c r="I50" s="387"/>
      <c r="J50" s="387">
        <f t="shared" si="9"/>
        <v>6500000</v>
      </c>
      <c r="K50" s="387"/>
      <c r="L50" s="423" t="s">
        <v>307</v>
      </c>
      <c r="M50" s="392" t="s">
        <v>248</v>
      </c>
      <c r="N50" s="424" t="s">
        <v>249</v>
      </c>
      <c r="O50" s="384" t="s">
        <v>225</v>
      </c>
      <c r="P50" s="387" t="s">
        <v>272</v>
      </c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  <c r="AM50" s="285"/>
      <c r="AN50" s="285"/>
      <c r="AO50" s="285"/>
      <c r="AP50" s="285"/>
      <c r="AQ50" s="285"/>
      <c r="AR50" s="285"/>
      <c r="AS50" s="285"/>
      <c r="AT50" s="285"/>
      <c r="AU50" s="285"/>
      <c r="AV50" s="285"/>
      <c r="AW50" s="285"/>
      <c r="AX50" s="285"/>
      <c r="AY50" s="285"/>
      <c r="AZ50" s="285"/>
      <c r="BA50" s="285"/>
      <c r="BB50" s="285"/>
      <c r="BC50" s="285"/>
      <c r="BD50" s="285"/>
      <c r="BE50" s="285"/>
      <c r="BF50" s="285"/>
      <c r="BG50" s="285"/>
      <c r="BH50" s="285"/>
      <c r="BI50" s="285"/>
      <c r="BJ50" s="285"/>
      <c r="BK50" s="28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</row>
    <row r="51" spans="1:82" s="389" customFormat="1" ht="48" customHeight="1">
      <c r="A51" s="383">
        <v>19</v>
      </c>
      <c r="B51" s="384" t="s">
        <v>202</v>
      </c>
      <c r="C51" s="384" t="s">
        <v>304</v>
      </c>
      <c r="D51" s="386" t="s">
        <v>24</v>
      </c>
      <c r="E51" s="404">
        <v>7000000</v>
      </c>
      <c r="F51" s="387">
        <v>5007600</v>
      </c>
      <c r="G51" s="387">
        <f>10.5%*F51</f>
        <v>525798</v>
      </c>
      <c r="H51" s="387">
        <f t="shared" si="10"/>
        <v>1076634</v>
      </c>
      <c r="I51" s="387"/>
      <c r="J51" s="387">
        <f t="shared" si="9"/>
        <v>7525798</v>
      </c>
      <c r="K51" s="387"/>
      <c r="L51" s="394" t="s">
        <v>240</v>
      </c>
      <c r="M51" s="392" t="s">
        <v>235</v>
      </c>
      <c r="N51" s="388" t="s">
        <v>64</v>
      </c>
      <c r="O51" s="388" t="s">
        <v>236</v>
      </c>
      <c r="P51" s="387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  <c r="AM51" s="285"/>
      <c r="AN51" s="285"/>
      <c r="AO51" s="285"/>
      <c r="AP51" s="285"/>
      <c r="AQ51" s="285"/>
      <c r="AR51" s="285"/>
      <c r="AS51" s="285"/>
      <c r="AT51" s="285"/>
      <c r="AU51" s="285"/>
      <c r="AV51" s="285"/>
      <c r="AW51" s="285"/>
      <c r="AX51" s="285"/>
      <c r="AY51" s="285"/>
      <c r="AZ51" s="285"/>
      <c r="BA51" s="285"/>
      <c r="BB51" s="285"/>
      <c r="BC51" s="285"/>
      <c r="BD51" s="285"/>
      <c r="BE51" s="285"/>
      <c r="BF51" s="285"/>
      <c r="BG51" s="285"/>
      <c r="BH51" s="285"/>
      <c r="BI51" s="285"/>
      <c r="BJ51" s="285"/>
      <c r="BK51" s="28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</row>
    <row r="52" spans="1:82" s="389" customFormat="1" ht="36.75" customHeight="1">
      <c r="A52" s="383">
        <v>20</v>
      </c>
      <c r="B52" s="384" t="s">
        <v>296</v>
      </c>
      <c r="C52" s="384" t="s">
        <v>304</v>
      </c>
      <c r="D52" s="386" t="s">
        <v>24</v>
      </c>
      <c r="E52" s="404">
        <v>7000000</v>
      </c>
      <c r="F52" s="387">
        <v>5007600</v>
      </c>
      <c r="G52" s="387">
        <f>10.5%*F52</f>
        <v>525798</v>
      </c>
      <c r="H52" s="387">
        <f t="shared" si="10"/>
        <v>1076634</v>
      </c>
      <c r="I52" s="387"/>
      <c r="J52" s="387">
        <f t="shared" si="9"/>
        <v>7525798</v>
      </c>
      <c r="K52" s="387"/>
      <c r="L52" s="394" t="s">
        <v>240</v>
      </c>
      <c r="M52" s="392" t="s">
        <v>244</v>
      </c>
      <c r="N52" s="388" t="s">
        <v>245</v>
      </c>
      <c r="O52" s="384" t="s">
        <v>205</v>
      </c>
      <c r="P52" s="387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</row>
    <row r="53" spans="1:82" s="389" customFormat="1" ht="36.75" customHeight="1">
      <c r="A53" s="383">
        <v>21</v>
      </c>
      <c r="B53" s="384" t="s">
        <v>206</v>
      </c>
      <c r="C53" s="384" t="s">
        <v>304</v>
      </c>
      <c r="D53" s="386" t="s">
        <v>24</v>
      </c>
      <c r="E53" s="387">
        <v>7000000</v>
      </c>
      <c r="F53" s="387">
        <v>5007600</v>
      </c>
      <c r="G53" s="387">
        <f>10.5%*F53</f>
        <v>525798</v>
      </c>
      <c r="H53" s="387">
        <f t="shared" si="10"/>
        <v>1076634</v>
      </c>
      <c r="I53" s="387"/>
      <c r="J53" s="387">
        <f t="shared" si="9"/>
        <v>7525798</v>
      </c>
      <c r="K53" s="387"/>
      <c r="L53" s="394" t="s">
        <v>240</v>
      </c>
      <c r="M53" s="392" t="s">
        <v>246</v>
      </c>
      <c r="N53" s="388" t="s">
        <v>64</v>
      </c>
      <c r="O53" s="384" t="s">
        <v>280</v>
      </c>
      <c r="P53" s="387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  <c r="AM53" s="285"/>
      <c r="AN53" s="285"/>
      <c r="AO53" s="285"/>
      <c r="AP53" s="285"/>
      <c r="AQ53" s="285"/>
      <c r="AR53" s="285"/>
      <c r="AS53" s="285"/>
      <c r="AT53" s="285"/>
      <c r="AU53" s="285"/>
      <c r="AV53" s="285"/>
      <c r="AW53" s="285"/>
      <c r="AX53" s="285"/>
      <c r="AY53" s="285"/>
      <c r="AZ53" s="285"/>
      <c r="BA53" s="285"/>
      <c r="BB53" s="285"/>
      <c r="BC53" s="285"/>
      <c r="BD53" s="285"/>
      <c r="BE53" s="285"/>
      <c r="BF53" s="285"/>
      <c r="BG53" s="285"/>
      <c r="BH53" s="285"/>
      <c r="BI53" s="285"/>
      <c r="BJ53" s="285"/>
      <c r="BK53" s="28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</row>
    <row r="54" spans="1:82" s="295" customFormat="1" ht="31.5" customHeight="1">
      <c r="A54" s="421" t="s">
        <v>365</v>
      </c>
      <c r="B54" s="472" t="s">
        <v>366</v>
      </c>
      <c r="C54" s="473"/>
      <c r="D54" s="474"/>
      <c r="E54" s="288">
        <f>+SUBTOTAL(9,E55:E55)</f>
        <v>6500000</v>
      </c>
      <c r="F54" s="288">
        <f t="shared" ref="F54:I54" si="12">+SUBTOTAL(9,F55:F55)</f>
        <v>5007600</v>
      </c>
      <c r="G54" s="288">
        <f t="shared" si="12"/>
        <v>525798</v>
      </c>
      <c r="H54" s="288">
        <f t="shared" si="12"/>
        <v>1076634</v>
      </c>
      <c r="I54" s="288">
        <f t="shared" si="12"/>
        <v>0</v>
      </c>
      <c r="J54" s="288">
        <f>+SUBTOTAL(9,J55:J55)</f>
        <v>7025798</v>
      </c>
      <c r="K54" s="288">
        <f>+SUBTOTAL(9,K55:K56)</f>
        <v>0</v>
      </c>
      <c r="L54" s="292"/>
      <c r="M54" s="293"/>
      <c r="N54" s="294"/>
      <c r="O54" s="294"/>
    </row>
    <row r="55" spans="1:82" ht="36.75" customHeight="1">
      <c r="A55" s="395">
        <v>1</v>
      </c>
      <c r="B55" s="396" t="s">
        <v>194</v>
      </c>
      <c r="C55" s="396" t="s">
        <v>303</v>
      </c>
      <c r="D55" s="397" t="s">
        <v>328</v>
      </c>
      <c r="E55" s="398">
        <v>6500000</v>
      </c>
      <c r="F55" s="398">
        <v>5007600</v>
      </c>
      <c r="G55" s="398">
        <f>10.5%*F55</f>
        <v>525798</v>
      </c>
      <c r="H55" s="398">
        <f>21.5%*F55</f>
        <v>1076634</v>
      </c>
      <c r="I55" s="398"/>
      <c r="J55" s="398">
        <f>+E55+G55+I55</f>
        <v>7025798</v>
      </c>
      <c r="K55" s="398"/>
      <c r="L55" s="399" t="s">
        <v>240</v>
      </c>
      <c r="M55" s="400" t="s">
        <v>232</v>
      </c>
      <c r="N55" s="401" t="s">
        <v>51</v>
      </c>
      <c r="O55" s="401" t="s">
        <v>194</v>
      </c>
      <c r="P55" s="419"/>
    </row>
    <row r="56" spans="1:82" s="326" customFormat="1" ht="19.5" customHeight="1">
      <c r="A56" s="321">
        <f>+SUBTOTAL(3,A4:A55)-4</f>
        <v>48</v>
      </c>
      <c r="B56" s="431" t="s">
        <v>299</v>
      </c>
      <c r="C56" s="408"/>
      <c r="D56" s="321"/>
      <c r="E56" s="321">
        <f>+SUBTOTAL(9,E4:E55)</f>
        <v>646337000</v>
      </c>
      <c r="F56" s="321">
        <f t="shared" ref="F56:J56" si="13">+SUBTOTAL(9,F4:F55)</f>
        <v>240857200</v>
      </c>
      <c r="G56" s="321">
        <f t="shared" si="13"/>
        <v>22661016</v>
      </c>
      <c r="H56" s="321">
        <f t="shared" si="13"/>
        <v>46401128</v>
      </c>
      <c r="I56" s="321">
        <f t="shared" si="13"/>
        <v>701072.39999999979</v>
      </c>
      <c r="J56" s="321">
        <f t="shared" si="13"/>
        <v>669699088.4000001</v>
      </c>
      <c r="K56" s="299"/>
      <c r="L56" s="324"/>
      <c r="M56" s="325"/>
      <c r="N56" s="289"/>
      <c r="O56" s="289"/>
    </row>
    <row r="57" spans="1:82" ht="22.5" customHeight="1">
      <c r="G57" s="370"/>
      <c r="H57" s="370"/>
      <c r="I57" s="370"/>
      <c r="L57" s="341"/>
    </row>
    <row r="58" spans="1:82" s="436" customFormat="1" ht="22.5" customHeight="1">
      <c r="A58" s="326"/>
      <c r="B58" s="470" t="s">
        <v>309</v>
      </c>
      <c r="C58" s="471"/>
      <c r="D58" s="432"/>
      <c r="E58" s="433"/>
      <c r="F58" s="433"/>
      <c r="G58" s="434"/>
      <c r="H58" s="434"/>
      <c r="I58" s="434"/>
      <c r="J58" s="435" t="s">
        <v>311</v>
      </c>
      <c r="K58" s="435"/>
      <c r="L58" s="331"/>
      <c r="N58" s="437"/>
      <c r="O58" s="437"/>
      <c r="P58" s="326"/>
      <c r="Q58" s="326"/>
      <c r="R58" s="326"/>
    </row>
    <row r="59" spans="1:82" s="283" customFormat="1" ht="22.5" customHeight="1">
      <c r="A59" s="285"/>
      <c r="B59" s="285"/>
      <c r="C59" s="409"/>
      <c r="D59" s="334"/>
      <c r="E59" s="336"/>
      <c r="F59" s="336"/>
      <c r="G59" s="370"/>
      <c r="H59" s="370"/>
      <c r="I59" s="370"/>
      <c r="J59" s="336"/>
      <c r="K59" s="336"/>
      <c r="L59" s="341"/>
      <c r="N59" s="284"/>
      <c r="O59" s="284"/>
      <c r="P59" s="285"/>
      <c r="Q59" s="285"/>
      <c r="R59" s="285"/>
    </row>
    <row r="60" spans="1:82" s="283" customFormat="1" ht="22.5" customHeight="1">
      <c r="A60" s="285"/>
      <c r="B60" s="285"/>
      <c r="C60" s="409"/>
      <c r="D60" s="334"/>
      <c r="E60" s="336"/>
      <c r="F60" s="336"/>
      <c r="G60" s="370"/>
      <c r="H60" s="370"/>
      <c r="I60" s="370"/>
      <c r="J60" s="336"/>
      <c r="K60" s="336"/>
      <c r="L60" s="341"/>
      <c r="N60" s="284"/>
      <c r="O60" s="284"/>
      <c r="P60" s="285"/>
      <c r="Q60" s="285"/>
      <c r="R60" s="285"/>
    </row>
    <row r="61" spans="1:82" s="283" customFormat="1" ht="22.5" customHeight="1">
      <c r="A61" s="285"/>
      <c r="B61" s="285"/>
      <c r="C61" s="409"/>
      <c r="D61" s="334"/>
      <c r="E61" s="336"/>
      <c r="F61" s="336"/>
      <c r="G61" s="370"/>
      <c r="H61" s="370"/>
      <c r="I61" s="370"/>
      <c r="J61" s="336"/>
      <c r="K61" s="336"/>
      <c r="L61" s="341"/>
      <c r="N61" s="284"/>
      <c r="O61" s="284"/>
      <c r="P61" s="285"/>
      <c r="Q61" s="285"/>
      <c r="R61" s="285"/>
    </row>
    <row r="62" spans="1:82" s="283" customFormat="1" ht="22.5" customHeight="1">
      <c r="A62" s="285"/>
      <c r="B62" s="285"/>
      <c r="C62" s="409"/>
      <c r="D62" s="334"/>
      <c r="E62" s="336"/>
      <c r="F62" s="336"/>
      <c r="G62" s="370"/>
      <c r="H62" s="370"/>
      <c r="I62" s="370"/>
      <c r="J62" s="336"/>
      <c r="K62" s="336"/>
      <c r="L62" s="341"/>
      <c r="N62" s="284"/>
      <c r="O62" s="284"/>
      <c r="P62" s="285"/>
      <c r="Q62" s="285"/>
      <c r="R62" s="285"/>
    </row>
    <row r="63" spans="1:82" s="283" customFormat="1" ht="22.5" customHeight="1">
      <c r="A63" s="285"/>
      <c r="B63" s="285"/>
      <c r="C63" s="409"/>
      <c r="D63" s="334"/>
      <c r="E63" s="336"/>
      <c r="F63" s="336"/>
      <c r="G63" s="370"/>
      <c r="H63" s="370"/>
      <c r="I63" s="370"/>
      <c r="J63" s="336"/>
      <c r="K63" s="336"/>
      <c r="L63" s="341"/>
      <c r="N63" s="284"/>
      <c r="O63" s="284"/>
      <c r="P63" s="285"/>
      <c r="Q63" s="285"/>
      <c r="R63" s="285"/>
    </row>
    <row r="64" spans="1:82" s="283" customFormat="1" ht="22.5" customHeight="1">
      <c r="A64" s="285"/>
      <c r="B64" s="285"/>
      <c r="C64" s="409"/>
      <c r="D64" s="334"/>
      <c r="E64" s="336"/>
      <c r="F64" s="336"/>
      <c r="G64" s="370"/>
      <c r="H64" s="370"/>
      <c r="I64" s="370"/>
      <c r="J64" s="336"/>
      <c r="K64" s="336"/>
      <c r="L64" s="341"/>
      <c r="N64" s="284"/>
      <c r="O64" s="284"/>
      <c r="P64" s="285"/>
      <c r="Q64" s="285"/>
      <c r="R64" s="285"/>
    </row>
    <row r="65" spans="1:18" s="283" customFormat="1" ht="22.5" customHeight="1">
      <c r="A65" s="285"/>
      <c r="B65" s="285"/>
      <c r="C65" s="409"/>
      <c r="D65" s="334"/>
      <c r="E65" s="336"/>
      <c r="F65" s="336"/>
      <c r="G65" s="370"/>
      <c r="H65" s="370"/>
      <c r="I65" s="370"/>
      <c r="J65" s="336"/>
      <c r="K65" s="336"/>
      <c r="L65" s="341"/>
      <c r="N65" s="284"/>
      <c r="O65" s="284"/>
      <c r="P65" s="285"/>
      <c r="Q65" s="285"/>
      <c r="R65" s="285"/>
    </row>
    <row r="66" spans="1:18" s="283" customFormat="1" ht="22.5" customHeight="1">
      <c r="A66" s="285"/>
      <c r="B66" s="285"/>
      <c r="C66" s="409"/>
      <c r="D66" s="334"/>
      <c r="E66" s="336"/>
      <c r="F66" s="336"/>
      <c r="G66" s="370"/>
      <c r="H66" s="370"/>
      <c r="I66" s="370"/>
      <c r="J66" s="336"/>
      <c r="K66" s="336"/>
      <c r="L66" s="341"/>
      <c r="N66" s="284"/>
      <c r="O66" s="284"/>
      <c r="P66" s="285"/>
      <c r="Q66" s="285"/>
      <c r="R66" s="285"/>
    </row>
    <row r="67" spans="1:18" s="283" customFormat="1" ht="22.5" customHeight="1">
      <c r="A67" s="285"/>
      <c r="B67" s="285"/>
      <c r="C67" s="409"/>
      <c r="D67" s="334"/>
      <c r="E67" s="336"/>
      <c r="F67" s="336"/>
      <c r="G67" s="370"/>
      <c r="H67" s="370"/>
      <c r="I67" s="370"/>
      <c r="J67" s="336"/>
      <c r="K67" s="336"/>
      <c r="L67" s="341"/>
      <c r="N67" s="284"/>
      <c r="O67" s="284"/>
      <c r="P67" s="285"/>
      <c r="Q67" s="285"/>
      <c r="R67" s="285"/>
    </row>
    <row r="68" spans="1:18" s="283" customFormat="1" ht="22.5" customHeight="1">
      <c r="A68" s="285"/>
      <c r="B68" s="285"/>
      <c r="C68" s="409"/>
      <c r="D68" s="334"/>
      <c r="E68" s="336"/>
      <c r="F68" s="336"/>
      <c r="G68" s="370"/>
      <c r="H68" s="370"/>
      <c r="I68" s="370"/>
      <c r="J68" s="336"/>
      <c r="K68" s="336"/>
      <c r="L68" s="341"/>
      <c r="N68" s="284"/>
      <c r="O68" s="284"/>
      <c r="P68" s="285"/>
      <c r="Q68" s="285"/>
      <c r="R68" s="285"/>
    </row>
    <row r="69" spans="1:18" s="283" customFormat="1" ht="22.5" customHeight="1">
      <c r="A69" s="285"/>
      <c r="B69" s="285"/>
      <c r="C69" s="409"/>
      <c r="D69" s="334"/>
      <c r="E69" s="336"/>
      <c r="F69" s="336"/>
      <c r="G69" s="370"/>
      <c r="H69" s="370"/>
      <c r="I69" s="370"/>
      <c r="J69" s="336"/>
      <c r="K69" s="336"/>
      <c r="L69" s="341"/>
      <c r="N69" s="284"/>
      <c r="O69" s="284"/>
      <c r="P69" s="285"/>
      <c r="Q69" s="285"/>
      <c r="R69" s="285"/>
    </row>
    <row r="70" spans="1:18" s="283" customFormat="1" ht="22.5" customHeight="1">
      <c r="A70" s="285"/>
      <c r="B70" s="285"/>
      <c r="C70" s="409"/>
      <c r="D70" s="334"/>
      <c r="E70" s="336"/>
      <c r="F70" s="336"/>
      <c r="G70" s="370"/>
      <c r="H70" s="370"/>
      <c r="I70" s="370"/>
      <c r="J70" s="336"/>
      <c r="K70" s="336"/>
      <c r="L70" s="341"/>
      <c r="N70" s="284"/>
      <c r="O70" s="284"/>
      <c r="P70" s="285"/>
      <c r="Q70" s="285"/>
      <c r="R70" s="285"/>
    </row>
  </sheetData>
  <autoFilter ref="A3:O70"/>
  <sortState ref="A4:Q50">
    <sortCondition ref="D4:D50"/>
  </sortState>
  <mergeCells count="7">
    <mergeCell ref="A1:L1"/>
    <mergeCell ref="A2:L2"/>
    <mergeCell ref="B58:C58"/>
    <mergeCell ref="B4:D4"/>
    <mergeCell ref="B11:D11"/>
    <mergeCell ref="B32:D32"/>
    <mergeCell ref="B54:D54"/>
  </mergeCells>
  <printOptions horizontalCentered="1"/>
  <pageMargins left="0.2" right="0" top="0.5" bottom="0.2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C36"/>
  <sheetViews>
    <sheetView tabSelected="1" zoomScale="90" zoomScaleNormal="90" workbookViewId="0">
      <pane ySplit="3" topLeftCell="A4" activePane="bottomLeft" state="frozen"/>
      <selection pane="bottomLeft" activeCell="K13" sqref="K13"/>
    </sheetView>
  </sheetViews>
  <sheetFormatPr defaultRowHeight="22.5" customHeight="1"/>
  <cols>
    <col min="1" max="1" width="7.85546875" style="446" customWidth="1"/>
    <col min="2" max="2" width="28.85546875" style="285" customWidth="1"/>
    <col min="3" max="3" width="18.42578125" style="409" customWidth="1"/>
    <col min="4" max="4" width="16.85546875" style="334" customWidth="1"/>
    <col min="5" max="16384" width="9.140625" style="285"/>
  </cols>
  <sheetData>
    <row r="1" spans="1:55" ht="22.5" customHeight="1">
      <c r="A1" s="476" t="s">
        <v>386</v>
      </c>
      <c r="B1" s="476"/>
      <c r="C1" s="476"/>
      <c r="D1" s="476"/>
    </row>
    <row r="2" spans="1:55" ht="22.5" customHeight="1">
      <c r="A2" s="477"/>
      <c r="B2" s="477"/>
      <c r="C2" s="477"/>
      <c r="D2" s="477"/>
    </row>
    <row r="3" spans="1:55" s="295" customFormat="1" ht="63" customHeight="1">
      <c r="A3" s="453" t="s">
        <v>20</v>
      </c>
      <c r="B3" s="453" t="s">
        <v>13</v>
      </c>
      <c r="C3" s="454" t="s">
        <v>90</v>
      </c>
      <c r="D3" s="455" t="s">
        <v>371</v>
      </c>
    </row>
    <row r="4" spans="1:55" s="346" customFormat="1" ht="19.5" customHeight="1">
      <c r="A4" s="456">
        <v>1</v>
      </c>
      <c r="B4" s="451" t="s">
        <v>8</v>
      </c>
      <c r="C4" s="451" t="s">
        <v>301</v>
      </c>
      <c r="D4" s="450" t="s">
        <v>372</v>
      </c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7"/>
      <c r="AH4" s="447"/>
      <c r="AI4" s="447"/>
      <c r="AJ4" s="447"/>
      <c r="AK4" s="447"/>
      <c r="AL4" s="447"/>
      <c r="AM4" s="447"/>
      <c r="AN4" s="447"/>
      <c r="AO4" s="447"/>
      <c r="AP4" s="447"/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  <c r="BB4" s="447"/>
      <c r="BC4" s="447"/>
    </row>
    <row r="5" spans="1:55" s="379" customFormat="1" ht="19.5" customHeight="1">
      <c r="A5" s="456">
        <v>2</v>
      </c>
      <c r="B5" s="451" t="s">
        <v>10</v>
      </c>
      <c r="C5" s="457" t="s">
        <v>93</v>
      </c>
      <c r="D5" s="450" t="s">
        <v>373</v>
      </c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  <c r="AP5" s="447"/>
      <c r="AQ5" s="447"/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47"/>
      <c r="BC5" s="447"/>
    </row>
    <row r="6" spans="1:55" s="379" customFormat="1" ht="19.5" customHeight="1">
      <c r="A6" s="456">
        <v>3</v>
      </c>
      <c r="B6" s="451" t="s">
        <v>134</v>
      </c>
      <c r="C6" s="457" t="s">
        <v>93</v>
      </c>
      <c r="D6" s="450" t="s">
        <v>374</v>
      </c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7"/>
      <c r="AH6" s="447"/>
      <c r="AI6" s="447"/>
      <c r="AJ6" s="447"/>
      <c r="AK6" s="447"/>
      <c r="AL6" s="447"/>
      <c r="AM6" s="447"/>
      <c r="AN6" s="447"/>
      <c r="AO6" s="447"/>
      <c r="AP6" s="447"/>
      <c r="AQ6" s="447"/>
      <c r="AR6" s="447"/>
      <c r="AS6" s="447"/>
      <c r="AT6" s="447"/>
      <c r="AU6" s="447"/>
      <c r="AV6" s="447"/>
      <c r="AW6" s="447"/>
      <c r="AX6" s="447"/>
      <c r="AY6" s="447"/>
      <c r="AZ6" s="447"/>
      <c r="BA6" s="447"/>
      <c r="BB6" s="447"/>
      <c r="BC6" s="447"/>
    </row>
    <row r="7" spans="1:55" s="379" customFormat="1" ht="19.5" customHeight="1">
      <c r="A7" s="456">
        <v>4</v>
      </c>
      <c r="B7" s="451" t="s">
        <v>44</v>
      </c>
      <c r="C7" s="457" t="s">
        <v>95</v>
      </c>
      <c r="D7" s="450" t="s">
        <v>375</v>
      </c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</row>
    <row r="8" spans="1:55" s="379" customFormat="1" ht="21" customHeight="1">
      <c r="A8" s="456">
        <v>5</v>
      </c>
      <c r="B8" s="451" t="s">
        <v>298</v>
      </c>
      <c r="C8" s="451" t="s">
        <v>302</v>
      </c>
      <c r="D8" s="450" t="s">
        <v>376</v>
      </c>
      <c r="E8" s="447"/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/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/>
      <c r="BB8" s="447"/>
      <c r="BC8" s="447"/>
    </row>
    <row r="9" spans="1:55" s="442" customFormat="1" ht="19.5" customHeight="1">
      <c r="A9" s="456">
        <v>6</v>
      </c>
      <c r="B9" s="451" t="s">
        <v>38</v>
      </c>
      <c r="C9" s="457" t="s">
        <v>94</v>
      </c>
      <c r="D9" s="450" t="s">
        <v>377</v>
      </c>
      <c r="E9" s="447"/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  <c r="AA9" s="447"/>
      <c r="AB9" s="447"/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7"/>
      <c r="AR9" s="447"/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</row>
    <row r="10" spans="1:55" s="442" customFormat="1" ht="19.5" customHeight="1">
      <c r="A10" s="456">
        <v>7</v>
      </c>
      <c r="B10" s="451" t="s">
        <v>40</v>
      </c>
      <c r="C10" s="457" t="s">
        <v>94</v>
      </c>
      <c r="D10" s="450" t="s">
        <v>378</v>
      </c>
      <c r="E10" s="447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47"/>
      <c r="AI10" s="447"/>
      <c r="AJ10" s="447"/>
      <c r="AK10" s="447"/>
      <c r="AL10" s="447"/>
      <c r="AM10" s="447"/>
      <c r="AN10" s="447"/>
      <c r="AO10" s="447"/>
      <c r="AP10" s="447"/>
      <c r="AQ10" s="447"/>
      <c r="AR10" s="447"/>
      <c r="AS10" s="447"/>
      <c r="AT10" s="447"/>
      <c r="AU10" s="447"/>
      <c r="AV10" s="447"/>
      <c r="AW10" s="447"/>
      <c r="AX10" s="447"/>
      <c r="AY10" s="447"/>
      <c r="AZ10" s="447"/>
      <c r="BA10" s="447"/>
      <c r="BB10" s="447"/>
      <c r="BC10" s="447"/>
    </row>
    <row r="11" spans="1:55" s="442" customFormat="1" ht="19.5" customHeight="1">
      <c r="A11" s="456">
        <v>8</v>
      </c>
      <c r="B11" s="451" t="s">
        <v>128</v>
      </c>
      <c r="C11" s="451" t="s">
        <v>95</v>
      </c>
      <c r="D11" s="450" t="s">
        <v>379</v>
      </c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</row>
    <row r="12" spans="1:55" s="442" customFormat="1" ht="27.75" customHeight="1">
      <c r="A12" s="456">
        <v>9</v>
      </c>
      <c r="B12" s="451" t="s">
        <v>121</v>
      </c>
      <c r="C12" s="457" t="s">
        <v>96</v>
      </c>
      <c r="D12" s="450" t="s">
        <v>380</v>
      </c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  <c r="AW12" s="447"/>
      <c r="AX12" s="447"/>
      <c r="AY12" s="447"/>
      <c r="AZ12" s="447"/>
      <c r="BA12" s="447"/>
      <c r="BB12" s="447"/>
      <c r="BC12" s="447"/>
    </row>
    <row r="13" spans="1:55" s="443" customFormat="1" ht="22.5" customHeight="1">
      <c r="A13" s="456">
        <v>10</v>
      </c>
      <c r="B13" s="451" t="s">
        <v>284</v>
      </c>
      <c r="C13" s="451" t="s">
        <v>304</v>
      </c>
      <c r="D13" s="450" t="s">
        <v>381</v>
      </c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48"/>
      <c r="AX13" s="448"/>
      <c r="AY13" s="448"/>
      <c r="AZ13" s="448"/>
      <c r="BA13" s="448"/>
      <c r="BB13" s="448"/>
      <c r="BC13" s="448"/>
    </row>
    <row r="14" spans="1:55" s="444" customFormat="1" ht="25.5" customHeight="1">
      <c r="A14" s="456">
        <v>11</v>
      </c>
      <c r="B14" s="451" t="s">
        <v>370</v>
      </c>
      <c r="C14" s="451" t="s">
        <v>93</v>
      </c>
      <c r="D14" s="450" t="s">
        <v>382</v>
      </c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49"/>
      <c r="U14" s="449"/>
      <c r="V14" s="449"/>
      <c r="W14" s="449"/>
      <c r="X14" s="449"/>
      <c r="Y14" s="449"/>
      <c r="Z14" s="449"/>
      <c r="AA14" s="449"/>
      <c r="AB14" s="449"/>
      <c r="AC14" s="449"/>
      <c r="AD14" s="449"/>
      <c r="AE14" s="449"/>
      <c r="AF14" s="449"/>
      <c r="AG14" s="449"/>
      <c r="AH14" s="449"/>
      <c r="AI14" s="449"/>
      <c r="AJ14" s="449"/>
      <c r="AK14" s="449"/>
      <c r="AL14" s="449"/>
      <c r="AM14" s="449"/>
      <c r="AN14" s="449"/>
      <c r="AO14" s="449"/>
      <c r="AP14" s="449"/>
      <c r="AQ14" s="449"/>
      <c r="AR14" s="449"/>
      <c r="AS14" s="449"/>
      <c r="AT14" s="449"/>
      <c r="AU14" s="449"/>
      <c r="AV14" s="449"/>
      <c r="AW14" s="449"/>
      <c r="AX14" s="449"/>
      <c r="AY14" s="449"/>
      <c r="AZ14" s="449"/>
      <c r="BA14" s="449"/>
      <c r="BB14" s="449"/>
      <c r="BC14" s="449"/>
    </row>
    <row r="15" spans="1:55" s="442" customFormat="1" ht="27" customHeight="1">
      <c r="A15" s="456">
        <v>12</v>
      </c>
      <c r="B15" s="451" t="s">
        <v>383</v>
      </c>
      <c r="C15" s="451" t="s">
        <v>384</v>
      </c>
      <c r="D15" s="450" t="s">
        <v>385</v>
      </c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7"/>
      <c r="AX15" s="447"/>
      <c r="AY15" s="447"/>
      <c r="AZ15" s="447"/>
      <c r="BA15" s="447"/>
      <c r="BB15" s="447"/>
      <c r="BC15" s="447"/>
    </row>
    <row r="16" spans="1:55" s="439" customFormat="1" ht="19.5" customHeight="1">
      <c r="A16" s="475" t="s">
        <v>299</v>
      </c>
      <c r="B16" s="475"/>
      <c r="C16" s="458"/>
      <c r="D16" s="459"/>
    </row>
    <row r="17" spans="1:4" s="326" customFormat="1" ht="19.5" customHeight="1">
      <c r="A17" s="452"/>
      <c r="B17" s="328"/>
      <c r="C17" s="440"/>
      <c r="D17" s="331"/>
    </row>
    <row r="18" spans="1:4" ht="21" customHeight="1">
      <c r="D18" s="336"/>
    </row>
    <row r="19" spans="1:4" ht="21" customHeight="1"/>
    <row r="20" spans="1:4" ht="19.5" customHeight="1">
      <c r="B20" s="337"/>
      <c r="C20" s="441"/>
      <c r="D20" s="341"/>
    </row>
    <row r="21" spans="1:4" ht="19.5" customHeight="1">
      <c r="B21" s="337"/>
      <c r="C21" s="441"/>
      <c r="D21" s="341"/>
    </row>
    <row r="22" spans="1:4" ht="18.75" customHeight="1">
      <c r="B22" s="337"/>
      <c r="C22" s="441"/>
      <c r="D22" s="341"/>
    </row>
    <row r="23" spans="1:4" ht="22.5" customHeight="1">
      <c r="D23" s="341"/>
    </row>
    <row r="24" spans="1:4" s="436" customFormat="1" ht="22.5" customHeight="1">
      <c r="A24" s="445"/>
      <c r="B24" s="470"/>
      <c r="C24" s="470"/>
      <c r="D24" s="331"/>
    </row>
    <row r="25" spans="1:4" s="283" customFormat="1" ht="22.5" customHeight="1">
      <c r="A25" s="446"/>
      <c r="B25" s="285"/>
      <c r="C25" s="409"/>
      <c r="D25" s="341"/>
    </row>
    <row r="26" spans="1:4" s="283" customFormat="1" ht="22.5" customHeight="1">
      <c r="A26" s="446"/>
      <c r="B26" s="285"/>
      <c r="C26" s="409"/>
      <c r="D26" s="341"/>
    </row>
    <row r="27" spans="1:4" s="283" customFormat="1" ht="22.5" customHeight="1">
      <c r="A27" s="446"/>
      <c r="B27" s="285"/>
      <c r="C27" s="409"/>
      <c r="D27" s="341"/>
    </row>
    <row r="28" spans="1:4" s="283" customFormat="1" ht="22.5" customHeight="1">
      <c r="A28" s="446"/>
      <c r="B28" s="285"/>
      <c r="C28" s="409"/>
      <c r="D28" s="341"/>
    </row>
    <row r="29" spans="1:4" s="283" customFormat="1" ht="22.5" customHeight="1">
      <c r="A29" s="446"/>
      <c r="B29" s="285"/>
      <c r="C29" s="409"/>
      <c r="D29" s="341"/>
    </row>
    <row r="30" spans="1:4" s="283" customFormat="1" ht="22.5" customHeight="1">
      <c r="A30" s="446"/>
      <c r="B30" s="285"/>
      <c r="C30" s="409"/>
      <c r="D30" s="341"/>
    </row>
    <row r="31" spans="1:4" s="283" customFormat="1" ht="22.5" customHeight="1">
      <c r="A31" s="446"/>
      <c r="B31" s="285"/>
      <c r="C31" s="409"/>
      <c r="D31" s="341"/>
    </row>
    <row r="32" spans="1:4" s="283" customFormat="1" ht="22.5" customHeight="1">
      <c r="A32" s="446"/>
      <c r="B32" s="285"/>
      <c r="C32" s="409"/>
      <c r="D32" s="341"/>
    </row>
    <row r="33" spans="1:4" s="283" customFormat="1" ht="22.5" customHeight="1">
      <c r="A33" s="446"/>
      <c r="B33" s="285"/>
      <c r="C33" s="409"/>
      <c r="D33" s="341"/>
    </row>
    <row r="34" spans="1:4" s="283" customFormat="1" ht="22.5" customHeight="1">
      <c r="A34" s="446"/>
      <c r="B34" s="285"/>
      <c r="C34" s="409"/>
      <c r="D34" s="341"/>
    </row>
    <row r="35" spans="1:4" s="283" customFormat="1" ht="22.5" customHeight="1">
      <c r="A35" s="446"/>
      <c r="B35" s="285"/>
      <c r="C35" s="409"/>
      <c r="D35" s="341"/>
    </row>
    <row r="36" spans="1:4" s="283" customFormat="1" ht="22.5" customHeight="1">
      <c r="A36" s="446"/>
      <c r="B36" s="285"/>
      <c r="C36" s="409"/>
      <c r="D36" s="341"/>
    </row>
  </sheetData>
  <mergeCells count="3">
    <mergeCell ref="A16:B16"/>
    <mergeCell ref="B24:C24"/>
    <mergeCell ref="A1:D2"/>
  </mergeCells>
  <printOptions horizontalCentered="1"/>
  <pageMargins left="0.2" right="0" top="0.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Tháng 01</vt:lpstr>
      <vt:lpstr>DS chưa tham gia bhxh</vt:lpstr>
      <vt:lpstr>DS NV được tiền cống hiến </vt:lpstr>
      <vt:lpstr>tháng 2</vt:lpstr>
      <vt:lpstr>tháng 3</vt:lpstr>
      <vt:lpstr>tháng 4</vt:lpstr>
      <vt:lpstr>tháng 4 (2)</vt:lpstr>
      <vt:lpstr>Final Lương gross Từ T9.2023</vt:lpstr>
      <vt:lpstr>Snh nhật quý 4.2024</vt:lpstr>
      <vt:lpstr>Tháng 8</vt:lpstr>
      <vt:lpstr>Tháng 7-final</vt:lpstr>
      <vt:lpstr>Thưởng 2.9</vt:lpstr>
      <vt:lpstr>Tháng 8-final</vt:lpstr>
      <vt:lpstr>tháng 5</vt:lpstr>
      <vt:lpstr>tháng 6</vt:lpstr>
      <vt:lpstr>Sheet2</vt:lpstr>
      <vt:lpstr>'DS chưa tham gia bhxh'!Print_Titles</vt:lpstr>
      <vt:lpstr>'DS NV được tiền cống hiến '!Print_Titles</vt:lpstr>
      <vt:lpstr>'Final Lương gross Từ T9.2023'!Print_Titles</vt:lpstr>
      <vt:lpstr>'Snh nhật quý 4.2024'!Print_Titles</vt:lpstr>
      <vt:lpstr>'Tháng 01'!Print_Titles</vt:lpstr>
      <vt:lpstr>'tháng 2'!Print_Titles</vt:lpstr>
      <vt:lpstr>'tháng 3'!Print_Titles</vt:lpstr>
      <vt:lpstr>'tháng 4'!Print_Titles</vt:lpstr>
      <vt:lpstr>'tháng 4 (2)'!Print_Titles</vt:lpstr>
      <vt:lpstr>'tháng 5'!Print_Titles</vt:lpstr>
      <vt:lpstr>'tháng 6'!Print_Titles</vt:lpstr>
      <vt:lpstr>'Tháng 7-final'!Print_Titles</vt:lpstr>
      <vt:lpstr>'Tháng 8'!Print_Titles</vt:lpstr>
      <vt:lpstr>'Tháng 8-final'!Print_Titles</vt:lpstr>
      <vt:lpstr>'Thưởng 2.9'!Print_Titles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Anh Hong</cp:lastModifiedBy>
  <cp:lastPrinted>2025-01-09T07:02:11Z</cp:lastPrinted>
  <dcterms:created xsi:type="dcterms:W3CDTF">2021-01-07T03:55:53Z</dcterms:created>
  <dcterms:modified xsi:type="dcterms:W3CDTF">2025-01-09T07:54:59Z</dcterms:modified>
</cp:coreProperties>
</file>