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55" yWindow="-195" windowWidth="21420" windowHeight="12720" activeTab="3"/>
  </bookViews>
  <sheets>
    <sheet name="benchmark" sheetId="1" r:id="rId1"/>
    <sheet name="Sheet2" sheetId="2" r:id="rId2"/>
    <sheet name="bias_comparison" sheetId="3" r:id="rId3"/>
    <sheet name="channel_comparison" sheetId="4" r:id="rId4"/>
  </sheets>
  <calcPr calcId="145621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4" i="3"/>
  <c r="AM31" i="1"/>
  <c r="AN31" i="1"/>
  <c r="AL31" i="1"/>
  <c r="AL30" i="1" l="1"/>
  <c r="AN30" i="1"/>
  <c r="AM30" i="1"/>
  <c r="AH2" i="1" l="1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G1" i="2"/>
  <c r="F1" i="2"/>
  <c r="E1" i="2"/>
  <c r="O4" i="1"/>
  <c r="O5" i="1"/>
  <c r="O6" i="1"/>
  <c r="O8" i="1"/>
  <c r="O12" i="1"/>
  <c r="O13" i="1"/>
  <c r="O14" i="1"/>
  <c r="O16" i="1"/>
  <c r="O20" i="1"/>
  <c r="O21" i="1"/>
  <c r="O22" i="1"/>
  <c r="O24" i="1"/>
  <c r="O2" i="1"/>
  <c r="T2" i="1"/>
  <c r="U2" i="1"/>
  <c r="T3" i="1"/>
  <c r="U3" i="1"/>
  <c r="T4" i="1"/>
  <c r="U4" i="1"/>
  <c r="W4" i="1"/>
  <c r="O3" i="1" s="1"/>
  <c r="X4" i="1"/>
  <c r="T5" i="1"/>
  <c r="U5" i="1"/>
  <c r="T6" i="1"/>
  <c r="U6" i="1"/>
  <c r="W6" i="1"/>
  <c r="R8" i="1" s="1"/>
  <c r="T7" i="1"/>
  <c r="U7" i="1"/>
  <c r="T8" i="1"/>
  <c r="U8" i="1"/>
  <c r="T9" i="1"/>
  <c r="U9" i="1"/>
  <c r="V9" i="1"/>
  <c r="W9" i="1"/>
  <c r="Z9" i="1"/>
  <c r="T10" i="1"/>
  <c r="U10" i="1"/>
  <c r="S11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S19" i="1"/>
  <c r="T19" i="1"/>
  <c r="U19" i="1"/>
  <c r="W19" i="1"/>
  <c r="T20" i="1"/>
  <c r="U20" i="1"/>
  <c r="T21" i="1"/>
  <c r="U21" i="1"/>
  <c r="T22" i="1"/>
  <c r="U22" i="1"/>
  <c r="T23" i="1"/>
  <c r="U23" i="1"/>
  <c r="T24" i="1"/>
  <c r="U24" i="1"/>
  <c r="S25" i="1"/>
  <c r="T25" i="1"/>
  <c r="U25" i="1"/>
  <c r="W25" i="1"/>
  <c r="T26" i="1"/>
  <c r="U26" i="1"/>
  <c r="T27" i="1"/>
  <c r="U27" i="1"/>
  <c r="W27" i="1"/>
  <c r="C35" i="1"/>
  <c r="C34" i="1"/>
  <c r="AJ27" i="1"/>
  <c r="AI27" i="1"/>
  <c r="AH27" i="1"/>
  <c r="AD27" i="1"/>
  <c r="AE27" i="1" s="1"/>
  <c r="H27" i="1"/>
  <c r="E27" i="1"/>
  <c r="AJ26" i="1"/>
  <c r="AI26" i="1"/>
  <c r="AH26" i="1"/>
  <c r="AD26" i="1"/>
  <c r="AE26" i="1" s="1"/>
  <c r="H26" i="1"/>
  <c r="E26" i="1"/>
  <c r="AJ25" i="1"/>
  <c r="AI25" i="1"/>
  <c r="AH25" i="1"/>
  <c r="AD25" i="1"/>
  <c r="AE25" i="1" s="1"/>
  <c r="H25" i="1"/>
  <c r="E25" i="1"/>
  <c r="AJ24" i="1"/>
  <c r="AI24" i="1"/>
  <c r="AH24" i="1"/>
  <c r="AD24" i="1"/>
  <c r="AF24" i="1" s="1"/>
  <c r="H24" i="1"/>
  <c r="E24" i="1"/>
  <c r="AJ23" i="1"/>
  <c r="AI23" i="1"/>
  <c r="AH23" i="1"/>
  <c r="AD23" i="1"/>
  <c r="AE23" i="1" s="1"/>
  <c r="H23" i="1"/>
  <c r="E23" i="1"/>
  <c r="AJ22" i="1"/>
  <c r="AI22" i="1"/>
  <c r="AH22" i="1"/>
  <c r="AD22" i="1"/>
  <c r="AE22" i="1" s="1"/>
  <c r="H22" i="1"/>
  <c r="E22" i="1"/>
  <c r="AJ21" i="1"/>
  <c r="AI21" i="1"/>
  <c r="AH21" i="1"/>
  <c r="AD21" i="1"/>
  <c r="AE21" i="1" s="1"/>
  <c r="H21" i="1"/>
  <c r="E21" i="1"/>
  <c r="AJ20" i="1"/>
  <c r="AI20" i="1"/>
  <c r="AH20" i="1"/>
  <c r="AD20" i="1"/>
  <c r="AF20" i="1" s="1"/>
  <c r="H20" i="1"/>
  <c r="E20" i="1"/>
  <c r="AJ19" i="1"/>
  <c r="AI19" i="1"/>
  <c r="AH19" i="1"/>
  <c r="AD19" i="1"/>
  <c r="AE19" i="1" s="1"/>
  <c r="H19" i="1"/>
  <c r="E19" i="1"/>
  <c r="AJ18" i="1"/>
  <c r="AI18" i="1"/>
  <c r="AH18" i="1"/>
  <c r="AD18" i="1"/>
  <c r="AE18" i="1" s="1"/>
  <c r="H18" i="1"/>
  <c r="E18" i="1"/>
  <c r="AJ17" i="1"/>
  <c r="AI17" i="1"/>
  <c r="AH17" i="1"/>
  <c r="AD17" i="1"/>
  <c r="AF17" i="1" s="1"/>
  <c r="H17" i="1"/>
  <c r="E17" i="1"/>
  <c r="AJ16" i="1"/>
  <c r="AI16" i="1"/>
  <c r="AH16" i="1"/>
  <c r="AD16" i="1"/>
  <c r="AF16" i="1" s="1"/>
  <c r="H16" i="1"/>
  <c r="E16" i="1"/>
  <c r="AJ15" i="1"/>
  <c r="AI15" i="1"/>
  <c r="AH15" i="1"/>
  <c r="AD15" i="1"/>
  <c r="AF15" i="1" s="1"/>
  <c r="H15" i="1"/>
  <c r="E15" i="1"/>
  <c r="AJ14" i="1"/>
  <c r="AI14" i="1"/>
  <c r="AH14" i="1"/>
  <c r="AD14" i="1"/>
  <c r="AF14" i="1" s="1"/>
  <c r="H14" i="1"/>
  <c r="E14" i="1"/>
  <c r="AJ13" i="1"/>
  <c r="AI13" i="1"/>
  <c r="AH13" i="1"/>
  <c r="AD13" i="1"/>
  <c r="AF13" i="1" s="1"/>
  <c r="H13" i="1"/>
  <c r="E13" i="1"/>
  <c r="AJ12" i="1"/>
  <c r="AI12" i="1"/>
  <c r="AH12" i="1"/>
  <c r="AD12" i="1"/>
  <c r="AE12" i="1" s="1"/>
  <c r="H12" i="1"/>
  <c r="E12" i="1"/>
  <c r="AJ11" i="1"/>
  <c r="AI11" i="1"/>
  <c r="AH11" i="1"/>
  <c r="AD11" i="1"/>
  <c r="AF11" i="1" s="1"/>
  <c r="H11" i="1"/>
  <c r="E11" i="1"/>
  <c r="AJ10" i="1"/>
  <c r="AI10" i="1"/>
  <c r="AH10" i="1"/>
  <c r="AD10" i="1"/>
  <c r="AE10" i="1" s="1"/>
  <c r="H10" i="1"/>
  <c r="E10" i="1"/>
  <c r="AJ9" i="1"/>
  <c r="AI9" i="1"/>
  <c r="AH9" i="1"/>
  <c r="AD9" i="1"/>
  <c r="AE9" i="1" s="1"/>
  <c r="H9" i="1"/>
  <c r="E9" i="1"/>
  <c r="AJ8" i="1"/>
  <c r="AI8" i="1"/>
  <c r="AH8" i="1"/>
  <c r="AD8" i="1"/>
  <c r="AE8" i="1" s="1"/>
  <c r="H8" i="1"/>
  <c r="E8" i="1"/>
  <c r="AJ7" i="1"/>
  <c r="AI7" i="1"/>
  <c r="AH7" i="1"/>
  <c r="AD7" i="1"/>
  <c r="AE7" i="1" s="1"/>
  <c r="H7" i="1"/>
  <c r="E7" i="1"/>
  <c r="AJ6" i="1"/>
  <c r="AI6" i="1"/>
  <c r="AH6" i="1"/>
  <c r="AD6" i="1"/>
  <c r="AF6" i="1" s="1"/>
  <c r="H6" i="1"/>
  <c r="E6" i="1"/>
  <c r="AJ5" i="1"/>
  <c r="AI5" i="1"/>
  <c r="AH5" i="1"/>
  <c r="AD5" i="1"/>
  <c r="AF5" i="1" s="1"/>
  <c r="H5" i="1"/>
  <c r="E5" i="1"/>
  <c r="AJ4" i="1"/>
  <c r="AI4" i="1"/>
  <c r="AH4" i="1"/>
  <c r="AD4" i="1"/>
  <c r="AF4" i="1" s="1"/>
  <c r="H4" i="1"/>
  <c r="E4" i="1"/>
  <c r="AJ3" i="1"/>
  <c r="AI3" i="1"/>
  <c r="AH3" i="1"/>
  <c r="AD3" i="1"/>
  <c r="AF3" i="1" s="1"/>
  <c r="H3" i="1"/>
  <c r="E3" i="1"/>
  <c r="AJ2" i="1"/>
  <c r="AI2" i="1"/>
  <c r="AD2" i="1"/>
  <c r="AE2" i="1" s="1"/>
  <c r="H2" i="1"/>
  <c r="E2" i="1"/>
  <c r="S6" i="1" l="1"/>
  <c r="R10" i="1"/>
  <c r="S26" i="1"/>
  <c r="R2" i="1"/>
  <c r="S4" i="1"/>
  <c r="AE20" i="1"/>
  <c r="AG20" i="1" s="1"/>
  <c r="S18" i="1"/>
  <c r="S20" i="1"/>
  <c r="R18" i="1"/>
  <c r="X9" i="1"/>
  <c r="S5" i="1"/>
  <c r="O26" i="1"/>
  <c r="O18" i="1"/>
  <c r="O10" i="1"/>
  <c r="R15" i="1"/>
  <c r="S7" i="1"/>
  <c r="R5" i="1"/>
  <c r="S3" i="1"/>
  <c r="O25" i="1"/>
  <c r="O17" i="1"/>
  <c r="O9" i="1"/>
  <c r="R3" i="1"/>
  <c r="R17" i="1"/>
  <c r="O23" i="1"/>
  <c r="O15" i="1"/>
  <c r="O7" i="1"/>
  <c r="R27" i="1"/>
  <c r="S10" i="1"/>
  <c r="S16" i="1"/>
  <c r="R24" i="1"/>
  <c r="O27" i="1"/>
  <c r="O19" i="1"/>
  <c r="O11" i="1"/>
  <c r="R20" i="1"/>
  <c r="R6" i="1"/>
  <c r="S14" i="1"/>
  <c r="R13" i="1"/>
  <c r="R9" i="1"/>
  <c r="AF12" i="1"/>
  <c r="S21" i="1"/>
  <c r="R11" i="1"/>
  <c r="R7" i="1"/>
  <c r="AF26" i="1"/>
  <c r="AG26" i="1" s="1"/>
  <c r="S23" i="1"/>
  <c r="R22" i="1"/>
  <c r="S24" i="1"/>
  <c r="R23" i="1"/>
  <c r="S15" i="1"/>
  <c r="R14" i="1"/>
  <c r="AK4" i="1"/>
  <c r="AM4" i="1" s="1"/>
  <c r="S27" i="1"/>
  <c r="R26" i="1"/>
  <c r="R25" i="1"/>
  <c r="S17" i="1"/>
  <c r="R16" i="1"/>
  <c r="S2" i="1"/>
  <c r="R19" i="1"/>
  <c r="S12" i="1"/>
  <c r="S8" i="1"/>
  <c r="R4" i="1"/>
  <c r="S22" i="1"/>
  <c r="R21" i="1"/>
  <c r="S13" i="1"/>
  <c r="R12" i="1"/>
  <c r="S9" i="1"/>
  <c r="AG5" i="1"/>
  <c r="AF9" i="1"/>
  <c r="AG9" i="1" s="1"/>
  <c r="AE17" i="1"/>
  <c r="AG17" i="1" s="1"/>
  <c r="AF8" i="1"/>
  <c r="AG8" i="1" s="1"/>
  <c r="AF23" i="1"/>
  <c r="AG23" i="1" s="1"/>
  <c r="AE5" i="1"/>
  <c r="AF2" i="1"/>
  <c r="AG2" i="1" s="1"/>
  <c r="C36" i="1"/>
  <c r="AK22" i="1"/>
  <c r="AM22" i="1" s="1"/>
  <c r="AK14" i="1"/>
  <c r="AM14" i="1" s="1"/>
  <c r="AK19" i="1"/>
  <c r="AL19" i="1" s="1"/>
  <c r="AK7" i="1"/>
  <c r="AM7" i="1" s="1"/>
  <c r="AK18" i="1"/>
  <c r="AM18" i="1" s="1"/>
  <c r="AK2" i="1"/>
  <c r="AL2" i="1" s="1"/>
  <c r="AK13" i="1"/>
  <c r="AL13" i="1" s="1"/>
  <c r="AK24" i="1"/>
  <c r="AL24" i="1" s="1"/>
  <c r="AK10" i="1"/>
  <c r="AL10" i="1" s="1"/>
  <c r="AK8" i="1"/>
  <c r="AL8" i="1" s="1"/>
  <c r="AK25" i="1"/>
  <c r="AM25" i="1" s="1"/>
  <c r="AK16" i="1"/>
  <c r="AM16" i="1" s="1"/>
  <c r="AK11" i="1"/>
  <c r="AL11" i="1" s="1"/>
  <c r="AK12" i="1"/>
  <c r="AM12" i="1" s="1"/>
  <c r="AK26" i="1"/>
  <c r="AL26" i="1" s="1"/>
  <c r="AK3" i="1"/>
  <c r="AM3" i="1" s="1"/>
  <c r="AK23" i="1"/>
  <c r="AL23" i="1" s="1"/>
  <c r="AG12" i="1"/>
  <c r="AG15" i="1"/>
  <c r="AE14" i="1"/>
  <c r="AG14" i="1" s="1"/>
  <c r="AK6" i="1"/>
  <c r="AL6" i="1" s="1"/>
  <c r="AF7" i="1"/>
  <c r="AG7" i="1" s="1"/>
  <c r="AE16" i="1"/>
  <c r="AG16" i="1" s="1"/>
  <c r="AF19" i="1"/>
  <c r="AG19" i="1" s="1"/>
  <c r="AE24" i="1"/>
  <c r="AG24" i="1" s="1"/>
  <c r="AK5" i="1"/>
  <c r="AL5" i="1" s="1"/>
  <c r="AE6" i="1"/>
  <c r="AG6" i="1" s="1"/>
  <c r="AK9" i="1"/>
  <c r="AM9" i="1" s="1"/>
  <c r="AF10" i="1"/>
  <c r="AG10" i="1" s="1"/>
  <c r="AE15" i="1"/>
  <c r="AK17" i="1"/>
  <c r="AM17" i="1" s="1"/>
  <c r="AF18" i="1"/>
  <c r="AG18" i="1" s="1"/>
  <c r="AK20" i="1"/>
  <c r="AM20" i="1" s="1"/>
  <c r="AF21" i="1"/>
  <c r="AG21" i="1" s="1"/>
  <c r="AF27" i="1"/>
  <c r="AG27" i="1" s="1"/>
  <c r="AE11" i="1"/>
  <c r="AG11" i="1" s="1"/>
  <c r="AM11" i="1"/>
  <c r="AK21" i="1"/>
  <c r="AL21" i="1" s="1"/>
  <c r="AF22" i="1"/>
  <c r="AG22" i="1" s="1"/>
  <c r="AF25" i="1"/>
  <c r="AG25" i="1" s="1"/>
  <c r="AK27" i="1"/>
  <c r="AL27" i="1" s="1"/>
  <c r="AE13" i="1"/>
  <c r="AG13" i="1" s="1"/>
  <c r="AK15" i="1"/>
  <c r="AL15" i="1" s="1"/>
  <c r="AE4" i="1"/>
  <c r="AG4" i="1" s="1"/>
  <c r="AE3" i="1"/>
  <c r="AG3" i="1" s="1"/>
  <c r="AN11" i="1" l="1"/>
  <c r="AL18" i="1"/>
  <c r="AL4" i="1"/>
  <c r="AN4" i="1" s="1"/>
  <c r="AM2" i="1"/>
  <c r="AN2" i="1" s="1"/>
  <c r="AM10" i="1"/>
  <c r="AM8" i="1"/>
  <c r="AN8" i="1" s="1"/>
  <c r="AL22" i="1"/>
  <c r="AN22" i="1" s="1"/>
  <c r="AL3" i="1"/>
  <c r="AN3" i="1" s="1"/>
  <c r="AM26" i="1"/>
  <c r="AN26" i="1" s="1"/>
  <c r="AM24" i="1"/>
  <c r="AN24" i="1" s="1"/>
  <c r="AL25" i="1"/>
  <c r="AN25" i="1" s="1"/>
  <c r="AM23" i="1"/>
  <c r="AN23" i="1" s="1"/>
  <c r="AL14" i="1"/>
  <c r="AN14" i="1" s="1"/>
  <c r="AM19" i="1"/>
  <c r="AN19" i="1" s="1"/>
  <c r="AL7" i="1"/>
  <c r="AN7" i="1" s="1"/>
  <c r="AM15" i="1"/>
  <c r="AN15" i="1" s="1"/>
  <c r="AL16" i="1"/>
  <c r="AN16" i="1" s="1"/>
  <c r="AM5" i="1"/>
  <c r="AN5" i="1" s="1"/>
  <c r="AM27" i="1"/>
  <c r="AN27" i="1" s="1"/>
  <c r="AM13" i="1"/>
  <c r="AN13" i="1" s="1"/>
  <c r="AN10" i="1"/>
  <c r="AL12" i="1"/>
  <c r="AN12" i="1" s="1"/>
  <c r="AM21" i="1"/>
  <c r="AN21" i="1" s="1"/>
  <c r="AL17" i="1"/>
  <c r="AN17" i="1" s="1"/>
  <c r="AL20" i="1"/>
  <c r="AN20" i="1" s="1"/>
  <c r="AL9" i="1"/>
  <c r="AN9" i="1" s="1"/>
  <c r="AM6" i="1"/>
  <c r="AN6" i="1" s="1"/>
  <c r="AN18" i="1"/>
</calcChain>
</file>

<file path=xl/sharedStrings.xml><?xml version="1.0" encoding="utf-8"?>
<sst xmlns="http://schemas.openxmlformats.org/spreadsheetml/2006/main" count="171" uniqueCount="106">
  <si>
    <t>nu (growth rate)</t>
    <phoneticPr fontId="2"/>
  </si>
  <si>
    <t>Y_K ratio</t>
    <phoneticPr fontId="2"/>
  </si>
  <si>
    <t>rent of capital (annual)</t>
    <phoneticPr fontId="2"/>
  </si>
  <si>
    <t>phi_k</t>
    <phoneticPr fontId="2"/>
  </si>
  <si>
    <t>phi_l</t>
    <phoneticPr fontId="2"/>
  </si>
  <si>
    <t>phi_k /phi_l</t>
    <phoneticPr fontId="2"/>
  </si>
  <si>
    <t>theta</t>
    <phoneticPr fontId="2"/>
  </si>
  <si>
    <t>mu</t>
    <phoneticPr fontId="2"/>
  </si>
  <si>
    <t>gamma</t>
    <phoneticPr fontId="2"/>
  </si>
  <si>
    <t>L</t>
    <phoneticPr fontId="2"/>
  </si>
  <si>
    <t>N</t>
    <phoneticPr fontId="2"/>
  </si>
  <si>
    <t>eta</t>
    <phoneticPr fontId="2"/>
  </si>
  <si>
    <t>g/T</t>
    <phoneticPr fontId="2"/>
  </si>
  <si>
    <t>c_yk</t>
    <phoneticPr fontId="2"/>
  </si>
  <si>
    <t>c_ok</t>
    <phoneticPr fontId="2"/>
  </si>
  <si>
    <t>c_yl</t>
    <phoneticPr fontId="2"/>
  </si>
  <si>
    <t>c_ol</t>
    <phoneticPr fontId="2"/>
  </si>
  <si>
    <t>alpha</t>
    <phoneticPr fontId="2"/>
  </si>
  <si>
    <t>delta</t>
    <phoneticPr fontId="2"/>
  </si>
  <si>
    <t>TD_rho</t>
    <phoneticPr fontId="2"/>
  </si>
  <si>
    <t>TD_phi</t>
    <phoneticPr fontId="2"/>
  </si>
  <si>
    <t>TD_theta</t>
    <phoneticPr fontId="2"/>
  </si>
  <si>
    <t>TD_total</t>
    <phoneticPr fontId="2"/>
  </si>
  <si>
    <t>rho_per</t>
  </si>
  <si>
    <t>phi_per</t>
  </si>
  <si>
    <t>theta_per</t>
  </si>
  <si>
    <t>rho /  x TD_rho</t>
    <phoneticPr fontId="2"/>
  </si>
  <si>
    <t>phi x TD_phi</t>
    <phoneticPr fontId="2"/>
  </si>
  <si>
    <t>theta x TD_theta</t>
    <phoneticPr fontId="2"/>
  </si>
  <si>
    <t>Total</t>
    <phoneticPr fontId="2"/>
  </si>
  <si>
    <t>Arkansas</t>
  </si>
  <si>
    <t>AR</t>
  </si>
  <si>
    <t>tau_k</t>
    <phoneticPr fontId="2"/>
  </si>
  <si>
    <t>tau_k</t>
    <phoneticPr fontId="2"/>
  </si>
  <si>
    <t>California</t>
  </si>
  <si>
    <t>CA</t>
  </si>
  <si>
    <t>A</t>
    <phoneticPr fontId="2"/>
  </si>
  <si>
    <t>Connecticut</t>
  </si>
  <si>
    <t>CT</t>
  </si>
  <si>
    <t>Delta</t>
    <phoneticPr fontId="2"/>
  </si>
  <si>
    <t>Georgia</t>
  </si>
  <si>
    <t>GA</t>
  </si>
  <si>
    <t>tau_l</t>
    <phoneticPr fontId="2"/>
  </si>
  <si>
    <t>tau_l</t>
    <phoneticPr fontId="2"/>
  </si>
  <si>
    <t>Illinois</t>
  </si>
  <si>
    <t>IL</t>
  </si>
  <si>
    <t>beta</t>
    <phoneticPr fontId="2"/>
  </si>
  <si>
    <t>Indiana</t>
  </si>
  <si>
    <t>IN</t>
  </si>
  <si>
    <t>Massachusetts</t>
  </si>
  <si>
    <t>MA</t>
  </si>
  <si>
    <t>Michigan</t>
  </si>
  <si>
    <t>MI</t>
  </si>
  <si>
    <t>r</t>
    <phoneticPr fontId="2"/>
  </si>
  <si>
    <t>Minnesota</t>
  </si>
  <si>
    <t>MN</t>
  </si>
  <si>
    <t>New Jersey</t>
  </si>
  <si>
    <t>NJ</t>
  </si>
  <si>
    <t>Ohio</t>
  </si>
  <si>
    <t>OH</t>
  </si>
  <si>
    <t>Oregon</t>
  </si>
  <si>
    <t>OR</t>
  </si>
  <si>
    <t>Wisconsin</t>
  </si>
  <si>
    <t>WI</t>
  </si>
  <si>
    <t>Colorado</t>
  </si>
  <si>
    <t>CO</t>
  </si>
  <si>
    <t>New York</t>
  </si>
  <si>
    <t>NY</t>
  </si>
  <si>
    <t>Pennsylvania</t>
  </si>
  <si>
    <t>PA</t>
  </si>
  <si>
    <t>Texas</t>
  </si>
  <si>
    <t>TX</t>
  </si>
  <si>
    <t>Alabama</t>
  </si>
  <si>
    <t>AL</t>
  </si>
  <si>
    <t>Delta</t>
    <phoneticPr fontId="2"/>
  </si>
  <si>
    <t>Florida</t>
  </si>
  <si>
    <t>FL</t>
  </si>
  <si>
    <t>tau_l</t>
    <phoneticPr fontId="2"/>
  </si>
  <si>
    <t>Iowa</t>
  </si>
  <si>
    <t>IA</t>
  </si>
  <si>
    <t>Mississippi</t>
  </si>
  <si>
    <t>MS</t>
  </si>
  <si>
    <t>Tennessee</t>
  </si>
  <si>
    <t>TN</t>
  </si>
  <si>
    <t>Virginia</t>
  </si>
  <si>
    <t>VA</t>
  </si>
  <si>
    <t>North Carolina</t>
  </si>
  <si>
    <t>NC</t>
  </si>
  <si>
    <t>Delta</t>
    <phoneticPr fontId="2"/>
  </si>
  <si>
    <t>Washington</t>
  </si>
  <si>
    <t>WA</t>
  </si>
  <si>
    <t>tau_l</t>
    <phoneticPr fontId="2"/>
  </si>
  <si>
    <t>Maryland</t>
  </si>
  <si>
    <t>MD</t>
  </si>
  <si>
    <t>ANES</t>
    <phoneticPr fontId="2"/>
  </si>
  <si>
    <t>ANES + GSS</t>
    <phoneticPr fontId="2"/>
  </si>
  <si>
    <t>Differences</t>
    <phoneticPr fontId="2"/>
  </si>
  <si>
    <t>State</t>
    <phoneticPr fontId="2"/>
  </si>
  <si>
    <t>Bias parameter</t>
    <phoneticPr fontId="2"/>
  </si>
  <si>
    <t>R_\rho</t>
    <phoneticPr fontId="2"/>
  </si>
  <si>
    <t>\rho</t>
    <phoneticPr fontId="2"/>
  </si>
  <si>
    <t>\phi</t>
    <phoneticPr fontId="2"/>
  </si>
  <si>
    <t>\theta</t>
    <phoneticPr fontId="2"/>
  </si>
  <si>
    <t>Most influential channel (no. of states)</t>
    <phoneticPr fontId="2"/>
  </si>
  <si>
    <t>Average (%)</t>
    <phoneticPr fontId="2"/>
  </si>
  <si>
    <t>Standard deviation (%)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</si>
</sst>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00"/>
    <numFmt numFmtId="182" formatCode="0.0"/>
    <numFmt numFmtId="187" formatCode="0_);[Red]\(0\)"/>
  </numFmts>
  <fonts count="11"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sz val="6"/>
      <name val="Arial"/>
      <family val="2"/>
      <charset val="128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1"/>
      <color theme="6" tint="-0.249977111117893"/>
      <name val="Arial"/>
      <family val="2"/>
    </font>
    <font>
      <b/>
      <sz val="11"/>
      <color theme="3" tint="-0.24997711111789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3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177" fontId="0" fillId="2" borderId="0" xfId="0" applyNumberFormat="1" applyFill="1">
      <alignment vertical="center"/>
    </xf>
    <xf numFmtId="9" fontId="0" fillId="2" borderId="0" xfId="1" applyFont="1" applyFill="1">
      <alignment vertical="center"/>
    </xf>
    <xf numFmtId="177" fontId="0" fillId="2" borderId="0" xfId="1" applyNumberFormat="1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177" fontId="7" fillId="2" borderId="0" xfId="0" applyNumberFormat="1" applyFont="1" applyFill="1">
      <alignment vertical="center"/>
    </xf>
    <xf numFmtId="0" fontId="8" fillId="0" borderId="0" xfId="0" applyFon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3" borderId="0" xfId="1" applyNumberFormat="1" applyFont="1" applyFill="1">
      <alignment vertical="center"/>
    </xf>
    <xf numFmtId="0" fontId="3" fillId="0" borderId="0" xfId="0" applyFont="1">
      <alignment vertical="center"/>
    </xf>
    <xf numFmtId="1" fontId="0" fillId="0" borderId="0" xfId="0" applyNumberFormat="1">
      <alignment vertical="center"/>
    </xf>
    <xf numFmtId="177" fontId="9" fillId="2" borderId="0" xfId="0" applyNumberFormat="1" applyFont="1" applyFill="1">
      <alignment vertical="center"/>
    </xf>
    <xf numFmtId="177" fontId="10" fillId="2" borderId="0" xfId="0" applyNumberFormat="1" applyFont="1" applyFill="1">
      <alignment vertical="center"/>
    </xf>
    <xf numFmtId="177" fontId="9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8" fillId="0" borderId="0" xfId="0" applyFont="1" applyFill="1">
      <alignment vertical="center"/>
    </xf>
    <xf numFmtId="0" fontId="8" fillId="0" borderId="1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8" fillId="0" borderId="3" xfId="0" applyFont="1" applyFill="1" applyBorder="1">
      <alignment vertical="center"/>
    </xf>
    <xf numFmtId="177" fontId="8" fillId="0" borderId="2" xfId="0" applyNumberFormat="1" applyFont="1" applyFill="1" applyBorder="1">
      <alignment vertical="center"/>
    </xf>
    <xf numFmtId="182" fontId="8" fillId="0" borderId="2" xfId="0" applyNumberFormat="1" applyFont="1" applyFill="1" applyBorder="1">
      <alignment vertical="center"/>
    </xf>
    <xf numFmtId="0" fontId="8" fillId="0" borderId="0" xfId="0" applyFont="1" applyFill="1" applyBorder="1">
      <alignment vertical="center"/>
    </xf>
    <xf numFmtId="177" fontId="8" fillId="0" borderId="0" xfId="0" applyNumberFormat="1" applyFont="1" applyFill="1" applyBorder="1">
      <alignment vertical="center"/>
    </xf>
    <xf numFmtId="182" fontId="8" fillId="0" borderId="0" xfId="0" applyNumberFormat="1" applyFont="1" applyFill="1" applyBorder="1">
      <alignment vertical="center"/>
    </xf>
    <xf numFmtId="0" fontId="10" fillId="0" borderId="0" xfId="0" applyFont="1" applyFill="1" applyBorder="1">
      <alignment vertical="center"/>
    </xf>
    <xf numFmtId="177" fontId="8" fillId="0" borderId="3" xfId="0" applyNumberFormat="1" applyFont="1" applyFill="1" applyBorder="1">
      <alignment vertical="center"/>
    </xf>
    <xf numFmtId="182" fontId="8" fillId="0" borderId="3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vertical="center"/>
    </xf>
    <xf numFmtId="187" fontId="3" fillId="0" borderId="0" xfId="0" applyNumberFormat="1" applyFont="1" applyFill="1" applyBorder="1">
      <alignment vertical="center"/>
    </xf>
    <xf numFmtId="0" fontId="0" fillId="0" borderId="1" xfId="0" applyBorder="1">
      <alignment vertical="center"/>
    </xf>
    <xf numFmtId="182" fontId="0" fillId="0" borderId="2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3" xfId="0" applyNumberFormat="1" applyBorder="1">
      <alignment vertical="center"/>
    </xf>
    <xf numFmtId="0" fontId="0" fillId="0" borderId="2" xfId="0" applyBorder="1">
      <alignment vertical="center"/>
    </xf>
    <xf numFmtId="187" fontId="3" fillId="0" borderId="0" xfId="0" applyNumberFormat="1" applyFont="1" applyBorder="1">
      <alignment vertical="center"/>
    </xf>
    <xf numFmtId="187" fontId="3" fillId="0" borderId="3" xfId="0" applyNumberFormat="1" applyFont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zoomScale="85" zoomScaleNormal="85" workbookViewId="0">
      <pane xSplit="2" topLeftCell="V1" activePane="topRight" state="frozen"/>
      <selection pane="topRight" activeCell="AL29" sqref="AL29:AN31"/>
    </sheetView>
  </sheetViews>
  <sheetFormatPr defaultRowHeight="14.25"/>
  <cols>
    <col min="1" max="1" width="14.25" bestFit="1" customWidth="1"/>
    <col min="3" max="3" width="14.875" bestFit="1" customWidth="1"/>
    <col min="8" max="8" width="10.5" bestFit="1" customWidth="1"/>
    <col min="9" max="9" width="10.5" customWidth="1"/>
    <col min="11" max="12" width="9" customWidth="1"/>
    <col min="13" max="13" width="6" style="1" bestFit="1" customWidth="1"/>
  </cols>
  <sheetData>
    <row r="1" spans="1:40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1" t="s">
        <v>10</v>
      </c>
      <c r="N1" t="s">
        <v>11</v>
      </c>
      <c r="O1" t="s">
        <v>12</v>
      </c>
      <c r="P1" t="s">
        <v>32</v>
      </c>
      <c r="Q1" t="s">
        <v>42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>
        <v>0.36</v>
      </c>
      <c r="X1" t="s">
        <v>18</v>
      </c>
      <c r="Y1">
        <v>0.17899999999999999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23</v>
      </c>
      <c r="AM1" t="s">
        <v>24</v>
      </c>
      <c r="AN1" t="s">
        <v>25</v>
      </c>
    </row>
    <row r="2" spans="1:40" s="2" customFormat="1" ht="15">
      <c r="A2" s="2" t="s">
        <v>30</v>
      </c>
      <c r="B2" s="2" t="s">
        <v>31</v>
      </c>
      <c r="C2" s="3">
        <v>8.1600000000000006E-2</v>
      </c>
      <c r="D2" s="2">
        <v>1.3492801560000001</v>
      </c>
      <c r="E2" s="4">
        <f t="shared" ref="E2:E27" si="0">(1+(D2*$W$1-$Y$1))^(1/4)-1</f>
        <v>6.9171484833741248E-2</v>
      </c>
      <c r="F2">
        <v>0.29206783800000002</v>
      </c>
      <c r="G2">
        <v>0.34038796500000001</v>
      </c>
      <c r="H2" s="5">
        <f>F2/G2</f>
        <v>0.8580439616894211</v>
      </c>
      <c r="I2">
        <v>0.13529378721111299</v>
      </c>
      <c r="J2">
        <v>0.56862772468052503</v>
      </c>
      <c r="K2">
        <v>8.7258788245617405E-2</v>
      </c>
      <c r="L2" s="5">
        <v>1</v>
      </c>
      <c r="M2">
        <v>2.1490542376184498</v>
      </c>
      <c r="N2">
        <v>3.6868334977361701</v>
      </c>
      <c r="O2" s="6">
        <f>($W$4*$W$3*N2^$W$1+P2*J2*K2*N2)^(-1)</f>
        <v>0.77518568934246879</v>
      </c>
      <c r="P2">
        <v>0.29210000000000003</v>
      </c>
      <c r="Q2">
        <v>0.22409999999999999</v>
      </c>
      <c r="R2" s="7">
        <f>((1-$W$5)*(1-0)*(1-$W$1)*D2/L2-K2)/(1+$W$6)</f>
        <v>0.2659440922628783</v>
      </c>
      <c r="S2" s="7">
        <f>$W$6/(1+$W$6)*(1-$W$2)*(1-$Y$1+$W$1*D2)*((1-$W$5)*(1-0)*(1-$W$1)*D2/L2-K2)</f>
        <v>0.29306922702958921</v>
      </c>
      <c r="T2" s="7">
        <f>(1-$W$5)*I2*(1-$W$1)*D2/L2</f>
        <v>9.0649562619817409E-2</v>
      </c>
      <c r="U2" s="7">
        <f>1/(M2*(1-J2))*($W$5*(1-$W$1)*D2+$W$2*($W$1*D2+M2*J2*K2)-N2^(-1))</f>
        <v>0.1028168594957436</v>
      </c>
      <c r="V2" s="8" t="s">
        <v>33</v>
      </c>
      <c r="W2" s="8">
        <v>0.29210000000000003</v>
      </c>
      <c r="X2" s="9">
        <v>0.25</v>
      </c>
      <c r="AA2" s="2">
        <v>1.31896578740337</v>
      </c>
      <c r="AB2" s="2">
        <v>0.38343354479591901</v>
      </c>
      <c r="AC2" s="2">
        <v>0.53248492925429503</v>
      </c>
      <c r="AD2" s="2">
        <f>SUM(AA2:AC2)</f>
        <v>2.2348842614535842</v>
      </c>
      <c r="AE2" s="2">
        <f>ROUND(AA2/AD2*100,0)</f>
        <v>59</v>
      </c>
      <c r="AF2" s="2">
        <f>ROUND(AB2/AD2*100,0)</f>
        <v>17</v>
      </c>
      <c r="AG2" s="2">
        <f>100-AF2-AE2</f>
        <v>24</v>
      </c>
      <c r="AH2" s="2">
        <f t="shared" ref="AH2:AH27" si="1">AA2*K2/C2</f>
        <v>1.4104332885569202</v>
      </c>
      <c r="AI2" s="2">
        <f t="shared" ref="AI2:AI27" si="2">F2*AB2/C2</f>
        <v>1.3724093927110321</v>
      </c>
      <c r="AJ2" s="2">
        <f t="shared" ref="AJ2:AJ27" si="3">AC2*I2/C2</f>
        <v>0.88286645479969528</v>
      </c>
      <c r="AK2" s="2">
        <f>SUM(AH2:AJ2)</f>
        <v>3.6657091360676475</v>
      </c>
      <c r="AL2" s="11">
        <f>ROUND(AH2/AK2*100,0)</f>
        <v>38</v>
      </c>
      <c r="AM2" s="23">
        <f>ROUND(AI2/AK2*100,0)</f>
        <v>37</v>
      </c>
      <c r="AN2">
        <f>100-AM2-AL2</f>
        <v>25</v>
      </c>
    </row>
    <row r="3" spans="1:40" s="2" customFormat="1" ht="15">
      <c r="A3" s="2" t="s">
        <v>34</v>
      </c>
      <c r="B3" s="2" t="s">
        <v>35</v>
      </c>
      <c r="C3" s="3">
        <v>7.4399999999999994E-2</v>
      </c>
      <c r="D3" s="2">
        <v>1.380515787</v>
      </c>
      <c r="E3" s="4">
        <f t="shared" si="0"/>
        <v>7.1464220498122399E-2</v>
      </c>
      <c r="F3">
        <v>0.12782212900000001</v>
      </c>
      <c r="G3">
        <v>0.17776141400000001</v>
      </c>
      <c r="H3" s="5">
        <f t="shared" ref="H3:H27" si="4">F3/G3</f>
        <v>0.71906566292277585</v>
      </c>
      <c r="I3">
        <v>3.4528284214519298E-2</v>
      </c>
      <c r="J3">
        <v>0.60904753918596199</v>
      </c>
      <c r="K3">
        <v>0.14227118648925099</v>
      </c>
      <c r="L3" s="5">
        <v>1</v>
      </c>
      <c r="M3">
        <v>2.2879263607893301</v>
      </c>
      <c r="N3">
        <v>3.55732427233584</v>
      </c>
      <c r="O3" s="6">
        <f t="shared" ref="O3:O27" si="5">($W$4*$W$3*N3^$W$1+P3*J3*K3*N3)^(-1)</f>
        <v>0.76289318927858896</v>
      </c>
      <c r="P3">
        <v>0.29210000000000003</v>
      </c>
      <c r="Q3">
        <v>0.22409999999999999</v>
      </c>
      <c r="R3" s="7">
        <f t="shared" ref="R3:R14" si="6">((1-$W$5)*(1-0)*(1-$W$1)*D3/L3-K3)/(1+$W$6)</f>
        <v>0.2479175031620843</v>
      </c>
      <c r="S3" s="7">
        <f>$W$6/(1+$W$6)*(1-$W$2)*(1-$Y$1+$W$1*D3)*((1-$W$5)*(1-0)*(1-$W$1)*D3/L3-K3)</f>
        <v>0.27555499244929987</v>
      </c>
      <c r="T3" s="7">
        <f t="shared" ref="T3:T14" si="7">(1-$W$5)*I3*(1-$W$1)*D3/L3</f>
        <v>2.3670209462937481E-2</v>
      </c>
      <c r="U3" s="7">
        <f t="shared" ref="U3:U14" si="8">1/(M3*(1-J3))*($W$5*(1-$W$1)*D3+$W$2*($W$1*D3+M3*J3*K3)-N3^(-1))</f>
        <v>0.1341205606156376</v>
      </c>
      <c r="V3" s="2" t="s">
        <v>36</v>
      </c>
      <c r="W3" s="2">
        <v>3.11</v>
      </c>
      <c r="AA3" s="2">
        <v>1.3654546689040299</v>
      </c>
      <c r="AB3" s="2">
        <v>0.96401958758443895</v>
      </c>
      <c r="AC3" s="2">
        <v>1.0375394331655701</v>
      </c>
      <c r="AD3" s="2">
        <f t="shared" ref="AD3:AD27" si="9">SUM(AA3:AC3)</f>
        <v>3.3670136896540388</v>
      </c>
      <c r="AE3" s="2">
        <f t="shared" ref="AE3:AE27" si="10">ROUND(AA3/AD3*100,0)</f>
        <v>41</v>
      </c>
      <c r="AF3" s="2">
        <f t="shared" ref="AF3:AF27" si="11">ROUND(AB3/AD3*100,0)</f>
        <v>29</v>
      </c>
      <c r="AG3" s="2">
        <f t="shared" ref="AG3:AG27" si="12">100-AF3-AE3</f>
        <v>30</v>
      </c>
      <c r="AH3" s="2">
        <f t="shared" si="1"/>
        <v>2.6110867720734374</v>
      </c>
      <c r="AI3" s="2">
        <f t="shared" si="2"/>
        <v>1.6562236032627011</v>
      </c>
      <c r="AJ3" s="2">
        <f t="shared" si="3"/>
        <v>0.4815115111843018</v>
      </c>
      <c r="AK3" s="2">
        <f t="shared" ref="AK3:AK27" si="13">SUM(AH3:AJ3)</f>
        <v>4.7488218865204406</v>
      </c>
      <c r="AL3" s="11">
        <f t="shared" ref="AL3:AL27" si="14">ROUND(AH3/AK3*100,0)</f>
        <v>55</v>
      </c>
      <c r="AM3">
        <f t="shared" ref="AM3:AM27" si="15">ROUND(AI3/AK3*100,0)</f>
        <v>35</v>
      </c>
      <c r="AN3">
        <f t="shared" ref="AN3:AN27" si="16">100-AM3-AL3</f>
        <v>10</v>
      </c>
    </row>
    <row r="4" spans="1:40" s="2" customFormat="1" ht="15">
      <c r="A4" s="2" t="s">
        <v>37</v>
      </c>
      <c r="B4" s="2" t="s">
        <v>38</v>
      </c>
      <c r="C4" s="3">
        <v>0.1048</v>
      </c>
      <c r="D4" s="2">
        <v>1.3926963409999999</v>
      </c>
      <c r="E4" s="4">
        <f t="shared" si="0"/>
        <v>7.2354313526329372E-2</v>
      </c>
      <c r="F4">
        <v>0.28157926300000002</v>
      </c>
      <c r="G4">
        <v>0.27374704399999999</v>
      </c>
      <c r="H4" s="5">
        <f t="shared" si="4"/>
        <v>1.0286111546103125</v>
      </c>
      <c r="I4">
        <v>0.25994661851469703</v>
      </c>
      <c r="J4">
        <v>0.59351235117235202</v>
      </c>
      <c r="K4">
        <v>2.6297242684943201E-2</v>
      </c>
      <c r="L4" s="5">
        <v>1</v>
      </c>
      <c r="M4">
        <v>1.91186681899047</v>
      </c>
      <c r="N4">
        <v>3.5088308185414299</v>
      </c>
      <c r="O4" s="6">
        <f t="shared" si="5"/>
        <v>0.81251822333131707</v>
      </c>
      <c r="P4">
        <v>0.29210000000000003</v>
      </c>
      <c r="Q4">
        <v>0.22409999999999999</v>
      </c>
      <c r="R4" s="7">
        <f t="shared" si="6"/>
        <v>0.30360267622132453</v>
      </c>
      <c r="S4" s="7">
        <f t="shared" ref="S4:S14" si="17">$W$6/(1+$W$6)*(1-$W$2)*(1-$Y$1+$W$1*D4)*((1-$W$5)*(1-0)*(1-$W$1)*D4/L4-K4)</f>
        <v>0.33857057379326549</v>
      </c>
      <c r="T4" s="7">
        <f t="shared" si="7"/>
        <v>0.17977377279429715</v>
      </c>
      <c r="U4" s="7">
        <f t="shared" si="8"/>
        <v>8.996648915518668E-2</v>
      </c>
      <c r="V4" s="9" t="s">
        <v>39</v>
      </c>
      <c r="W4" s="9">
        <f>$W$1*$W$2+(1-$W$1)*W5</f>
        <v>0.24858</v>
      </c>
      <c r="X4" s="9">
        <f>W1*X2+(1-W1)*X5</f>
        <v>0.218</v>
      </c>
      <c r="AA4" s="2">
        <v>1.3878861678343899</v>
      </c>
      <c r="AB4" s="2">
        <v>0.41582049370508201</v>
      </c>
      <c r="AC4" s="2">
        <v>0.49033312995287598</v>
      </c>
      <c r="AD4" s="2">
        <f t="shared" si="9"/>
        <v>2.2940397914923478</v>
      </c>
      <c r="AE4" s="2">
        <f t="shared" si="10"/>
        <v>60</v>
      </c>
      <c r="AF4" s="2">
        <f t="shared" si="11"/>
        <v>18</v>
      </c>
      <c r="AG4" s="2">
        <f t="shared" si="12"/>
        <v>22</v>
      </c>
      <c r="AH4" s="2">
        <f t="shared" si="1"/>
        <v>0.34825934517764084</v>
      </c>
      <c r="AI4" s="2">
        <f t="shared" si="2"/>
        <v>1.1172369099024153</v>
      </c>
      <c r="AJ4" s="2">
        <f t="shared" si="3"/>
        <v>1.2162255637116186</v>
      </c>
      <c r="AK4" s="2">
        <f t="shared" si="13"/>
        <v>2.6817218187916749</v>
      </c>
      <c r="AL4">
        <f t="shared" si="14"/>
        <v>13</v>
      </c>
      <c r="AM4">
        <f t="shared" si="15"/>
        <v>42</v>
      </c>
      <c r="AN4" s="12">
        <f t="shared" si="16"/>
        <v>45</v>
      </c>
    </row>
    <row r="5" spans="1:40" s="2" customFormat="1" ht="15">
      <c r="A5" s="2" t="s">
        <v>40</v>
      </c>
      <c r="B5" s="2" t="s">
        <v>41</v>
      </c>
      <c r="C5" s="3">
        <v>9.1700000000000004E-2</v>
      </c>
      <c r="D5" s="2">
        <v>1.3925449940000001</v>
      </c>
      <c r="E5" s="4">
        <f t="shared" si="0"/>
        <v>7.2343267447775084E-2</v>
      </c>
      <c r="F5">
        <v>0.18778745899999999</v>
      </c>
      <c r="G5">
        <v>0.19501532399999999</v>
      </c>
      <c r="H5" s="5">
        <f t="shared" si="4"/>
        <v>0.96293693822748005</v>
      </c>
      <c r="I5">
        <v>0.145141299139674</v>
      </c>
      <c r="J5">
        <v>0.57587135867594696</v>
      </c>
      <c r="K5">
        <v>8.4609758714064204E-2</v>
      </c>
      <c r="L5" s="5">
        <v>1</v>
      </c>
      <c r="M5">
        <v>2.1203689798376999</v>
      </c>
      <c r="N5">
        <v>3.5094267006008102</v>
      </c>
      <c r="O5" s="6">
        <f t="shared" si="5"/>
        <v>0.79065974863571475</v>
      </c>
      <c r="P5">
        <v>0.29210000000000003</v>
      </c>
      <c r="Q5">
        <v>0.22409999999999999</v>
      </c>
      <c r="R5" s="7">
        <f t="shared" si="6"/>
        <v>0.27695736742067961</v>
      </c>
      <c r="S5" s="7">
        <f t="shared" si="17"/>
        <v>0.30884362559801642</v>
      </c>
      <c r="T5" s="7">
        <f t="shared" si="7"/>
        <v>0.10036585030642114</v>
      </c>
      <c r="U5" s="7">
        <f t="shared" si="8"/>
        <v>0.10162233565711665</v>
      </c>
      <c r="V5" s="9" t="s">
        <v>43</v>
      </c>
      <c r="W5" s="9">
        <v>0.22409999999999999</v>
      </c>
      <c r="X5" s="9">
        <v>0.2</v>
      </c>
      <c r="AA5" s="2">
        <v>1.3430183128051301</v>
      </c>
      <c r="AB5" s="2">
        <v>0.64406366809999605</v>
      </c>
      <c r="AC5" s="2">
        <v>0.54969428241560503</v>
      </c>
      <c r="AD5" s="2">
        <f t="shared" si="9"/>
        <v>2.5367762633207311</v>
      </c>
      <c r="AE5" s="2">
        <f t="shared" si="10"/>
        <v>53</v>
      </c>
      <c r="AF5" s="2">
        <f t="shared" si="11"/>
        <v>25</v>
      </c>
      <c r="AG5" s="2">
        <f t="shared" si="12"/>
        <v>22</v>
      </c>
      <c r="AH5" s="2">
        <f t="shared" si="1"/>
        <v>1.2391761766086331</v>
      </c>
      <c r="AI5" s="2">
        <f t="shared" si="2"/>
        <v>1.318943071610879</v>
      </c>
      <c r="AJ5" s="2">
        <f t="shared" si="3"/>
        <v>0.87004735310198222</v>
      </c>
      <c r="AK5" s="2">
        <f t="shared" si="13"/>
        <v>3.4281666013214944</v>
      </c>
      <c r="AL5" s="23">
        <f t="shared" si="14"/>
        <v>36</v>
      </c>
      <c r="AM5" s="10">
        <f t="shared" si="15"/>
        <v>38</v>
      </c>
      <c r="AN5">
        <f t="shared" si="16"/>
        <v>26</v>
      </c>
    </row>
    <row r="6" spans="1:40" s="2" customFormat="1" ht="15">
      <c r="A6" s="2" t="s">
        <v>44</v>
      </c>
      <c r="B6" s="2" t="s">
        <v>45</v>
      </c>
      <c r="C6" s="3">
        <v>7.2900000000000006E-2</v>
      </c>
      <c r="D6" s="2">
        <v>1.303608645</v>
      </c>
      <c r="E6" s="4">
        <f t="shared" si="0"/>
        <v>6.5792352351882188E-2</v>
      </c>
      <c r="F6">
        <v>0.24437784400000001</v>
      </c>
      <c r="G6">
        <v>0.19842938600000001</v>
      </c>
      <c r="H6" s="5">
        <f t="shared" si="4"/>
        <v>1.2315607528009989</v>
      </c>
      <c r="I6">
        <v>4.2184305748349603E-2</v>
      </c>
      <c r="J6">
        <v>0.64551234441308003</v>
      </c>
      <c r="K6">
        <v>0.12748989626097501</v>
      </c>
      <c r="L6" s="5">
        <v>1</v>
      </c>
      <c r="M6">
        <v>2.21178717417608</v>
      </c>
      <c r="N6">
        <v>3.8906356153973598</v>
      </c>
      <c r="O6" s="6">
        <f t="shared" si="5"/>
        <v>0.74581741693008796</v>
      </c>
      <c r="P6">
        <v>0.25</v>
      </c>
      <c r="Q6">
        <v>0.2</v>
      </c>
      <c r="R6" s="7">
        <f t="shared" si="6"/>
        <v>0.23723479041642689</v>
      </c>
      <c r="S6" s="7">
        <f t="shared" si="17"/>
        <v>0.25814230210896094</v>
      </c>
      <c r="T6" s="7">
        <f t="shared" si="7"/>
        <v>2.7307620817386739E-2</v>
      </c>
      <c r="U6" s="7">
        <f t="shared" si="8"/>
        <v>0.15329638746989807</v>
      </c>
      <c r="V6" s="2" t="s">
        <v>46</v>
      </c>
      <c r="W6" s="2">
        <f>1.011^16</f>
        <v>1.1912927245031464</v>
      </c>
      <c r="AA6" s="2">
        <v>1.45498250403715</v>
      </c>
      <c r="AB6" s="2">
        <v>0.572777585219165</v>
      </c>
      <c r="AC6" s="2">
        <v>0.96916290162974095</v>
      </c>
      <c r="AD6" s="2">
        <f t="shared" si="9"/>
        <v>2.996922990886056</v>
      </c>
      <c r="AE6" s="2">
        <f t="shared" si="10"/>
        <v>49</v>
      </c>
      <c r="AF6" s="2">
        <f t="shared" si="11"/>
        <v>19</v>
      </c>
      <c r="AG6" s="2">
        <f t="shared" si="12"/>
        <v>32</v>
      </c>
      <c r="AH6" s="2">
        <f t="shared" si="1"/>
        <v>2.5445208299208493</v>
      </c>
      <c r="AI6" s="2">
        <f t="shared" si="2"/>
        <v>1.9200843808969246</v>
      </c>
      <c r="AJ6" s="2">
        <f t="shared" si="3"/>
        <v>0.56081569495619554</v>
      </c>
      <c r="AK6" s="2">
        <f t="shared" si="13"/>
        <v>5.0254209057739692</v>
      </c>
      <c r="AL6" s="11">
        <f t="shared" si="14"/>
        <v>51</v>
      </c>
      <c r="AM6">
        <f t="shared" si="15"/>
        <v>38</v>
      </c>
      <c r="AN6" s="23">
        <f t="shared" si="16"/>
        <v>11</v>
      </c>
    </row>
    <row r="7" spans="1:40" s="2" customFormat="1" ht="15">
      <c r="A7" s="2" t="s">
        <v>47</v>
      </c>
      <c r="B7" s="2" t="s">
        <v>48</v>
      </c>
      <c r="C7" s="3">
        <v>7.1999999999999995E-2</v>
      </c>
      <c r="D7" s="2">
        <v>1.3545098769999999</v>
      </c>
      <c r="E7" s="4">
        <f t="shared" si="0"/>
        <v>6.9556381738272055E-2</v>
      </c>
      <c r="F7">
        <v>0.28988332</v>
      </c>
      <c r="G7">
        <v>0.206204991</v>
      </c>
      <c r="H7" s="5">
        <f t="shared" si="4"/>
        <v>1.4058016665561699</v>
      </c>
      <c r="I7">
        <v>3.47168912342221E-2</v>
      </c>
      <c r="J7">
        <v>0.639377734284861</v>
      </c>
      <c r="K7">
        <v>0.14866384147040801</v>
      </c>
      <c r="L7" s="5">
        <v>1</v>
      </c>
      <c r="M7">
        <v>2.2346594692303001</v>
      </c>
      <c r="N7">
        <v>3.66461586553143</v>
      </c>
      <c r="O7" s="6">
        <f t="shared" si="5"/>
        <v>0.75701737296110605</v>
      </c>
      <c r="P7">
        <v>0.25</v>
      </c>
      <c r="Q7">
        <v>0.2</v>
      </c>
      <c r="R7" s="7">
        <f t="shared" si="6"/>
        <v>0.23910692047295742</v>
      </c>
      <c r="S7" s="7">
        <f t="shared" si="17"/>
        <v>0.26387441370370729</v>
      </c>
      <c r="T7" s="7">
        <f t="shared" si="7"/>
        <v>2.3351174587757803E-2</v>
      </c>
      <c r="U7" s="7">
        <f t="shared" si="8"/>
        <v>0.15619062736009282</v>
      </c>
      <c r="AA7" s="2">
        <v>1.4394056513846201</v>
      </c>
      <c r="AB7" s="2">
        <v>0.509672319469471</v>
      </c>
      <c r="AC7" s="2">
        <v>1.1214599101570999</v>
      </c>
      <c r="AD7" s="2">
        <f t="shared" si="9"/>
        <v>3.070537881011191</v>
      </c>
      <c r="AE7" s="2">
        <f t="shared" si="10"/>
        <v>47</v>
      </c>
      <c r="AF7" s="2">
        <f t="shared" si="11"/>
        <v>17</v>
      </c>
      <c r="AG7" s="2">
        <f t="shared" si="12"/>
        <v>36</v>
      </c>
      <c r="AH7" s="2">
        <f t="shared" si="1"/>
        <v>2.9720496329035075</v>
      </c>
      <c r="AI7" s="2">
        <f t="shared" si="2"/>
        <v>2.0520208899987624</v>
      </c>
      <c r="AJ7" s="2">
        <f t="shared" si="3"/>
        <v>0.54074446839534074</v>
      </c>
      <c r="AK7" s="2">
        <f t="shared" si="13"/>
        <v>5.5648149912976104</v>
      </c>
      <c r="AL7" s="11">
        <f t="shared" si="14"/>
        <v>53</v>
      </c>
      <c r="AM7">
        <f t="shared" si="15"/>
        <v>37</v>
      </c>
      <c r="AN7">
        <f t="shared" si="16"/>
        <v>10</v>
      </c>
    </row>
    <row r="8" spans="1:40" s="2" customFormat="1" ht="15">
      <c r="A8" s="2" t="s">
        <v>49</v>
      </c>
      <c r="B8" s="2" t="s">
        <v>50</v>
      </c>
      <c r="C8" s="3">
        <v>0.10050000000000001</v>
      </c>
      <c r="D8" s="2">
        <v>1.4179997630000001</v>
      </c>
      <c r="E8" s="4">
        <f t="shared" si="0"/>
        <v>7.4196306764331643E-2</v>
      </c>
      <c r="F8">
        <v>0.17476696</v>
      </c>
      <c r="G8">
        <v>0.17476696</v>
      </c>
      <c r="H8" s="25">
        <f t="shared" si="4"/>
        <v>1</v>
      </c>
      <c r="I8">
        <v>0.14209611627695201</v>
      </c>
      <c r="J8">
        <v>0.58655420678068304</v>
      </c>
      <c r="K8">
        <v>8.2800401271764495E-2</v>
      </c>
      <c r="L8" s="5">
        <v>1</v>
      </c>
      <c r="M8">
        <v>2.1129126599608101</v>
      </c>
      <c r="N8">
        <v>3.4114900627578999</v>
      </c>
      <c r="O8" s="6">
        <f t="shared" si="5"/>
        <v>0.79942406705985303</v>
      </c>
      <c r="P8">
        <v>0.29210000000000003</v>
      </c>
      <c r="Q8">
        <v>0.22409999999999999</v>
      </c>
      <c r="R8" s="7">
        <f t="shared" si="6"/>
        <v>0.28355145895928041</v>
      </c>
      <c r="S8" s="7">
        <f t="shared" si="17"/>
        <v>0.31838815881207444</v>
      </c>
      <c r="T8" s="7">
        <f t="shared" si="7"/>
        <v>0.10005622010645492</v>
      </c>
      <c r="U8" s="7">
        <f t="shared" si="8"/>
        <v>0.10226251036051767</v>
      </c>
      <c r="AA8" s="2">
        <v>1.3644261282788099</v>
      </c>
      <c r="AB8" s="2">
        <v>0.722502264737094</v>
      </c>
      <c r="AC8" s="2">
        <v>0.56851155647587404</v>
      </c>
      <c r="AD8" s="2">
        <f t="shared" si="9"/>
        <v>2.655439949491778</v>
      </c>
      <c r="AE8" s="2">
        <f t="shared" si="10"/>
        <v>51</v>
      </c>
      <c r="AF8" s="2">
        <f t="shared" si="11"/>
        <v>27</v>
      </c>
      <c r="AG8" s="2">
        <f t="shared" si="12"/>
        <v>22</v>
      </c>
      <c r="AH8" s="2">
        <f t="shared" si="1"/>
        <v>1.1241296609668208</v>
      </c>
      <c r="AI8" s="2">
        <f t="shared" si="2"/>
        <v>1.2564131781215633</v>
      </c>
      <c r="AJ8" s="2">
        <f t="shared" si="3"/>
        <v>0.80381377347051497</v>
      </c>
      <c r="AK8" s="2">
        <f t="shared" si="13"/>
        <v>3.1843566125588989</v>
      </c>
      <c r="AL8" s="23">
        <f t="shared" si="14"/>
        <v>35</v>
      </c>
      <c r="AM8" s="10">
        <f t="shared" si="15"/>
        <v>39</v>
      </c>
      <c r="AN8">
        <f t="shared" si="16"/>
        <v>26</v>
      </c>
    </row>
    <row r="9" spans="1:40" s="2" customFormat="1" ht="15">
      <c r="A9" s="2" t="s">
        <v>51</v>
      </c>
      <c r="B9" s="2" t="s">
        <v>52</v>
      </c>
      <c r="C9" s="3">
        <v>6.0900000000000003E-2</v>
      </c>
      <c r="D9" s="2">
        <v>1.404832681</v>
      </c>
      <c r="E9" s="4">
        <f t="shared" si="0"/>
        <v>7.3238976702378888E-2</v>
      </c>
      <c r="F9">
        <v>0.20282782299999999</v>
      </c>
      <c r="G9">
        <v>0.21421606400000001</v>
      </c>
      <c r="H9" s="5">
        <f t="shared" si="4"/>
        <v>0.9468375957089753</v>
      </c>
      <c r="I9">
        <v>5.3893374209389597E-2</v>
      </c>
      <c r="J9">
        <v>0.554872196614001</v>
      </c>
      <c r="K9">
        <v>0.16613557784880401</v>
      </c>
      <c r="L9" s="5">
        <v>1</v>
      </c>
      <c r="M9">
        <v>2.35338384185098</v>
      </c>
      <c r="N9">
        <v>3.46158234804291</v>
      </c>
      <c r="O9" s="6">
        <f t="shared" si="5"/>
        <v>0.7680252781499658</v>
      </c>
      <c r="P9">
        <v>0.29210000000000003</v>
      </c>
      <c r="Q9">
        <v>0.22409999999999999</v>
      </c>
      <c r="R9" s="7">
        <f>((1-$W$5)*(1-0)*(1-$W$1)*D9/L9-K9)/(1+$W$6)</f>
        <v>0.24253748009497811</v>
      </c>
      <c r="S9" s="7">
        <f t="shared" si="17"/>
        <v>0.27136573493195687</v>
      </c>
      <c r="T9" s="7">
        <f t="shared" si="7"/>
        <v>3.7596351631707811E-2</v>
      </c>
      <c r="U9" s="7">
        <f t="shared" si="8"/>
        <v>0.11808195700990506</v>
      </c>
      <c r="V9" s="2">
        <f>$W$6*(1-$W$2)/(1+(($W$6)*(1-Y1*W1*D9))^4)*((1-$W$5)*(1-0)*(1-$W$1)*D9/L9-K9)</f>
        <v>0.18848098985317699</v>
      </c>
      <c r="W9" s="2">
        <f>(1+Y1*W1*D9)^4-1</f>
        <v>0.41431567983246209</v>
      </c>
      <c r="X9" s="2">
        <f>(1+W6)/W6*($W$1*D9+M9*J9*K9)/((1-$W$5)*M9*J9*(1-J9/2)*(1-$W$1)*D9/L9-M9*J9*K9)</f>
        <v>3.0124414964351685</v>
      </c>
      <c r="Y9" s="2" t="s">
        <v>53</v>
      </c>
      <c r="Z9" s="2">
        <f>W1*D9-Y1</f>
        <v>0.32673976515999997</v>
      </c>
      <c r="AA9" s="2">
        <v>1.3181851032576399</v>
      </c>
      <c r="AB9" s="2">
        <v>0.64162368793281699</v>
      </c>
      <c r="AC9" s="2">
        <v>0.83561558729153895</v>
      </c>
      <c r="AD9" s="2">
        <f t="shared" si="9"/>
        <v>2.7954243784819957</v>
      </c>
      <c r="AE9" s="2">
        <f t="shared" si="10"/>
        <v>47</v>
      </c>
      <c r="AF9" s="2">
        <f t="shared" si="11"/>
        <v>23</v>
      </c>
      <c r="AG9" s="2">
        <f t="shared" si="12"/>
        <v>30</v>
      </c>
      <c r="AH9" s="2">
        <f t="shared" si="1"/>
        <v>3.5960171402527648</v>
      </c>
      <c r="AI9" s="2">
        <f t="shared" si="2"/>
        <v>2.1369316224736394</v>
      </c>
      <c r="AJ9" s="2">
        <f t="shared" si="3"/>
        <v>0.73947690543681055</v>
      </c>
      <c r="AK9" s="2">
        <f t="shared" si="13"/>
        <v>6.4724256681632149</v>
      </c>
      <c r="AL9" s="11">
        <f t="shared" si="14"/>
        <v>56</v>
      </c>
      <c r="AM9">
        <f t="shared" si="15"/>
        <v>33</v>
      </c>
      <c r="AN9">
        <f t="shared" si="16"/>
        <v>11</v>
      </c>
    </row>
    <row r="10" spans="1:40" s="2" customFormat="1" ht="15">
      <c r="A10" s="2" t="s">
        <v>54</v>
      </c>
      <c r="B10" s="2" t="s">
        <v>55</v>
      </c>
      <c r="C10" s="3">
        <v>9.2700000000000005E-2</v>
      </c>
      <c r="D10" s="2">
        <v>1.336641454</v>
      </c>
      <c r="E10" s="4">
        <f t="shared" si="0"/>
        <v>6.8239581797072679E-2</v>
      </c>
      <c r="F10">
        <v>0.249978904</v>
      </c>
      <c r="G10">
        <v>0.17675927699999999</v>
      </c>
      <c r="H10" s="5">
        <f t="shared" si="4"/>
        <v>1.4142335737207163</v>
      </c>
      <c r="I10">
        <v>6.9560981898624405E-2</v>
      </c>
      <c r="J10">
        <v>0.65560011270057605</v>
      </c>
      <c r="K10">
        <v>0.10581743998896</v>
      </c>
      <c r="L10" s="5">
        <v>1</v>
      </c>
      <c r="M10">
        <v>2.1521521968500199</v>
      </c>
      <c r="N10">
        <v>3.7414486232341</v>
      </c>
      <c r="O10" s="6">
        <f t="shared" si="5"/>
        <v>0.76450717836811566</v>
      </c>
      <c r="P10">
        <v>0.25</v>
      </c>
      <c r="Q10">
        <v>0.2</v>
      </c>
      <c r="R10" s="7">
        <f t="shared" si="6"/>
        <v>0.25461072381329075</v>
      </c>
      <c r="S10" s="7">
        <f t="shared" si="17"/>
        <v>0.27960295515037265</v>
      </c>
      <c r="T10" s="7">
        <f t="shared" si="7"/>
        <v>4.6170689006360233E-2</v>
      </c>
      <c r="U10" s="7">
        <f t="shared" si="8"/>
        <v>0.14651580376961096</v>
      </c>
      <c r="AA10" s="2">
        <v>1.4391449842408399</v>
      </c>
      <c r="AB10" s="2">
        <v>0.56092099763954295</v>
      </c>
      <c r="AC10" s="2">
        <v>0.73947551237714204</v>
      </c>
      <c r="AD10" s="2">
        <f t="shared" si="9"/>
        <v>2.7395414942575251</v>
      </c>
      <c r="AE10" s="2">
        <f t="shared" si="10"/>
        <v>53</v>
      </c>
      <c r="AF10" s="2">
        <f t="shared" si="11"/>
        <v>20</v>
      </c>
      <c r="AG10" s="2">
        <f t="shared" si="12"/>
        <v>27</v>
      </c>
      <c r="AH10" s="2">
        <f t="shared" si="1"/>
        <v>1.6427900539947988</v>
      </c>
      <c r="AI10" s="2">
        <f t="shared" si="2"/>
        <v>1.5126042742235115</v>
      </c>
      <c r="AJ10" s="2">
        <f t="shared" si="3"/>
        <v>0.55489366484295988</v>
      </c>
      <c r="AK10" s="2">
        <f t="shared" si="13"/>
        <v>3.7102879930612707</v>
      </c>
      <c r="AL10" s="11">
        <f t="shared" si="14"/>
        <v>44</v>
      </c>
      <c r="AM10">
        <f t="shared" si="15"/>
        <v>41</v>
      </c>
      <c r="AN10" s="23">
        <f t="shared" si="16"/>
        <v>15</v>
      </c>
    </row>
    <row r="11" spans="1:40" s="2" customFormat="1" ht="15">
      <c r="A11" s="2" t="s">
        <v>56</v>
      </c>
      <c r="B11" s="2" t="s">
        <v>57</v>
      </c>
      <c r="C11" s="3">
        <v>9.1800000000000007E-2</v>
      </c>
      <c r="D11" s="2">
        <v>1.387720107</v>
      </c>
      <c r="E11" s="4">
        <f t="shared" si="0"/>
        <v>7.1990943463978052E-2</v>
      </c>
      <c r="F11">
        <v>0.192856256</v>
      </c>
      <c r="G11">
        <v>0.218757332</v>
      </c>
      <c r="H11" s="5">
        <f t="shared" si="4"/>
        <v>0.88159904967208136</v>
      </c>
      <c r="I11">
        <v>0.106666426565109</v>
      </c>
      <c r="J11">
        <v>0.586072542487173</v>
      </c>
      <c r="K11">
        <v>9.7499058471790995E-2</v>
      </c>
      <c r="L11" s="5">
        <v>1</v>
      </c>
      <c r="M11">
        <v>2.1811002776177801</v>
      </c>
      <c r="N11">
        <v>3.52851053878915</v>
      </c>
      <c r="O11" s="6">
        <f t="shared" si="5"/>
        <v>0.78364525490900294</v>
      </c>
      <c r="P11">
        <v>0.29210000000000003</v>
      </c>
      <c r="Q11">
        <v>0.22409999999999999</v>
      </c>
      <c r="R11" s="7">
        <f t="shared" si="6"/>
        <v>0.26998193110689156</v>
      </c>
      <c r="S11" s="7">
        <f t="shared" si="17"/>
        <v>0.30066963226377069</v>
      </c>
      <c r="T11" s="7">
        <f t="shared" si="7"/>
        <v>7.3504741195029866E-2</v>
      </c>
      <c r="U11" s="7">
        <f t="shared" si="8"/>
        <v>0.10850322992056637</v>
      </c>
      <c r="AA11" s="2">
        <v>1.3547899436039199</v>
      </c>
      <c r="AB11" s="2">
        <v>0.63050592947538497</v>
      </c>
      <c r="AC11" s="2">
        <v>0.60601137341350997</v>
      </c>
      <c r="AD11" s="2">
        <f t="shared" si="9"/>
        <v>2.5913072464928151</v>
      </c>
      <c r="AE11" s="2">
        <f t="shared" si="10"/>
        <v>52</v>
      </c>
      <c r="AF11" s="2">
        <f t="shared" si="11"/>
        <v>24</v>
      </c>
      <c r="AG11" s="2">
        <f t="shared" si="12"/>
        <v>24</v>
      </c>
      <c r="AH11" s="2">
        <f t="shared" si="1"/>
        <v>1.4388969926844553</v>
      </c>
      <c r="AI11" s="2">
        <f t="shared" si="2"/>
        <v>1.3245861976516644</v>
      </c>
      <c r="AJ11" s="2">
        <f t="shared" si="3"/>
        <v>0.70415106383260351</v>
      </c>
      <c r="AK11" s="2">
        <f t="shared" si="13"/>
        <v>3.4676342541687233</v>
      </c>
      <c r="AL11" s="11">
        <f t="shared" si="14"/>
        <v>41</v>
      </c>
      <c r="AM11" s="23">
        <f t="shared" si="15"/>
        <v>38</v>
      </c>
      <c r="AN11">
        <f t="shared" si="16"/>
        <v>21</v>
      </c>
    </row>
    <row r="12" spans="1:40" s="2" customFormat="1" ht="15">
      <c r="A12" s="2" t="s">
        <v>58</v>
      </c>
      <c r="B12" s="2" t="s">
        <v>59</v>
      </c>
      <c r="C12" s="3">
        <v>6.88E-2</v>
      </c>
      <c r="D12" s="2">
        <v>1.373603565</v>
      </c>
      <c r="E12" s="4">
        <f t="shared" si="0"/>
        <v>7.0958122192093631E-2</v>
      </c>
      <c r="F12">
        <v>0.19299223600000001</v>
      </c>
      <c r="G12">
        <v>0.17759562600000001</v>
      </c>
      <c r="H12" s="5">
        <f t="shared" si="4"/>
        <v>1.0866947590252025</v>
      </c>
      <c r="I12">
        <v>0.202925822752864</v>
      </c>
      <c r="J12">
        <v>0.53458137876138101</v>
      </c>
      <c r="K12">
        <v>8.5274496697705399E-2</v>
      </c>
      <c r="L12" s="5">
        <v>1</v>
      </c>
      <c r="M12">
        <v>2.05702818486307</v>
      </c>
      <c r="N12">
        <v>3.5853342990816799</v>
      </c>
      <c r="O12" s="6">
        <f t="shared" si="5"/>
        <v>0.78619131436060297</v>
      </c>
      <c r="P12">
        <v>0.29210000000000003</v>
      </c>
      <c r="Q12">
        <v>0.22409999999999999</v>
      </c>
      <c r="R12" s="7">
        <f t="shared" si="6"/>
        <v>0.27236163408111463</v>
      </c>
      <c r="S12" s="7">
        <f t="shared" si="17"/>
        <v>0.30215256717903416</v>
      </c>
      <c r="T12" s="7">
        <f t="shared" si="7"/>
        <v>0.1384154122766233</v>
      </c>
      <c r="U12" s="7">
        <f t="shared" si="8"/>
        <v>9.3930552799482717E-2</v>
      </c>
      <c r="AA12" s="2">
        <v>1.2760884902371801</v>
      </c>
      <c r="AB12" s="2">
        <v>0.59481876582757598</v>
      </c>
      <c r="AC12" s="2">
        <v>0.49922223811539101</v>
      </c>
      <c r="AD12" s="2">
        <f t="shared" si="9"/>
        <v>2.370129494180147</v>
      </c>
      <c r="AE12" s="2">
        <f t="shared" si="10"/>
        <v>54</v>
      </c>
      <c r="AF12" s="2">
        <f t="shared" si="11"/>
        <v>25</v>
      </c>
      <c r="AG12" s="2">
        <f t="shared" si="12"/>
        <v>21</v>
      </c>
      <c r="AH12" s="2">
        <f t="shared" si="1"/>
        <v>1.5816541242254401</v>
      </c>
      <c r="AI12" s="2">
        <f t="shared" si="2"/>
        <v>1.6685378434858182</v>
      </c>
      <c r="AJ12" s="2">
        <f t="shared" si="3"/>
        <v>1.4724576076466847</v>
      </c>
      <c r="AK12" s="2">
        <f t="shared" si="13"/>
        <v>4.7226495753579432</v>
      </c>
      <c r="AL12" s="23">
        <f t="shared" si="14"/>
        <v>33</v>
      </c>
      <c r="AM12" s="10">
        <f t="shared" si="15"/>
        <v>35</v>
      </c>
      <c r="AN12">
        <f t="shared" si="16"/>
        <v>32</v>
      </c>
    </row>
    <row r="13" spans="1:40" s="2" customFormat="1" ht="15">
      <c r="A13" s="13" t="s">
        <v>60</v>
      </c>
      <c r="B13" s="13" t="s">
        <v>61</v>
      </c>
      <c r="C13" s="3">
        <v>7.2400000000000006E-2</v>
      </c>
      <c r="D13" s="2">
        <v>1.328540015</v>
      </c>
      <c r="E13" s="4">
        <f t="shared" si="0"/>
        <v>6.7640944515235724E-2</v>
      </c>
      <c r="F13">
        <v>0.17450549800000001</v>
      </c>
      <c r="G13">
        <v>0.17450549800000001</v>
      </c>
      <c r="H13" s="14">
        <f t="shared" si="4"/>
        <v>1</v>
      </c>
      <c r="I13">
        <v>0.35684273621226897</v>
      </c>
      <c r="J13">
        <v>0.55454960767425998</v>
      </c>
      <c r="K13">
        <v>1.0034258978587E-2</v>
      </c>
      <c r="L13" s="5">
        <v>1</v>
      </c>
      <c r="M13">
        <v>1.7865351002288701</v>
      </c>
      <c r="N13">
        <v>3.7771587081710001</v>
      </c>
      <c r="O13" s="6">
        <f t="shared" si="5"/>
        <v>0.79774063133639317</v>
      </c>
      <c r="P13">
        <v>0.29210000000000003</v>
      </c>
      <c r="Q13">
        <v>0.22409999999999999</v>
      </c>
      <c r="R13" s="7">
        <f t="shared" si="6"/>
        <v>0.29648564075681083</v>
      </c>
      <c r="S13" s="7">
        <f t="shared" si="17"/>
        <v>0.3248590349028278</v>
      </c>
      <c r="T13" s="7">
        <f t="shared" si="7"/>
        <v>0.23541667763953725</v>
      </c>
      <c r="U13" s="7">
        <f t="shared" si="8"/>
        <v>8.595366552985241E-2</v>
      </c>
      <c r="AA13" s="2">
        <v>1.3142140341122099</v>
      </c>
      <c r="AB13" s="2">
        <v>0.574290310504881</v>
      </c>
      <c r="AC13" s="2">
        <v>0.45465532662133501</v>
      </c>
      <c r="AD13" s="2">
        <f t="shared" si="9"/>
        <v>2.3431596712384262</v>
      </c>
      <c r="AE13" s="2">
        <f t="shared" si="10"/>
        <v>56</v>
      </c>
      <c r="AF13" s="2">
        <f t="shared" si="11"/>
        <v>25</v>
      </c>
      <c r="AG13" s="2">
        <f t="shared" si="12"/>
        <v>19</v>
      </c>
      <c r="AH13" s="2">
        <f t="shared" si="1"/>
        <v>0.18214314877866691</v>
      </c>
      <c r="AI13" s="2">
        <f t="shared" si="2"/>
        <v>1.3842101744644872</v>
      </c>
      <c r="AJ13" s="2">
        <f t="shared" si="3"/>
        <v>2.2408902042132599</v>
      </c>
      <c r="AK13" s="2">
        <f t="shared" si="13"/>
        <v>3.8072435274564143</v>
      </c>
      <c r="AL13">
        <f t="shared" si="14"/>
        <v>5</v>
      </c>
      <c r="AM13" s="15">
        <f t="shared" si="15"/>
        <v>36</v>
      </c>
      <c r="AN13" s="12">
        <f t="shared" si="16"/>
        <v>59</v>
      </c>
    </row>
    <row r="14" spans="1:40" s="2" customFormat="1" ht="15">
      <c r="A14" s="2" t="s">
        <v>62</v>
      </c>
      <c r="B14" s="2" t="s">
        <v>63</v>
      </c>
      <c r="C14" s="3">
        <v>8.1100000000000005E-2</v>
      </c>
      <c r="D14" s="2">
        <v>1.4088887699999999</v>
      </c>
      <c r="E14" s="4">
        <f t="shared" si="0"/>
        <v>7.3534153020848869E-2</v>
      </c>
      <c r="F14">
        <v>0.30471171699999999</v>
      </c>
      <c r="G14">
        <v>0.22159461</v>
      </c>
      <c r="H14" s="5">
        <f t="shared" si="4"/>
        <v>1.3750863209172823</v>
      </c>
      <c r="I14">
        <v>1.7018770187343799E-2</v>
      </c>
      <c r="J14">
        <v>0.67323549293393803</v>
      </c>
      <c r="K14">
        <v>0.157195545162366</v>
      </c>
      <c r="L14" s="5">
        <v>1</v>
      </c>
      <c r="M14">
        <v>2.2115399509728202</v>
      </c>
      <c r="N14">
        <v>3.4460236402628301</v>
      </c>
      <c r="O14" s="6">
        <f t="shared" si="5"/>
        <v>0.77038952131471428</v>
      </c>
      <c r="P14">
        <v>0.25</v>
      </c>
      <c r="Q14">
        <v>0.2</v>
      </c>
      <c r="R14" s="7">
        <f t="shared" si="6"/>
        <v>0.24753644213013276</v>
      </c>
      <c r="S14" s="7">
        <f t="shared" si="17"/>
        <v>0.27726369598395345</v>
      </c>
      <c r="T14" s="7">
        <f t="shared" si="7"/>
        <v>1.1906677952512087E-2</v>
      </c>
      <c r="U14" s="7">
        <f t="shared" si="8"/>
        <v>0.17767454128405263</v>
      </c>
      <c r="AA14" s="2">
        <v>1.4605896590690699</v>
      </c>
      <c r="AB14" s="2">
        <v>0.49452761438316301</v>
      </c>
      <c r="AC14" s="2">
        <v>1.8274070771370701</v>
      </c>
      <c r="AD14" s="2">
        <f t="shared" si="9"/>
        <v>3.7825243505893029</v>
      </c>
      <c r="AE14" s="2">
        <f t="shared" si="10"/>
        <v>39</v>
      </c>
      <c r="AF14" s="2">
        <f t="shared" si="11"/>
        <v>13</v>
      </c>
      <c r="AG14" s="2">
        <f t="shared" si="12"/>
        <v>48</v>
      </c>
      <c r="AH14" s="2">
        <f t="shared" si="1"/>
        <v>2.8310504034016857</v>
      </c>
      <c r="AI14" s="2">
        <f t="shared" si="2"/>
        <v>1.8580562081702527</v>
      </c>
      <c r="AJ14" s="2">
        <f t="shared" si="3"/>
        <v>0.38347991472899429</v>
      </c>
      <c r="AK14" s="2">
        <f t="shared" si="13"/>
        <v>5.0725865263009329</v>
      </c>
      <c r="AL14" s="11">
        <f t="shared" si="14"/>
        <v>56</v>
      </c>
      <c r="AM14">
        <f t="shared" si="15"/>
        <v>37</v>
      </c>
      <c r="AN14">
        <f t="shared" si="16"/>
        <v>7</v>
      </c>
    </row>
    <row r="15" spans="1:40" ht="15">
      <c r="A15" t="s">
        <v>64</v>
      </c>
      <c r="B15" t="s">
        <v>65</v>
      </c>
      <c r="C15" s="16">
        <v>9.2299999999999993E-2</v>
      </c>
      <c r="D15">
        <v>1.274418448</v>
      </c>
      <c r="E15" s="17">
        <f t="shared" si="0"/>
        <v>6.3615683298332115E-2</v>
      </c>
      <c r="F15">
        <v>0.29355436899999998</v>
      </c>
      <c r="G15">
        <v>0.30013535699999999</v>
      </c>
      <c r="H15" s="18">
        <f t="shared" si="4"/>
        <v>0.97807326645624093</v>
      </c>
      <c r="I15">
        <v>3.8738013260048297E-2</v>
      </c>
      <c r="J15">
        <v>0.69507000609839797</v>
      </c>
      <c r="K15">
        <v>9.1650183576385394E-2</v>
      </c>
      <c r="L15" s="18">
        <v>1</v>
      </c>
      <c r="M15">
        <v>2.14905302441176</v>
      </c>
      <c r="N15">
        <v>4.03077011991014</v>
      </c>
      <c r="O15" s="6">
        <f t="shared" si="5"/>
        <v>0.7456449288556255</v>
      </c>
      <c r="P15">
        <v>0.25</v>
      </c>
      <c r="Q15">
        <v>0.2</v>
      </c>
      <c r="R15" s="19">
        <f>((1-$X$5)*(1-0)*(1-$W$1)*D15/L15-K15)/(1+$W$6)</f>
        <v>0.25594575089313187</v>
      </c>
      <c r="S15" s="19">
        <f>$W$6/(1+$W$6)*(1-$X$2)*(1-$Y$1+$W$1*D15)*((1-$X$5)*(1-0)*(1-$W$1)*D15/L15-K15)</f>
        <v>0.29266218237399494</v>
      </c>
      <c r="T15" s="19">
        <f>(1-$X$5)*I15*(1-$W$1)*D15/L15</f>
        <v>2.527664063358678E-2</v>
      </c>
      <c r="U15" s="19">
        <f>1/(M15*(1-J15))*($X$5*(1-$W$1)*D15+$X$2*($W$1*D15+M15*J15*K15)-N15^(-1))</f>
        <v>9.7598146665787394E-2</v>
      </c>
      <c r="AA15">
        <v>1.5131807087970599</v>
      </c>
      <c r="AB15">
        <v>0.44682076136000998</v>
      </c>
      <c r="AC15">
        <v>1.0080815039231501</v>
      </c>
      <c r="AD15">
        <f t="shared" si="9"/>
        <v>2.9680829740802199</v>
      </c>
      <c r="AE15">
        <f t="shared" si="10"/>
        <v>51</v>
      </c>
      <c r="AF15">
        <f t="shared" si="11"/>
        <v>15</v>
      </c>
      <c r="AG15">
        <f t="shared" si="12"/>
        <v>34</v>
      </c>
      <c r="AH15">
        <f t="shared" si="1"/>
        <v>1.5025275162025518</v>
      </c>
      <c r="AI15">
        <f t="shared" si="2"/>
        <v>1.4210854459061464</v>
      </c>
      <c r="AJ15">
        <f t="shared" si="3"/>
        <v>0.42308856626418656</v>
      </c>
      <c r="AK15" s="20">
        <f t="shared" si="13"/>
        <v>3.3467015283728845</v>
      </c>
      <c r="AL15" s="11">
        <f t="shared" si="14"/>
        <v>45</v>
      </c>
      <c r="AM15">
        <f t="shared" si="15"/>
        <v>42</v>
      </c>
      <c r="AN15">
        <f t="shared" si="16"/>
        <v>13</v>
      </c>
    </row>
    <row r="16" spans="1:40" ht="15">
      <c r="A16" t="s">
        <v>66</v>
      </c>
      <c r="B16" t="s">
        <v>67</v>
      </c>
      <c r="C16" s="16">
        <v>7.3200000000000001E-2</v>
      </c>
      <c r="D16">
        <v>1.261520588</v>
      </c>
      <c r="E16" s="17">
        <f t="shared" si="0"/>
        <v>6.2649637541019931E-2</v>
      </c>
      <c r="F16">
        <v>0.16453489299999999</v>
      </c>
      <c r="G16">
        <v>0.18978761</v>
      </c>
      <c r="H16" s="21">
        <f t="shared" si="4"/>
        <v>0.86694222557521006</v>
      </c>
      <c r="I16">
        <v>1.8082695029871199E-2</v>
      </c>
      <c r="J16">
        <v>0.69560846622544203</v>
      </c>
      <c r="K16">
        <v>0.115026201604749</v>
      </c>
      <c r="L16" s="18">
        <v>1</v>
      </c>
      <c r="M16">
        <v>2.17780887673878</v>
      </c>
      <c r="N16">
        <v>4.0953469245165701</v>
      </c>
      <c r="O16" s="6">
        <f t="shared" si="5"/>
        <v>0.73197047098829693</v>
      </c>
      <c r="P16">
        <v>0.25</v>
      </c>
      <c r="Q16">
        <v>0.2</v>
      </c>
      <c r="R16" s="19">
        <f t="shared" ref="R16:R18" si="18">((1-$X$5)*(1-0)*(1-$W$1)*D16/L16-K16)/(1+$W$6)</f>
        <v>0.24226445582327255</v>
      </c>
      <c r="S16" s="19">
        <f t="shared" ref="S16:S18" si="19">$W$6/(1+$W$6)*(1-$X$2)*(1-$Y$1+$W$1*D16)*((1-$X$5)*(1-0)*(1-$W$1)*D16/L16-K16)</f>
        <v>0.27601319684899456</v>
      </c>
      <c r="T16" s="19">
        <f t="shared" ref="T16:T18" si="20">(1-$X$5)*I16*(1-$W$1)*D16/L16</f>
        <v>1.1679586338154392E-2</v>
      </c>
      <c r="U16" s="19">
        <f t="shared" ref="U16:U18" si="21">1/(M16*(1-J16))*($X$5*(1-$W$1)*D16+$X$2*($W$1*D16+M16*J16*K16)-N16^(-1))</f>
        <v>0.11222591016217544</v>
      </c>
      <c r="AA16">
        <v>1.53088212514225</v>
      </c>
      <c r="AB16">
        <v>0.801964842544581</v>
      </c>
      <c r="AC16">
        <v>1.65130086834459</v>
      </c>
      <c r="AD16">
        <f t="shared" si="9"/>
        <v>3.9841478360314211</v>
      </c>
      <c r="AE16">
        <f t="shared" si="10"/>
        <v>38</v>
      </c>
      <c r="AF16">
        <f t="shared" si="11"/>
        <v>20</v>
      </c>
      <c r="AG16">
        <f t="shared" si="12"/>
        <v>42</v>
      </c>
      <c r="AH16">
        <f t="shared" si="1"/>
        <v>2.4056223491764896</v>
      </c>
      <c r="AI16">
        <f t="shared" si="2"/>
        <v>1.8026120158174106</v>
      </c>
      <c r="AJ16">
        <f t="shared" si="3"/>
        <v>0.40792308749776929</v>
      </c>
      <c r="AK16" s="20">
        <f t="shared" si="13"/>
        <v>4.6161574524916693</v>
      </c>
      <c r="AL16" s="11">
        <f t="shared" si="14"/>
        <v>52</v>
      </c>
      <c r="AM16" s="15">
        <f t="shared" si="15"/>
        <v>39</v>
      </c>
      <c r="AN16" s="23">
        <f t="shared" si="16"/>
        <v>9</v>
      </c>
    </row>
    <row r="17" spans="1:40" ht="15">
      <c r="A17" t="s">
        <v>68</v>
      </c>
      <c r="B17" t="s">
        <v>69</v>
      </c>
      <c r="C17" s="16">
        <v>7.6200000000000004E-2</v>
      </c>
      <c r="D17">
        <v>1.2571666029999999</v>
      </c>
      <c r="E17" s="17">
        <f t="shared" si="0"/>
        <v>6.2322929795181281E-2</v>
      </c>
      <c r="F17">
        <v>0.25229085600000001</v>
      </c>
      <c r="G17">
        <v>0.18571601200000001</v>
      </c>
      <c r="H17" s="21">
        <f t="shared" si="4"/>
        <v>1.358476597052924</v>
      </c>
      <c r="I17">
        <v>0.13041493616432301</v>
      </c>
      <c r="J17">
        <v>0.622840047969212</v>
      </c>
      <c r="K17">
        <v>8.2911632825278803E-2</v>
      </c>
      <c r="L17" s="18">
        <v>1</v>
      </c>
      <c r="M17">
        <v>2.0917768062749298</v>
      </c>
      <c r="N17">
        <v>4.1175302896387196</v>
      </c>
      <c r="O17" s="6">
        <f t="shared" si="5"/>
        <v>0.74631717030565192</v>
      </c>
      <c r="P17">
        <v>0.25</v>
      </c>
      <c r="Q17">
        <v>0.2</v>
      </c>
      <c r="R17" s="19">
        <f t="shared" si="18"/>
        <v>0.25590267408835909</v>
      </c>
      <c r="S17" s="19">
        <f t="shared" si="19"/>
        <v>0.29119291203375552</v>
      </c>
      <c r="T17" s="19">
        <f t="shared" si="20"/>
        <v>8.3944090766419871E-2</v>
      </c>
      <c r="U17" s="19">
        <f t="shared" si="21"/>
        <v>7.3774807430500342E-2</v>
      </c>
      <c r="AA17">
        <v>1.4193769577119399</v>
      </c>
      <c r="AB17">
        <v>0.51075633507117002</v>
      </c>
      <c r="AC17">
        <v>0.53596930600762405</v>
      </c>
      <c r="AD17">
        <f t="shared" si="9"/>
        <v>2.4661025987907337</v>
      </c>
      <c r="AE17">
        <f t="shared" si="10"/>
        <v>58</v>
      </c>
      <c r="AF17">
        <f t="shared" si="11"/>
        <v>21</v>
      </c>
      <c r="AG17">
        <f t="shared" si="12"/>
        <v>21</v>
      </c>
      <c r="AH17">
        <f t="shared" si="1"/>
        <v>1.5443945033920423</v>
      </c>
      <c r="AI17">
        <f t="shared" si="2"/>
        <v>1.6910649997707128</v>
      </c>
      <c r="AJ17">
        <f t="shared" si="3"/>
        <v>0.91730187439659827</v>
      </c>
      <c r="AK17" s="20">
        <f t="shared" si="13"/>
        <v>4.1527613775593535</v>
      </c>
      <c r="AL17">
        <f t="shared" si="14"/>
        <v>37</v>
      </c>
      <c r="AM17" s="10">
        <f t="shared" si="15"/>
        <v>41</v>
      </c>
      <c r="AN17">
        <f t="shared" si="16"/>
        <v>22</v>
      </c>
    </row>
    <row r="18" spans="1:40" ht="15">
      <c r="A18" t="s">
        <v>70</v>
      </c>
      <c r="B18" t="s">
        <v>71</v>
      </c>
      <c r="C18" s="16">
        <v>8.3699999999999997E-2</v>
      </c>
      <c r="D18">
        <v>1.2248645199999999</v>
      </c>
      <c r="E18" s="17">
        <f t="shared" si="0"/>
        <v>5.9889628913682769E-2</v>
      </c>
      <c r="F18">
        <v>0.167801009</v>
      </c>
      <c r="G18">
        <v>0.203459896</v>
      </c>
      <c r="H18" s="21">
        <f t="shared" si="4"/>
        <v>0.82473751485649049</v>
      </c>
      <c r="I18">
        <v>3.4652324067294897E-2</v>
      </c>
      <c r="J18">
        <v>0.69739374414798705</v>
      </c>
      <c r="K18">
        <v>8.6464739765420906E-2</v>
      </c>
      <c r="L18" s="18">
        <v>1</v>
      </c>
      <c r="M18">
        <v>2.15192256085294</v>
      </c>
      <c r="N18">
        <v>4.2884516910034902</v>
      </c>
      <c r="O18" s="6">
        <f t="shared" si="5"/>
        <v>0.72972326036587365</v>
      </c>
      <c r="P18">
        <v>0.25</v>
      </c>
      <c r="Q18">
        <v>0.2</v>
      </c>
      <c r="R18" s="19">
        <f t="shared" si="18"/>
        <v>0.24673376059201294</v>
      </c>
      <c r="S18" s="19">
        <f t="shared" si="19"/>
        <v>0.27819601279996431</v>
      </c>
      <c r="T18" s="19">
        <f t="shared" si="20"/>
        <v>2.1731533970212664E-2</v>
      </c>
      <c r="U18" s="19">
        <f t="shared" si="21"/>
        <v>0.10177793684984199</v>
      </c>
      <c r="AA18">
        <v>1.52577965792998</v>
      </c>
      <c r="AB18">
        <v>0.73905826242533101</v>
      </c>
      <c r="AC18">
        <v>1.0431995819183499</v>
      </c>
      <c r="AD18">
        <f t="shared" si="9"/>
        <v>3.308037502273661</v>
      </c>
      <c r="AE18">
        <f t="shared" si="10"/>
        <v>46</v>
      </c>
      <c r="AF18">
        <f t="shared" si="11"/>
        <v>22</v>
      </c>
      <c r="AG18">
        <f t="shared" si="12"/>
        <v>32</v>
      </c>
      <c r="AH18">
        <f t="shared" si="1"/>
        <v>1.5761785073152765</v>
      </c>
      <c r="AI18">
        <f t="shared" si="2"/>
        <v>1.4816573732945919</v>
      </c>
      <c r="AJ18">
        <f t="shared" si="3"/>
        <v>0.43189115865592848</v>
      </c>
      <c r="AK18" s="20">
        <f t="shared" si="13"/>
        <v>3.4897270392657971</v>
      </c>
      <c r="AL18" s="11">
        <f t="shared" si="14"/>
        <v>45</v>
      </c>
      <c r="AM18" s="23">
        <f t="shared" si="15"/>
        <v>42</v>
      </c>
      <c r="AN18">
        <f t="shared" si="16"/>
        <v>13</v>
      </c>
    </row>
    <row r="19" spans="1:40" s="2" customFormat="1" ht="15">
      <c r="A19" s="2" t="s">
        <v>72</v>
      </c>
      <c r="B19" s="2" t="s">
        <v>73</v>
      </c>
      <c r="C19" s="3">
        <v>0.08</v>
      </c>
      <c r="D19" s="2">
        <v>1.4319759009999999</v>
      </c>
      <c r="E19" s="4">
        <f t="shared" si="0"/>
        <v>7.5209667854853279E-2</v>
      </c>
      <c r="F19">
        <v>0.26228230699999999</v>
      </c>
      <c r="G19">
        <v>0.16562753699999999</v>
      </c>
      <c r="H19" s="5">
        <f t="shared" si="4"/>
        <v>1.5835670308856915</v>
      </c>
      <c r="I19">
        <v>2.2992380503815898E-2</v>
      </c>
      <c r="J19">
        <v>0.65337609559183996</v>
      </c>
      <c r="K19">
        <v>0.16707003745107299</v>
      </c>
      <c r="L19" s="5">
        <v>1</v>
      </c>
      <c r="M19">
        <v>2.23266293230924</v>
      </c>
      <c r="N19">
        <v>3.3596076555530501</v>
      </c>
      <c r="O19" s="6">
        <f t="shared" si="5"/>
        <v>0.77665608834538913</v>
      </c>
      <c r="P19">
        <v>0.25</v>
      </c>
      <c r="Q19">
        <v>0.2</v>
      </c>
      <c r="R19" s="7">
        <f t="shared" ref="R19:R24" si="22">((1-$W$20)*(1-0)*(1-$W$1)*D19/L19-K19)/(1+$W$6)</f>
        <v>0.24161219305621204</v>
      </c>
      <c r="S19" s="7">
        <f>$W$6/(1+$W$6)*(1-$W$2)*(1-$Y$1+$W$1*D19)*((1-$W$20)*(1-0)*(1-$W$1)*D19/L19-K19)</f>
        <v>0.27232147583370364</v>
      </c>
      <c r="T19" s="7">
        <f t="shared" ref="T19:T24" si="23">(1-$W$20)*I19*(1-$W$1)*D19/L19</f>
        <v>1.6014493720925324E-2</v>
      </c>
      <c r="U19" s="7">
        <f>1/(M19*(1-J19))*($W$20*(1-$W$1)*D19+$W$2*($W$1*D19+M19*J19*K19)-N19^(-1))</f>
        <v>0.18615997066994114</v>
      </c>
      <c r="V19" s="9" t="s">
        <v>74</v>
      </c>
      <c r="W19" s="9">
        <f>$W$1*$W$2+(1-$W$1)*W20</f>
        <v>0.25875599999999999</v>
      </c>
      <c r="X19" s="9"/>
      <c r="AA19" s="2">
        <v>1.42449228852781</v>
      </c>
      <c r="AB19" s="2">
        <v>0.58677360594972805</v>
      </c>
      <c r="AC19" s="2">
        <v>1.49319029568206</v>
      </c>
      <c r="AD19" s="2">
        <f t="shared" si="9"/>
        <v>3.5044561901595981</v>
      </c>
      <c r="AE19" s="2">
        <f t="shared" si="10"/>
        <v>41</v>
      </c>
      <c r="AF19" s="2">
        <f t="shared" si="11"/>
        <v>17</v>
      </c>
      <c r="AG19" s="2">
        <f t="shared" si="12"/>
        <v>42</v>
      </c>
      <c r="AH19" s="2">
        <f t="shared" si="1"/>
        <v>2.9748747499138237</v>
      </c>
      <c r="AI19" s="2">
        <f t="shared" si="2"/>
        <v>1.9237541881900448</v>
      </c>
      <c r="AJ19" s="2">
        <f t="shared" si="3"/>
        <v>0.42914999303659118</v>
      </c>
      <c r="AK19" s="2">
        <f t="shared" si="13"/>
        <v>5.3277789311404602</v>
      </c>
      <c r="AL19" s="11">
        <f t="shared" si="14"/>
        <v>56</v>
      </c>
      <c r="AM19">
        <f t="shared" si="15"/>
        <v>36</v>
      </c>
      <c r="AN19">
        <f t="shared" si="16"/>
        <v>8</v>
      </c>
    </row>
    <row r="20" spans="1:40" s="2" customFormat="1" ht="15">
      <c r="A20" s="13" t="s">
        <v>75</v>
      </c>
      <c r="B20" s="13" t="s">
        <v>76</v>
      </c>
      <c r="C20" s="3">
        <v>7.4099999999999999E-2</v>
      </c>
      <c r="D20" s="2">
        <v>1.4792185980000001</v>
      </c>
      <c r="E20" s="4">
        <f t="shared" si="0"/>
        <v>7.8614029128135643E-2</v>
      </c>
      <c r="F20">
        <v>0.225157616</v>
      </c>
      <c r="G20">
        <v>0.207520807</v>
      </c>
      <c r="H20" s="26">
        <f t="shared" si="4"/>
        <v>1.0849881477186045</v>
      </c>
      <c r="I20">
        <v>0.13675110481241401</v>
      </c>
      <c r="J20">
        <v>0.525702491321417</v>
      </c>
      <c r="K20">
        <v>0.12974723526003801</v>
      </c>
      <c r="L20" s="5">
        <v>1</v>
      </c>
      <c r="M20">
        <v>2.2105229315960102</v>
      </c>
      <c r="N20">
        <v>3.19346784558121</v>
      </c>
      <c r="O20" s="6">
        <f t="shared" si="5"/>
        <v>0.80783466383856184</v>
      </c>
      <c r="P20">
        <v>0.29210000000000003</v>
      </c>
      <c r="Q20">
        <v>0.24</v>
      </c>
      <c r="R20" s="7">
        <f t="shared" si="22"/>
        <v>0.26913094914823882</v>
      </c>
      <c r="S20" s="7">
        <f>$W$6/(1+$W$6)*(1-$W$2)*(1-$Y$1+$W$1*D20)*((1-$W$20)*(1-0)*(1-$W$1)*D20/L20-K20)</f>
        <v>0.30719794318637961</v>
      </c>
      <c r="T20" s="7">
        <f t="shared" si="23"/>
        <v>9.839131579330132E-2</v>
      </c>
      <c r="U20" s="7">
        <f t="shared" ref="U20:U24" si="24">1/(M20*(1-J20))*($W$20*(1-$W$1)*D20+$W$2*($W$1*D20+M20*J20*K20)-N20^(-1))</f>
        <v>0.10840739106201</v>
      </c>
      <c r="V20" s="9" t="s">
        <v>77</v>
      </c>
      <c r="W20" s="9">
        <v>0.24</v>
      </c>
      <c r="X20" s="9"/>
      <c r="AA20" s="2">
        <v>1.2916163807176999</v>
      </c>
      <c r="AB20" s="2">
        <v>0.57267289161260004</v>
      </c>
      <c r="AC20" s="2">
        <v>0.61369171082846097</v>
      </c>
      <c r="AD20" s="2">
        <f t="shared" si="9"/>
        <v>2.4779809831587611</v>
      </c>
      <c r="AE20" s="2">
        <f t="shared" si="10"/>
        <v>52</v>
      </c>
      <c r="AF20" s="2">
        <f t="shared" si="11"/>
        <v>23</v>
      </c>
      <c r="AG20" s="2">
        <f t="shared" si="12"/>
        <v>25</v>
      </c>
      <c r="AH20" s="2">
        <f t="shared" si="1"/>
        <v>2.2615877788758194</v>
      </c>
      <c r="AI20" s="2">
        <f t="shared" si="2"/>
        <v>1.7401034146196952</v>
      </c>
      <c r="AJ20" s="2">
        <f t="shared" si="3"/>
        <v>1.1325643653173081</v>
      </c>
      <c r="AK20" s="2">
        <f t="shared" si="13"/>
        <v>5.1342555588128231</v>
      </c>
      <c r="AL20" s="11">
        <f t="shared" si="14"/>
        <v>44</v>
      </c>
      <c r="AM20">
        <f t="shared" si="15"/>
        <v>34</v>
      </c>
      <c r="AN20">
        <f t="shared" si="16"/>
        <v>22</v>
      </c>
    </row>
    <row r="21" spans="1:40" s="2" customFormat="1" ht="15">
      <c r="A21" s="2" t="s">
        <v>78</v>
      </c>
      <c r="B21" s="2" t="s">
        <v>79</v>
      </c>
      <c r="C21" s="3">
        <v>7.8899999999999998E-2</v>
      </c>
      <c r="D21" s="2">
        <v>1.4291879729999999</v>
      </c>
      <c r="E21" s="4">
        <f t="shared" si="0"/>
        <v>7.5007753629370955E-2</v>
      </c>
      <c r="F21">
        <v>0.24641138600000001</v>
      </c>
      <c r="G21">
        <v>0.32412448599999999</v>
      </c>
      <c r="H21" s="5">
        <f t="shared" si="4"/>
        <v>0.76023687392750705</v>
      </c>
      <c r="I21">
        <v>6.63978246386904E-2</v>
      </c>
      <c r="J21">
        <v>0.57115784252478197</v>
      </c>
      <c r="K21">
        <v>0.13407328966336499</v>
      </c>
      <c r="L21" s="5">
        <v>1</v>
      </c>
      <c r="M21">
        <v>2.2908384942299902</v>
      </c>
      <c r="N21">
        <v>3.36985329163155</v>
      </c>
      <c r="O21" s="6">
        <f t="shared" si="5"/>
        <v>0.78580714300791177</v>
      </c>
      <c r="P21">
        <v>0.29210000000000003</v>
      </c>
      <c r="Q21">
        <v>0.24</v>
      </c>
      <c r="R21" s="7">
        <f t="shared" si="22"/>
        <v>0.2560514778011026</v>
      </c>
      <c r="S21" s="7">
        <f t="shared" ref="S21:S24" si="25">$W$6/(1+$W$6)*(1-$W$2)*(1-$Y$1+$W$1*D21)*((1-$W$20)*(1-0)*(1-$W$1)*D21/L21-K21)</f>
        <v>0.28837929459064027</v>
      </c>
      <c r="T21" s="7">
        <f t="shared" si="23"/>
        <v>4.6156914578754774E-2</v>
      </c>
      <c r="U21" s="7">
        <f t="shared" si="24"/>
        <v>0.12652984441030216</v>
      </c>
      <c r="AA21" s="2">
        <v>1.3335740593386101</v>
      </c>
      <c r="AB21" s="2">
        <v>0.49018338769566799</v>
      </c>
      <c r="AC21" s="2">
        <v>0.76428027432961698</v>
      </c>
      <c r="AD21" s="2">
        <f t="shared" si="9"/>
        <v>2.5880377213638952</v>
      </c>
      <c r="AE21" s="2">
        <f t="shared" si="10"/>
        <v>52</v>
      </c>
      <c r="AF21" s="2">
        <f t="shared" si="11"/>
        <v>19</v>
      </c>
      <c r="AG21" s="2">
        <f t="shared" si="12"/>
        <v>29</v>
      </c>
      <c r="AH21" s="2">
        <f t="shared" si="1"/>
        <v>2.266117378266856</v>
      </c>
      <c r="AI21" s="2">
        <f t="shared" si="2"/>
        <v>1.5308842580008226</v>
      </c>
      <c r="AJ21" s="2">
        <f t="shared" si="3"/>
        <v>0.64317550861531181</v>
      </c>
      <c r="AK21" s="2">
        <f t="shared" si="13"/>
        <v>4.4401771448829903</v>
      </c>
      <c r="AL21" s="11">
        <f t="shared" si="14"/>
        <v>51</v>
      </c>
      <c r="AM21">
        <f t="shared" si="15"/>
        <v>34</v>
      </c>
      <c r="AN21">
        <f t="shared" si="16"/>
        <v>15</v>
      </c>
    </row>
    <row r="22" spans="1:40" s="2" customFormat="1" ht="15">
      <c r="A22" s="13" t="s">
        <v>80</v>
      </c>
      <c r="B22" s="13" t="s">
        <v>81</v>
      </c>
      <c r="C22" s="3">
        <v>7.5600000000000001E-2</v>
      </c>
      <c r="D22" s="2">
        <v>1.442559948</v>
      </c>
      <c r="E22" s="4">
        <f t="shared" si="0"/>
        <v>7.5975178107476227E-2</v>
      </c>
      <c r="F22">
        <v>0.317254643</v>
      </c>
      <c r="G22">
        <v>0.322514878</v>
      </c>
      <c r="H22" s="26">
        <f t="shared" si="4"/>
        <v>0.98368994623559658</v>
      </c>
      <c r="I22">
        <v>0.15956562296091301</v>
      </c>
      <c r="J22">
        <v>0.53134700343882002</v>
      </c>
      <c r="K22">
        <v>0.10544158616229</v>
      </c>
      <c r="L22" s="5">
        <v>1</v>
      </c>
      <c r="M22">
        <v>2.15070834165261</v>
      </c>
      <c r="N22">
        <v>3.3211725206570999</v>
      </c>
      <c r="O22" s="6">
        <f t="shared" si="5"/>
        <v>0.80302186020146105</v>
      </c>
      <c r="P22">
        <v>0.29210000000000003</v>
      </c>
      <c r="Q22">
        <v>0.24</v>
      </c>
      <c r="R22" s="7">
        <f t="shared" si="22"/>
        <v>0.27208577196371464</v>
      </c>
      <c r="S22" s="7">
        <f t="shared" si="25"/>
        <v>0.30754257357121495</v>
      </c>
      <c r="T22" s="7">
        <f t="shared" si="23"/>
        <v>0.11196099989659042</v>
      </c>
      <c r="U22" s="7">
        <f t="shared" si="24"/>
        <v>0.10652400149706959</v>
      </c>
      <c r="AA22" s="2">
        <v>1.28443313334006</v>
      </c>
      <c r="AB22" s="2">
        <v>0.37462635091171398</v>
      </c>
      <c r="AC22" s="2">
        <v>0.56103905324300096</v>
      </c>
      <c r="AD22" s="2">
        <f t="shared" si="9"/>
        <v>2.220098537494775</v>
      </c>
      <c r="AE22" s="2">
        <f t="shared" si="10"/>
        <v>58</v>
      </c>
      <c r="AF22" s="2">
        <f t="shared" si="11"/>
        <v>17</v>
      </c>
      <c r="AG22" s="2">
        <f t="shared" si="12"/>
        <v>25</v>
      </c>
      <c r="AH22" s="2">
        <f t="shared" si="1"/>
        <v>1.7914373928409533</v>
      </c>
      <c r="AI22" s="2">
        <f t="shared" si="2"/>
        <v>1.5721157303821236</v>
      </c>
      <c r="AJ22" s="2">
        <f t="shared" si="3"/>
        <v>1.184160661853443</v>
      </c>
      <c r="AK22" s="2">
        <f t="shared" si="13"/>
        <v>4.5477137850765192</v>
      </c>
      <c r="AL22" s="11">
        <f t="shared" si="14"/>
        <v>39</v>
      </c>
      <c r="AM22">
        <f t="shared" si="15"/>
        <v>35</v>
      </c>
      <c r="AN22">
        <f t="shared" si="16"/>
        <v>26</v>
      </c>
    </row>
    <row r="23" spans="1:40" s="2" customFormat="1" ht="15">
      <c r="A23" s="2" t="s">
        <v>82</v>
      </c>
      <c r="B23" s="2" t="s">
        <v>83</v>
      </c>
      <c r="C23" s="3">
        <v>8.3699999999999997E-2</v>
      </c>
      <c r="D23" s="2">
        <v>1.4640128139999999</v>
      </c>
      <c r="E23" s="4">
        <f t="shared" si="0"/>
        <v>7.752180227109684E-2</v>
      </c>
      <c r="F23">
        <v>0.19265301600000001</v>
      </c>
      <c r="G23">
        <v>0.19265301600000001</v>
      </c>
      <c r="H23" s="25">
        <f t="shared" si="4"/>
        <v>1</v>
      </c>
      <c r="I23">
        <v>0.150145117802958</v>
      </c>
      <c r="J23">
        <v>0.54261510730454199</v>
      </c>
      <c r="K23">
        <v>0.105625460985334</v>
      </c>
      <c r="L23" s="5">
        <v>1</v>
      </c>
      <c r="M23">
        <v>2.15483043402027</v>
      </c>
      <c r="N23">
        <v>3.2454448685694901</v>
      </c>
      <c r="O23" s="6">
        <f t="shared" si="5"/>
        <v>0.80943503688888996</v>
      </c>
      <c r="P23">
        <v>0.29210000000000003</v>
      </c>
      <c r="Q23">
        <v>0.24</v>
      </c>
      <c r="R23" s="7">
        <f t="shared" si="22"/>
        <v>0.27676374085610911</v>
      </c>
      <c r="S23" s="7">
        <f t="shared" si="25"/>
        <v>0.31463270141309685</v>
      </c>
      <c r="T23" s="7">
        <f t="shared" si="23"/>
        <v>0.10691771269218128</v>
      </c>
      <c r="U23" s="7">
        <f t="shared" si="24"/>
        <v>0.10833426741117608</v>
      </c>
      <c r="AA23" s="2">
        <v>1.3058960313482999</v>
      </c>
      <c r="AB23" s="2">
        <v>0.64263637601139501</v>
      </c>
      <c r="AC23" s="2">
        <v>0.583323543714102</v>
      </c>
      <c r="AD23" s="2">
        <f t="shared" si="9"/>
        <v>2.5318559510737968</v>
      </c>
      <c r="AE23" s="2">
        <f t="shared" si="10"/>
        <v>52</v>
      </c>
      <c r="AF23" s="2">
        <f t="shared" si="11"/>
        <v>25</v>
      </c>
      <c r="AG23" s="2">
        <f t="shared" si="12"/>
        <v>23</v>
      </c>
      <c r="AH23" s="2">
        <f t="shared" si="1"/>
        <v>1.647979334648535</v>
      </c>
      <c r="AI23" s="2">
        <f t="shared" si="2"/>
        <v>1.479161720787399</v>
      </c>
      <c r="AJ23" s="2">
        <f t="shared" si="3"/>
        <v>1.0463940524276316</v>
      </c>
      <c r="AK23" s="2">
        <f t="shared" si="13"/>
        <v>4.1735351078635654</v>
      </c>
      <c r="AL23" s="11">
        <f t="shared" si="14"/>
        <v>39</v>
      </c>
      <c r="AM23">
        <f t="shared" si="15"/>
        <v>35</v>
      </c>
      <c r="AN23">
        <f t="shared" si="16"/>
        <v>26</v>
      </c>
    </row>
    <row r="24" spans="1:40" s="2" customFormat="1" ht="15">
      <c r="A24" s="2" t="s">
        <v>84</v>
      </c>
      <c r="B24" s="2" t="s">
        <v>85</v>
      </c>
      <c r="C24" s="3">
        <v>9.8000000000000004E-2</v>
      </c>
      <c r="D24" s="2">
        <v>1.6027240439999999</v>
      </c>
      <c r="E24" s="4">
        <f t="shared" si="0"/>
        <v>8.736485138872041E-2</v>
      </c>
      <c r="F24">
        <v>0.18338183299999999</v>
      </c>
      <c r="G24">
        <v>0.19815168399999999</v>
      </c>
      <c r="H24" s="5">
        <f t="shared" si="4"/>
        <v>0.92546189514089616</v>
      </c>
      <c r="I24">
        <v>2.4169993900266699E-2</v>
      </c>
      <c r="J24">
        <v>0.61911545334658802</v>
      </c>
      <c r="K24">
        <v>0.17887495067557899</v>
      </c>
      <c r="L24" s="5">
        <v>1</v>
      </c>
      <c r="M24">
        <v>2.2900616957601101</v>
      </c>
      <c r="N24">
        <v>2.8173857098412198</v>
      </c>
      <c r="O24" s="6">
        <f t="shared" si="5"/>
        <v>0.8239955004049978</v>
      </c>
      <c r="P24">
        <v>0.29210000000000003</v>
      </c>
      <c r="Q24">
        <v>0.24</v>
      </c>
      <c r="R24" s="7">
        <f t="shared" si="22"/>
        <v>0.27412586990732668</v>
      </c>
      <c r="S24" s="7">
        <f t="shared" si="25"/>
        <v>0.32317784946672473</v>
      </c>
      <c r="T24" s="7">
        <f t="shared" si="23"/>
        <v>1.8842080690650232E-2</v>
      </c>
      <c r="U24" s="7">
        <f t="shared" si="24"/>
        <v>0.15345995013356822</v>
      </c>
      <c r="AA24" s="2">
        <v>1.4344233763427601</v>
      </c>
      <c r="AB24" s="2">
        <v>0.86463001974234699</v>
      </c>
      <c r="AC24" s="2">
        <v>1.6630510797781799</v>
      </c>
      <c r="AD24" s="2">
        <f t="shared" si="9"/>
        <v>3.9621044758632871</v>
      </c>
      <c r="AE24" s="2">
        <f t="shared" si="10"/>
        <v>36</v>
      </c>
      <c r="AF24" s="2">
        <f t="shared" si="11"/>
        <v>22</v>
      </c>
      <c r="AG24" s="2">
        <f t="shared" si="12"/>
        <v>42</v>
      </c>
      <c r="AH24" s="2">
        <f t="shared" si="1"/>
        <v>2.618187864196007</v>
      </c>
      <c r="AI24" s="2">
        <f t="shared" si="2"/>
        <v>1.6179330396650793</v>
      </c>
      <c r="AJ24" s="2">
        <f t="shared" si="3"/>
        <v>0.41016259647010767</v>
      </c>
      <c r="AK24" s="2">
        <f t="shared" si="13"/>
        <v>4.6462835003311937</v>
      </c>
      <c r="AL24" s="11">
        <f t="shared" si="14"/>
        <v>56</v>
      </c>
      <c r="AM24">
        <f t="shared" si="15"/>
        <v>35</v>
      </c>
      <c r="AN24">
        <f t="shared" si="16"/>
        <v>9</v>
      </c>
    </row>
    <row r="25" spans="1:40" ht="15">
      <c r="A25" t="s">
        <v>86</v>
      </c>
      <c r="B25" t="s">
        <v>87</v>
      </c>
      <c r="C25" s="16">
        <v>8.5199999999999998E-2</v>
      </c>
      <c r="D25">
        <v>1.5314207980000001</v>
      </c>
      <c r="E25" s="17">
        <f t="shared" si="0"/>
        <v>8.2338668511319657E-2</v>
      </c>
      <c r="F25">
        <v>0.26847920199999997</v>
      </c>
      <c r="G25">
        <v>0.162224005</v>
      </c>
      <c r="H25" s="18">
        <f>F25/G25</f>
        <v>1.6549905915588754</v>
      </c>
      <c r="I25">
        <v>0.207828860302046</v>
      </c>
      <c r="J25">
        <v>0.53753958506363098</v>
      </c>
      <c r="K25">
        <v>0.11382206206897499</v>
      </c>
      <c r="L25" s="18">
        <v>1</v>
      </c>
      <c r="M25">
        <v>2.0442464749952598</v>
      </c>
      <c r="N25">
        <v>3.0250174741545002</v>
      </c>
      <c r="O25" s="6">
        <f t="shared" si="5"/>
        <v>0.82944328578164028</v>
      </c>
      <c r="P25">
        <v>0.29210000000000003</v>
      </c>
      <c r="Q25">
        <v>0.22409999999999999</v>
      </c>
      <c r="R25" s="22">
        <f>((1-$W$26)*(1-0)*(1-$W$1)*D25/L25-K25)/(1+$W$6)</f>
        <v>0.27904023092235081</v>
      </c>
      <c r="S25" s="22">
        <f>$W$6/(1+$W$6)*(1-$W$2)*(1-$Y$1+$W$1*D25)*((1-$W$26)*(1-0)*(1-$W$1)*D25/L25-K25)</f>
        <v>0.32293113810522939</v>
      </c>
      <c r="T25" s="22">
        <f>(1-$W$26)*I25*(1-$W$1)*D25/L25</f>
        <v>0.15073430075358749</v>
      </c>
      <c r="U25" s="22">
        <f>1/(M25*(1-J25))*($W$26*(1-$W$1)*D25+$W$2*($W$1*D25+M25*J25*K25)-N25^(-1))</f>
        <v>0.12886234660235502</v>
      </c>
      <c r="V25" s="9" t="s">
        <v>88</v>
      </c>
      <c r="W25" s="9">
        <f>$W$1*$W$2+(1-$W$1)*W26</f>
        <v>0.27155600000000002</v>
      </c>
      <c r="AA25">
        <v>1.3047392170102801</v>
      </c>
      <c r="AB25">
        <v>0.548950080802173</v>
      </c>
      <c r="AC25">
        <v>0.58357336511247504</v>
      </c>
      <c r="AD25">
        <f t="shared" si="9"/>
        <v>2.4372626629249279</v>
      </c>
      <c r="AE25">
        <f t="shared" si="10"/>
        <v>54</v>
      </c>
      <c r="AF25">
        <f t="shared" si="11"/>
        <v>23</v>
      </c>
      <c r="AG25">
        <f t="shared" si="12"/>
        <v>23</v>
      </c>
      <c r="AH25">
        <f t="shared" si="1"/>
        <v>1.7430529124691305</v>
      </c>
      <c r="AI25">
        <f t="shared" si="2"/>
        <v>1.7298319205587198</v>
      </c>
      <c r="AJ25">
        <f t="shared" si="3"/>
        <v>1.4235139363140312</v>
      </c>
      <c r="AK25" s="20">
        <f t="shared" si="13"/>
        <v>4.8963987693418813</v>
      </c>
      <c r="AL25" s="11">
        <f t="shared" si="14"/>
        <v>36</v>
      </c>
      <c r="AM25">
        <f t="shared" si="15"/>
        <v>35</v>
      </c>
      <c r="AN25" s="23">
        <f t="shared" si="16"/>
        <v>29</v>
      </c>
    </row>
    <row r="26" spans="1:40" ht="15">
      <c r="A26" t="s">
        <v>89</v>
      </c>
      <c r="B26" t="s">
        <v>90</v>
      </c>
      <c r="C26" s="16">
        <v>8.2000000000000003E-2</v>
      </c>
      <c r="D26">
        <v>1.4878838999999999</v>
      </c>
      <c r="E26" s="17">
        <f t="shared" si="0"/>
        <v>7.9234973949666054E-2</v>
      </c>
      <c r="F26">
        <v>0.17766061799999999</v>
      </c>
      <c r="G26">
        <v>0.17766061799999999</v>
      </c>
      <c r="H26" s="27">
        <f>F26/G26</f>
        <v>1</v>
      </c>
      <c r="I26">
        <v>3.7696831724981998E-2</v>
      </c>
      <c r="J26">
        <v>0.59336613200689503</v>
      </c>
      <c r="K26">
        <v>0.16958620788796999</v>
      </c>
      <c r="L26" s="18">
        <v>1</v>
      </c>
      <c r="M26">
        <v>2.3113197077982801</v>
      </c>
      <c r="N26">
        <v>3.1644553772480499</v>
      </c>
      <c r="O26" s="6">
        <f t="shared" si="5"/>
        <v>0.79150697740126696</v>
      </c>
      <c r="P26">
        <v>0.29210000000000003</v>
      </c>
      <c r="Q26">
        <v>0.22409999999999999</v>
      </c>
      <c r="R26" s="22">
        <f>((1-$W$26)*(1-0)*(1-$W$1)*D26/L26-K26)/(1+$W$6)</f>
        <v>0.244182623877124</v>
      </c>
      <c r="S26" s="22">
        <f>$W$6/(1+$W$6)*(1-$W$2)*(1-$Y$1+$W$1*D26)*((1-$W$26)*(1-0)*(1-$W$1)*D26/L26-K26)</f>
        <v>0.27936320269204096</v>
      </c>
      <c r="T26" s="22">
        <f>(1-$W$26)*I26*(1-$W$1)*D26/L26</f>
        <v>2.6563517864583264E-2</v>
      </c>
      <c r="U26" s="22">
        <f>1/(M26*(1-J26))*($W$26*(1-$W$1)*D26+$W$2*($W$1*D26+M26*J26*K26)-N26^(-1))</f>
        <v>0.16595054184152525</v>
      </c>
      <c r="V26" s="9" t="s">
        <v>91</v>
      </c>
      <c r="W26" s="9">
        <v>0.26</v>
      </c>
      <c r="AA26">
        <v>1.38447560447715</v>
      </c>
      <c r="AB26">
        <v>0.82795628954921896</v>
      </c>
      <c r="AC26">
        <v>1.1315600117415801</v>
      </c>
      <c r="AD26">
        <f t="shared" si="9"/>
        <v>3.343991905767949</v>
      </c>
      <c r="AE26">
        <f t="shared" si="10"/>
        <v>41</v>
      </c>
      <c r="AF26">
        <f t="shared" si="11"/>
        <v>25</v>
      </c>
      <c r="AG26">
        <f t="shared" si="12"/>
        <v>34</v>
      </c>
      <c r="AH26">
        <f t="shared" si="1"/>
        <v>2.863267898496157</v>
      </c>
      <c r="AI26">
        <f t="shared" si="2"/>
        <v>1.7938442204670872</v>
      </c>
      <c r="AJ26">
        <f t="shared" si="3"/>
        <v>0.52019789450415854</v>
      </c>
      <c r="AK26" s="20">
        <f t="shared" si="13"/>
        <v>5.1773100134674026</v>
      </c>
      <c r="AL26" s="11">
        <f t="shared" si="14"/>
        <v>55</v>
      </c>
      <c r="AM26">
        <f t="shared" si="15"/>
        <v>35</v>
      </c>
      <c r="AN26" s="23">
        <f t="shared" si="16"/>
        <v>10</v>
      </c>
    </row>
    <row r="27" spans="1:40" s="2" customFormat="1" ht="15">
      <c r="A27" s="2" t="s">
        <v>92</v>
      </c>
      <c r="B27" s="2" t="s">
        <v>93</v>
      </c>
      <c r="C27" s="3">
        <v>8.7400000000000005E-2</v>
      </c>
      <c r="D27" s="2">
        <v>1.6562561659999999</v>
      </c>
      <c r="E27" s="4">
        <f t="shared" si="0"/>
        <v>9.1093042554803993E-2</v>
      </c>
      <c r="F27">
        <v>0.149699269</v>
      </c>
      <c r="G27">
        <v>0.149699269</v>
      </c>
      <c r="H27" s="25">
        <f t="shared" si="4"/>
        <v>1</v>
      </c>
      <c r="I27">
        <v>0.17745020909995399</v>
      </c>
      <c r="J27">
        <v>0.50415707315667702</v>
      </c>
      <c r="K27">
        <v>0.118797534055745</v>
      </c>
      <c r="L27" s="5">
        <v>1</v>
      </c>
      <c r="M27">
        <v>2.1502725404917</v>
      </c>
      <c r="N27">
        <v>2.6764021892324301</v>
      </c>
      <c r="O27" s="6">
        <f t="shared" si="5"/>
        <v>0.87052658488345458</v>
      </c>
      <c r="P27">
        <v>0.29210000000000003</v>
      </c>
      <c r="Q27">
        <v>0.28000000000000003</v>
      </c>
      <c r="R27" s="7">
        <f>((1-$T$28)*(1-0)*(1-$W$1)*D27/L27-K27)/(1+$W$6)</f>
        <v>0.29407541038733992</v>
      </c>
      <c r="S27" s="7">
        <f>$W$6/(1+$W$6)*(1-$W$2)*(1-$Y$1+$W$1*D27)*((1-$T$28)*(1-0)*(1-$W$1)*D27/L27-K27)</f>
        <v>0.35147647278025784</v>
      </c>
      <c r="T27" s="7">
        <f>(1-$T$28)*I27*(1-$W$1)*D27/L27</f>
        <v>0.13543050377308632</v>
      </c>
      <c r="U27" s="7">
        <f>1/(M27*(1-J27))*($T$28*(1-$W$1)*D27+$W$2*($W$1*D27+M27*J27*K27)-N27^(-1))</f>
        <v>0.12657007258138164</v>
      </c>
      <c r="V27" s="9" t="s">
        <v>88</v>
      </c>
      <c r="W27" s="9">
        <f>$W$1*$W$2+(1-$W$1)*T28</f>
        <v>0.28435600000000005</v>
      </c>
      <c r="AA27" s="2">
        <v>1.2795916645496599</v>
      </c>
      <c r="AB27" s="2">
        <v>0.86860580907246598</v>
      </c>
      <c r="AC27" s="2">
        <v>0.65766277149051799</v>
      </c>
      <c r="AD27" s="2">
        <f t="shared" si="9"/>
        <v>2.805860245112644</v>
      </c>
      <c r="AE27" s="2">
        <f t="shared" si="10"/>
        <v>46</v>
      </c>
      <c r="AF27" s="2">
        <f t="shared" si="11"/>
        <v>31</v>
      </c>
      <c r="AG27" s="2">
        <f t="shared" si="12"/>
        <v>23</v>
      </c>
      <c r="AH27" s="2">
        <f t="shared" si="1"/>
        <v>1.7392715600318724</v>
      </c>
      <c r="AI27" s="2">
        <f t="shared" si="2"/>
        <v>1.4877534858959007</v>
      </c>
      <c r="AJ27" s="2">
        <f t="shared" si="3"/>
        <v>1.335267692428463</v>
      </c>
      <c r="AK27" s="2">
        <f t="shared" si="13"/>
        <v>4.5622927383562359</v>
      </c>
      <c r="AL27" s="11">
        <f t="shared" si="14"/>
        <v>38</v>
      </c>
      <c r="AM27">
        <f t="shared" si="15"/>
        <v>33</v>
      </c>
      <c r="AN27">
        <f t="shared" si="16"/>
        <v>29</v>
      </c>
    </row>
    <row r="28" spans="1:40" ht="15">
      <c r="M28"/>
      <c r="S28" s="9" t="s">
        <v>91</v>
      </c>
      <c r="T28" s="9">
        <v>0.28000000000000003</v>
      </c>
    </row>
    <row r="29" spans="1:40" ht="15">
      <c r="AL29" s="11">
        <v>20</v>
      </c>
      <c r="AM29" s="10">
        <v>4</v>
      </c>
      <c r="AN29" s="12">
        <v>2</v>
      </c>
    </row>
    <row r="30" spans="1:40">
      <c r="AL30" s="24">
        <f>AVERAGE(AL2:AL27)</f>
        <v>42.653846153846153</v>
      </c>
      <c r="AM30" s="24">
        <f t="shared" ref="AM30" si="26">AVERAGE(AM2:AM27)</f>
        <v>37</v>
      </c>
      <c r="AN30" s="24">
        <f>AVERAGE(AN2:AN27)</f>
        <v>20.346153846153847</v>
      </c>
    </row>
    <row r="31" spans="1:40">
      <c r="AL31" s="28">
        <f>STDEV(AL2:AL27)</f>
        <v>12.661571174833899</v>
      </c>
      <c r="AM31" s="28">
        <f t="shared" ref="AM31:AN31" si="27">STDEV(AM2:AM27)</f>
        <v>2.8142494558940578</v>
      </c>
      <c r="AN31" s="28">
        <f t="shared" si="27"/>
        <v>12.315656077342556</v>
      </c>
    </row>
    <row r="34" spans="3:3">
      <c r="C34" s="17">
        <f>(0.08+1)^(1/4)-1</f>
        <v>1.9426546908273501E-2</v>
      </c>
    </row>
    <row r="35" spans="3:3">
      <c r="C35" s="17">
        <f>(1+0.2)^(1/4)-1</f>
        <v>4.6635139392105618E-2</v>
      </c>
    </row>
    <row r="36" spans="3:3">
      <c r="C36" s="17">
        <f>C35-C34</f>
        <v>2.7208592483832117E-2</v>
      </c>
    </row>
  </sheetData>
  <phoneticPr fontId="2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26"/>
    </sheetView>
  </sheetViews>
  <sheetFormatPr defaultRowHeight="14.25"/>
  <sheetData>
    <row r="1" spans="1:7">
      <c r="A1">
        <v>-1.31896578740337</v>
      </c>
      <c r="B1">
        <v>0.38343354479591901</v>
      </c>
      <c r="C1">
        <v>-0.53248492925429503</v>
      </c>
      <c r="E1">
        <f>-A1</f>
        <v>1.31896578740337</v>
      </c>
      <c r="F1">
        <f>B1</f>
        <v>0.38343354479591901</v>
      </c>
      <c r="G1">
        <f>-C1</f>
        <v>0.53248492925429503</v>
      </c>
    </row>
    <row r="2" spans="1:7">
      <c r="A2">
        <v>-1.3654546689040299</v>
      </c>
      <c r="B2">
        <v>0.96401958758443895</v>
      </c>
      <c r="C2">
        <v>-1.0375394331655701</v>
      </c>
      <c r="E2">
        <f t="shared" ref="E2:E26" si="0">-A2</f>
        <v>1.3654546689040299</v>
      </c>
      <c r="F2">
        <f t="shared" ref="F2:F26" si="1">B2</f>
        <v>0.96401958758443895</v>
      </c>
      <c r="G2">
        <f t="shared" ref="G2:G26" si="2">-C2</f>
        <v>1.0375394331655701</v>
      </c>
    </row>
    <row r="3" spans="1:7">
      <c r="A3">
        <v>-1.3878861678343899</v>
      </c>
      <c r="B3">
        <v>0.41582049370508201</v>
      </c>
      <c r="C3">
        <v>-0.49033312995287598</v>
      </c>
      <c r="E3">
        <f t="shared" si="0"/>
        <v>1.3878861678343899</v>
      </c>
      <c r="F3">
        <f t="shared" si="1"/>
        <v>0.41582049370508201</v>
      </c>
      <c r="G3">
        <f t="shared" si="2"/>
        <v>0.49033312995287598</v>
      </c>
    </row>
    <row r="4" spans="1:7">
      <c r="A4">
        <v>-1.3430183128051301</v>
      </c>
      <c r="B4">
        <v>0.64406366809999605</v>
      </c>
      <c r="C4">
        <v>-0.54969428241560503</v>
      </c>
      <c r="E4">
        <f t="shared" si="0"/>
        <v>1.3430183128051301</v>
      </c>
      <c r="F4">
        <f t="shared" si="1"/>
        <v>0.64406366809999605</v>
      </c>
      <c r="G4">
        <f t="shared" si="2"/>
        <v>0.54969428241560503</v>
      </c>
    </row>
    <row r="5" spans="1:7">
      <c r="A5">
        <v>-1.45498250403715</v>
      </c>
      <c r="B5">
        <v>0.572777585219165</v>
      </c>
      <c r="C5">
        <v>-0.96916290162974095</v>
      </c>
      <c r="E5">
        <f t="shared" si="0"/>
        <v>1.45498250403715</v>
      </c>
      <c r="F5">
        <f t="shared" si="1"/>
        <v>0.572777585219165</v>
      </c>
      <c r="G5">
        <f t="shared" si="2"/>
        <v>0.96916290162974095</v>
      </c>
    </row>
    <row r="6" spans="1:7">
      <c r="A6">
        <v>-1.4394056513846201</v>
      </c>
      <c r="B6">
        <v>0.509672319469471</v>
      </c>
      <c r="C6">
        <v>-1.1214599101570999</v>
      </c>
      <c r="E6">
        <f t="shared" si="0"/>
        <v>1.4394056513846201</v>
      </c>
      <c r="F6">
        <f t="shared" si="1"/>
        <v>0.509672319469471</v>
      </c>
      <c r="G6">
        <f t="shared" si="2"/>
        <v>1.1214599101570999</v>
      </c>
    </row>
    <row r="7" spans="1:7">
      <c r="A7">
        <v>-1.3644261282788099</v>
      </c>
      <c r="B7">
        <v>0.722502264737094</v>
      </c>
      <c r="C7">
        <v>-0.56851155647587404</v>
      </c>
      <c r="E7">
        <f t="shared" si="0"/>
        <v>1.3644261282788099</v>
      </c>
      <c r="F7">
        <f t="shared" si="1"/>
        <v>0.722502264737094</v>
      </c>
      <c r="G7">
        <f t="shared" si="2"/>
        <v>0.56851155647587404</v>
      </c>
    </row>
    <row r="8" spans="1:7">
      <c r="A8">
        <v>-1.3181851032576399</v>
      </c>
      <c r="B8">
        <v>0.64162368793281699</v>
      </c>
      <c r="C8">
        <v>-0.83561558729153895</v>
      </c>
      <c r="E8">
        <f t="shared" si="0"/>
        <v>1.3181851032576399</v>
      </c>
      <c r="F8">
        <f t="shared" si="1"/>
        <v>0.64162368793281699</v>
      </c>
      <c r="G8">
        <f t="shared" si="2"/>
        <v>0.83561558729153895</v>
      </c>
    </row>
    <row r="9" spans="1:7">
      <c r="A9">
        <v>-1.4391449842408399</v>
      </c>
      <c r="B9">
        <v>0.56092099763954295</v>
      </c>
      <c r="C9">
        <v>-0.73947551237714204</v>
      </c>
      <c r="E9">
        <f t="shared" si="0"/>
        <v>1.4391449842408399</v>
      </c>
      <c r="F9">
        <f t="shared" si="1"/>
        <v>0.56092099763954295</v>
      </c>
      <c r="G9">
        <f t="shared" si="2"/>
        <v>0.73947551237714204</v>
      </c>
    </row>
    <row r="10" spans="1:7">
      <c r="A10">
        <v>-1.3547899436039199</v>
      </c>
      <c r="B10">
        <v>0.63050592947538497</v>
      </c>
      <c r="C10">
        <v>-0.60601137341350997</v>
      </c>
      <c r="E10">
        <f t="shared" si="0"/>
        <v>1.3547899436039199</v>
      </c>
      <c r="F10">
        <f t="shared" si="1"/>
        <v>0.63050592947538497</v>
      </c>
      <c r="G10">
        <f t="shared" si="2"/>
        <v>0.60601137341350997</v>
      </c>
    </row>
    <row r="11" spans="1:7">
      <c r="A11">
        <v>-1.2760884902371801</v>
      </c>
      <c r="B11">
        <v>0.59481876582757598</v>
      </c>
      <c r="C11">
        <v>-0.49922223811539101</v>
      </c>
      <c r="E11">
        <f t="shared" si="0"/>
        <v>1.2760884902371801</v>
      </c>
      <c r="F11">
        <f t="shared" si="1"/>
        <v>0.59481876582757598</v>
      </c>
      <c r="G11">
        <f t="shared" si="2"/>
        <v>0.49922223811539101</v>
      </c>
    </row>
    <row r="12" spans="1:7">
      <c r="A12">
        <v>-1.3142140341122099</v>
      </c>
      <c r="B12">
        <v>0.574290310504881</v>
      </c>
      <c r="C12">
        <v>-0.45465532662133501</v>
      </c>
      <c r="E12">
        <f t="shared" si="0"/>
        <v>1.3142140341122099</v>
      </c>
      <c r="F12">
        <f t="shared" si="1"/>
        <v>0.574290310504881</v>
      </c>
      <c r="G12">
        <f t="shared" si="2"/>
        <v>0.45465532662133501</v>
      </c>
    </row>
    <row r="13" spans="1:7">
      <c r="A13">
        <v>-1.4605896590690699</v>
      </c>
      <c r="B13">
        <v>0.49452761438316301</v>
      </c>
      <c r="C13">
        <v>-1.8274070771370701</v>
      </c>
      <c r="E13">
        <f t="shared" si="0"/>
        <v>1.4605896590690699</v>
      </c>
      <c r="F13">
        <f t="shared" si="1"/>
        <v>0.49452761438316301</v>
      </c>
      <c r="G13">
        <f t="shared" si="2"/>
        <v>1.8274070771370701</v>
      </c>
    </row>
    <row r="14" spans="1:7">
      <c r="A14">
        <v>-1.5131807087970599</v>
      </c>
      <c r="B14">
        <v>0.44682076136000998</v>
      </c>
      <c r="C14">
        <v>-1.0080815039231501</v>
      </c>
      <c r="E14">
        <f t="shared" si="0"/>
        <v>1.5131807087970599</v>
      </c>
      <c r="F14">
        <f t="shared" si="1"/>
        <v>0.44682076136000998</v>
      </c>
      <c r="G14">
        <f t="shared" si="2"/>
        <v>1.0080815039231501</v>
      </c>
    </row>
    <row r="15" spans="1:7">
      <c r="A15">
        <v>-1.53088212514225</v>
      </c>
      <c r="B15">
        <v>0.801964842544581</v>
      </c>
      <c r="C15">
        <v>-1.65130086834459</v>
      </c>
      <c r="E15">
        <f t="shared" si="0"/>
        <v>1.53088212514225</v>
      </c>
      <c r="F15">
        <f t="shared" si="1"/>
        <v>0.801964842544581</v>
      </c>
      <c r="G15">
        <f t="shared" si="2"/>
        <v>1.65130086834459</v>
      </c>
    </row>
    <row r="16" spans="1:7">
      <c r="A16">
        <v>-1.4193769577119399</v>
      </c>
      <c r="B16">
        <v>0.51075633507117002</v>
      </c>
      <c r="C16">
        <v>-0.53596930600762405</v>
      </c>
      <c r="E16">
        <f t="shared" si="0"/>
        <v>1.4193769577119399</v>
      </c>
      <c r="F16">
        <f t="shared" si="1"/>
        <v>0.51075633507117002</v>
      </c>
      <c r="G16">
        <f t="shared" si="2"/>
        <v>0.53596930600762405</v>
      </c>
    </row>
    <row r="17" spans="1:7">
      <c r="A17">
        <v>-1.52577965792998</v>
      </c>
      <c r="B17">
        <v>0.73905826242533101</v>
      </c>
      <c r="C17">
        <v>-1.0431995819183499</v>
      </c>
      <c r="E17">
        <f t="shared" si="0"/>
        <v>1.52577965792998</v>
      </c>
      <c r="F17">
        <f t="shared" si="1"/>
        <v>0.73905826242533101</v>
      </c>
      <c r="G17">
        <f t="shared" si="2"/>
        <v>1.0431995819183499</v>
      </c>
    </row>
    <row r="18" spans="1:7">
      <c r="A18">
        <v>-1.42449228852781</v>
      </c>
      <c r="B18">
        <v>0.58677360594972805</v>
      </c>
      <c r="C18">
        <v>-1.49319029568206</v>
      </c>
      <c r="E18">
        <f t="shared" si="0"/>
        <v>1.42449228852781</v>
      </c>
      <c r="F18">
        <f t="shared" si="1"/>
        <v>0.58677360594972805</v>
      </c>
      <c r="G18">
        <f t="shared" si="2"/>
        <v>1.49319029568206</v>
      </c>
    </row>
    <row r="19" spans="1:7">
      <c r="A19">
        <v>-1.2916163807176999</v>
      </c>
      <c r="B19">
        <v>0.57267289161260004</v>
      </c>
      <c r="C19">
        <v>-0.61369171082846097</v>
      </c>
      <c r="E19">
        <f t="shared" si="0"/>
        <v>1.2916163807176999</v>
      </c>
      <c r="F19">
        <f t="shared" si="1"/>
        <v>0.57267289161260004</v>
      </c>
      <c r="G19">
        <f t="shared" si="2"/>
        <v>0.61369171082846097</v>
      </c>
    </row>
    <row r="20" spans="1:7">
      <c r="A20">
        <v>-1.3335740593386101</v>
      </c>
      <c r="B20">
        <v>0.49018338769566799</v>
      </c>
      <c r="C20">
        <v>-0.76428027432961698</v>
      </c>
      <c r="E20">
        <f t="shared" si="0"/>
        <v>1.3335740593386101</v>
      </c>
      <c r="F20">
        <f t="shared" si="1"/>
        <v>0.49018338769566799</v>
      </c>
      <c r="G20">
        <f t="shared" si="2"/>
        <v>0.76428027432961698</v>
      </c>
    </row>
    <row r="21" spans="1:7">
      <c r="A21">
        <v>-1.28443313334006</v>
      </c>
      <c r="B21">
        <v>0.37462635091171398</v>
      </c>
      <c r="C21">
        <v>-0.56103905324300096</v>
      </c>
      <c r="E21">
        <f t="shared" si="0"/>
        <v>1.28443313334006</v>
      </c>
      <c r="F21">
        <f t="shared" si="1"/>
        <v>0.37462635091171398</v>
      </c>
      <c r="G21">
        <f t="shared" si="2"/>
        <v>0.56103905324300096</v>
      </c>
    </row>
    <row r="22" spans="1:7">
      <c r="A22">
        <v>-1.3058960313482999</v>
      </c>
      <c r="B22">
        <v>0.64263637601139501</v>
      </c>
      <c r="C22">
        <v>-0.583323543714102</v>
      </c>
      <c r="E22">
        <f t="shared" si="0"/>
        <v>1.3058960313482999</v>
      </c>
      <c r="F22">
        <f t="shared" si="1"/>
        <v>0.64263637601139501</v>
      </c>
      <c r="G22">
        <f t="shared" si="2"/>
        <v>0.583323543714102</v>
      </c>
    </row>
    <row r="23" spans="1:7">
      <c r="A23">
        <v>-1.4344233763427601</v>
      </c>
      <c r="B23">
        <v>0.86463001974234699</v>
      </c>
      <c r="C23">
        <v>-1.6630510797781799</v>
      </c>
      <c r="E23">
        <f t="shared" si="0"/>
        <v>1.4344233763427601</v>
      </c>
      <c r="F23">
        <f t="shared" si="1"/>
        <v>0.86463001974234699</v>
      </c>
      <c r="G23">
        <f t="shared" si="2"/>
        <v>1.6630510797781799</v>
      </c>
    </row>
    <row r="24" spans="1:7">
      <c r="A24">
        <v>-1.3047392170102801</v>
      </c>
      <c r="B24">
        <v>0.548950080802173</v>
      </c>
      <c r="C24">
        <v>-0.58357336511247504</v>
      </c>
      <c r="E24">
        <f t="shared" si="0"/>
        <v>1.3047392170102801</v>
      </c>
      <c r="F24">
        <f t="shared" si="1"/>
        <v>0.548950080802173</v>
      </c>
      <c r="G24">
        <f t="shared" si="2"/>
        <v>0.58357336511247504</v>
      </c>
    </row>
    <row r="25" spans="1:7">
      <c r="A25">
        <v>-1.38447560447715</v>
      </c>
      <c r="B25">
        <v>0.82795628954921896</v>
      </c>
      <c r="C25">
        <v>-1.1315600117415801</v>
      </c>
      <c r="E25">
        <f t="shared" si="0"/>
        <v>1.38447560447715</v>
      </c>
      <c r="F25">
        <f t="shared" si="1"/>
        <v>0.82795628954921896</v>
      </c>
      <c r="G25">
        <f t="shared" si="2"/>
        <v>1.1315600117415801</v>
      </c>
    </row>
    <row r="26" spans="1:7">
      <c r="A26">
        <v>-1.2795916645496599</v>
      </c>
      <c r="B26">
        <v>0.86860580907246598</v>
      </c>
      <c r="C26">
        <v>-0.65766277149051799</v>
      </c>
      <c r="E26">
        <f t="shared" si="0"/>
        <v>1.2795916645496599</v>
      </c>
      <c r="F26">
        <f t="shared" si="1"/>
        <v>0.86860580907246598</v>
      </c>
      <c r="G26">
        <f t="shared" si="2"/>
        <v>0.65766277149051799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B2" sqref="B2:F29"/>
    </sheetView>
  </sheetViews>
  <sheetFormatPr defaultRowHeight="14.25"/>
  <cols>
    <col min="1" max="1" width="4.75" customWidth="1"/>
    <col min="2" max="2" width="14.25" bestFit="1" customWidth="1"/>
    <col min="4" max="4" width="9.125" customWidth="1"/>
    <col min="5" max="5" width="12.625" bestFit="1" customWidth="1"/>
    <col min="6" max="6" width="11" bestFit="1" customWidth="1"/>
  </cols>
  <sheetData>
    <row r="2" spans="2:6">
      <c r="B2" s="31" t="s">
        <v>97</v>
      </c>
      <c r="C2" s="31"/>
      <c r="D2" s="32" t="s">
        <v>98</v>
      </c>
      <c r="E2" s="32"/>
      <c r="F2" s="31" t="s">
        <v>96</v>
      </c>
    </row>
    <row r="3" spans="2:6">
      <c r="B3" s="33"/>
      <c r="C3" s="34"/>
      <c r="D3" s="34" t="s">
        <v>94</v>
      </c>
      <c r="E3" s="34" t="s">
        <v>95</v>
      </c>
      <c r="F3" s="33"/>
    </row>
    <row r="4" spans="2:6">
      <c r="B4" s="31" t="s">
        <v>30</v>
      </c>
      <c r="C4" s="31" t="s">
        <v>31</v>
      </c>
      <c r="D4" s="35">
        <v>0.89244186046511631</v>
      </c>
      <c r="E4" s="35">
        <v>0.8580439616894211</v>
      </c>
      <c r="F4" s="36">
        <f>(D4-E4)/D4*100</f>
        <v>3.8543573872440238</v>
      </c>
    </row>
    <row r="5" spans="2:6">
      <c r="B5" s="37" t="s">
        <v>34</v>
      </c>
      <c r="C5" s="37" t="s">
        <v>35</v>
      </c>
      <c r="D5" s="38">
        <v>0.84</v>
      </c>
      <c r="E5" s="38">
        <v>0.71906566292277585</v>
      </c>
      <c r="F5" s="39">
        <f t="shared" ref="F5:F29" si="0">(D5-E5)/D5*100</f>
        <v>14.396944890145729</v>
      </c>
    </row>
    <row r="6" spans="2:6">
      <c r="B6" s="37" t="s">
        <v>37</v>
      </c>
      <c r="C6" s="37" t="s">
        <v>38</v>
      </c>
      <c r="D6" s="38">
        <v>1.0458452722063039</v>
      </c>
      <c r="E6" s="38">
        <v>1.0286111546103125</v>
      </c>
      <c r="F6" s="39">
        <f t="shared" si="0"/>
        <v>1.6478649427399956</v>
      </c>
    </row>
    <row r="7" spans="2:6">
      <c r="B7" s="37" t="s">
        <v>40</v>
      </c>
      <c r="C7" s="37" t="s">
        <v>41</v>
      </c>
      <c r="D7" s="38">
        <v>0.86120996441281128</v>
      </c>
      <c r="E7" s="38">
        <v>0.96293693822748005</v>
      </c>
      <c r="F7" s="39">
        <f t="shared" si="0"/>
        <v>-11.812099025587575</v>
      </c>
    </row>
    <row r="8" spans="2:6">
      <c r="B8" s="37" t="s">
        <v>44</v>
      </c>
      <c r="C8" s="37" t="s">
        <v>45</v>
      </c>
      <c r="D8" s="38">
        <v>0.88813559322033908</v>
      </c>
      <c r="E8" s="38">
        <v>1.2315607528009989</v>
      </c>
      <c r="F8" s="39">
        <f t="shared" si="0"/>
        <v>-38.668100029120083</v>
      </c>
    </row>
    <row r="9" spans="2:6">
      <c r="B9" s="37" t="s">
        <v>47</v>
      </c>
      <c r="C9" s="37" t="s">
        <v>48</v>
      </c>
      <c r="D9" s="38">
        <v>0.91780821917808231</v>
      </c>
      <c r="E9" s="38">
        <v>1.4058016665561699</v>
      </c>
      <c r="F9" s="39">
        <f t="shared" si="0"/>
        <v>-53.169435311343861</v>
      </c>
    </row>
    <row r="10" spans="2:6">
      <c r="B10" s="37" t="s">
        <v>49</v>
      </c>
      <c r="C10" s="37" t="s">
        <v>50</v>
      </c>
      <c r="D10" s="38">
        <v>0.73898305084745763</v>
      </c>
      <c r="E10" s="38">
        <v>1</v>
      </c>
      <c r="F10" s="39">
        <f t="shared" si="0"/>
        <v>-35.321100917431195</v>
      </c>
    </row>
    <row r="11" spans="2:6">
      <c r="B11" s="37" t="s">
        <v>51</v>
      </c>
      <c r="C11" s="37" t="s">
        <v>52</v>
      </c>
      <c r="D11" s="38">
        <v>1.1634980988593155</v>
      </c>
      <c r="E11" s="38">
        <v>0.9468375957089753</v>
      </c>
      <c r="F11" s="39">
        <f t="shared" si="0"/>
        <v>18.621474617169767</v>
      </c>
    </row>
    <row r="12" spans="2:6">
      <c r="B12" s="37" t="s">
        <v>54</v>
      </c>
      <c r="C12" s="37" t="s">
        <v>55</v>
      </c>
      <c r="D12" s="38">
        <v>0.87908496732026153</v>
      </c>
      <c r="E12" s="38">
        <v>1.4142335737207163</v>
      </c>
      <c r="F12" s="39">
        <f t="shared" si="0"/>
        <v>-60.875640728081471</v>
      </c>
    </row>
    <row r="13" spans="2:6">
      <c r="B13" s="37" t="s">
        <v>56</v>
      </c>
      <c r="C13" s="37" t="s">
        <v>57</v>
      </c>
      <c r="D13" s="38">
        <v>0.96598639455782309</v>
      </c>
      <c r="E13" s="38">
        <v>0.88159904967208136</v>
      </c>
      <c r="F13" s="39">
        <f t="shared" si="0"/>
        <v>8.735873026904251</v>
      </c>
    </row>
    <row r="14" spans="2:6">
      <c r="B14" s="37" t="s">
        <v>58</v>
      </c>
      <c r="C14" s="37" t="s">
        <v>59</v>
      </c>
      <c r="D14" s="38">
        <v>0.99003322259136217</v>
      </c>
      <c r="E14" s="38">
        <v>1.0866947590252025</v>
      </c>
      <c r="F14" s="39">
        <f t="shared" si="0"/>
        <v>-9.7634639149617257</v>
      </c>
    </row>
    <row r="15" spans="2:6">
      <c r="B15" s="40" t="s">
        <v>60</v>
      </c>
      <c r="C15" s="40" t="s">
        <v>61</v>
      </c>
      <c r="D15" s="38">
        <v>1</v>
      </c>
      <c r="E15" s="38">
        <v>1</v>
      </c>
      <c r="F15" s="39">
        <f t="shared" si="0"/>
        <v>0</v>
      </c>
    </row>
    <row r="16" spans="2:6">
      <c r="B16" s="37" t="s">
        <v>62</v>
      </c>
      <c r="C16" s="37" t="s">
        <v>63</v>
      </c>
      <c r="D16" s="38">
        <v>0.8637873754152825</v>
      </c>
      <c r="E16" s="38">
        <v>1.3750863209172823</v>
      </c>
      <c r="F16" s="39">
        <f t="shared" si="0"/>
        <v>-59.192685613885352</v>
      </c>
    </row>
    <row r="17" spans="2:6">
      <c r="B17" s="37" t="s">
        <v>64</v>
      </c>
      <c r="C17" s="37" t="s">
        <v>65</v>
      </c>
      <c r="D17" s="38">
        <v>1.0168918918918919</v>
      </c>
      <c r="E17" s="38">
        <v>0.97807326645624093</v>
      </c>
      <c r="F17" s="39">
        <f t="shared" si="0"/>
        <v>3.8173797770606921</v>
      </c>
    </row>
    <row r="18" spans="2:6">
      <c r="B18" s="37" t="s">
        <v>66</v>
      </c>
      <c r="C18" s="37" t="s">
        <v>67</v>
      </c>
      <c r="D18" s="38">
        <v>1.7666666666666668</v>
      </c>
      <c r="E18" s="38">
        <v>0.86694222557521006</v>
      </c>
      <c r="F18" s="39">
        <f t="shared" si="0"/>
        <v>50.927798552346601</v>
      </c>
    </row>
    <row r="19" spans="2:6">
      <c r="B19" s="37" t="s">
        <v>68</v>
      </c>
      <c r="C19" s="37" t="s">
        <v>69</v>
      </c>
      <c r="D19" s="38">
        <v>1.46524064171123</v>
      </c>
      <c r="E19" s="38">
        <v>1.358476597052924</v>
      </c>
      <c r="F19" s="39">
        <f t="shared" si="0"/>
        <v>7.2864512230303742</v>
      </c>
    </row>
    <row r="20" spans="2:6">
      <c r="B20" s="37" t="s">
        <v>70</v>
      </c>
      <c r="C20" s="37" t="s">
        <v>71</v>
      </c>
      <c r="D20" s="38">
        <v>1.27</v>
      </c>
      <c r="E20" s="38">
        <v>0.82473751485649049</v>
      </c>
      <c r="F20" s="39">
        <f t="shared" si="0"/>
        <v>35.060038200276338</v>
      </c>
    </row>
    <row r="21" spans="2:6">
      <c r="B21" s="37" t="s">
        <v>72</v>
      </c>
      <c r="C21" s="37" t="s">
        <v>73</v>
      </c>
      <c r="D21" s="38">
        <v>0.90909090909090906</v>
      </c>
      <c r="E21" s="38">
        <v>1.5835670308856915</v>
      </c>
      <c r="F21" s="39">
        <f t="shared" si="0"/>
        <v>-74.192373397426067</v>
      </c>
    </row>
    <row r="22" spans="2:6">
      <c r="B22" s="40" t="s">
        <v>75</v>
      </c>
      <c r="C22" s="40" t="s">
        <v>76</v>
      </c>
      <c r="D22" s="38">
        <v>1</v>
      </c>
      <c r="E22" s="38">
        <v>1.0849881477186045</v>
      </c>
      <c r="F22" s="39">
        <f t="shared" si="0"/>
        <v>-8.4988147718604523</v>
      </c>
    </row>
    <row r="23" spans="2:6">
      <c r="B23" s="37" t="s">
        <v>78</v>
      </c>
      <c r="C23" s="37" t="s">
        <v>79</v>
      </c>
      <c r="D23" s="38">
        <v>0.89873417721518978</v>
      </c>
      <c r="E23" s="38">
        <v>0.76023687392750705</v>
      </c>
      <c r="F23" s="39">
        <f t="shared" si="0"/>
        <v>15.410263323559064</v>
      </c>
    </row>
    <row r="24" spans="2:6">
      <c r="B24" s="40" t="s">
        <v>80</v>
      </c>
      <c r="C24" s="40" t="s">
        <v>81</v>
      </c>
      <c r="D24" s="38">
        <v>1</v>
      </c>
      <c r="E24" s="38">
        <v>0.98368994623559658</v>
      </c>
      <c r="F24" s="39">
        <f t="shared" si="0"/>
        <v>1.631005376440342</v>
      </c>
    </row>
    <row r="25" spans="2:6">
      <c r="B25" s="37" t="s">
        <v>82</v>
      </c>
      <c r="C25" s="37" t="s">
        <v>83</v>
      </c>
      <c r="D25" s="38">
        <v>0.92138364779874204</v>
      </c>
      <c r="E25" s="38">
        <v>1</v>
      </c>
      <c r="F25" s="39">
        <f t="shared" si="0"/>
        <v>-8.5324232081911369</v>
      </c>
    </row>
    <row r="26" spans="2:6">
      <c r="B26" s="37" t="s">
        <v>84</v>
      </c>
      <c r="C26" s="37" t="s">
        <v>85</v>
      </c>
      <c r="D26" s="38">
        <v>1.2883720930232558</v>
      </c>
      <c r="E26" s="38">
        <v>0.92546189514089616</v>
      </c>
      <c r="F26" s="39">
        <f t="shared" si="0"/>
        <v>28.168120052240912</v>
      </c>
    </row>
    <row r="27" spans="2:6">
      <c r="B27" s="37" t="s">
        <v>86</v>
      </c>
      <c r="C27" s="37" t="s">
        <v>87</v>
      </c>
      <c r="D27" s="38">
        <v>0.98113207547169812</v>
      </c>
      <c r="E27" s="38">
        <v>1.6549905915588754</v>
      </c>
      <c r="F27" s="39">
        <f t="shared" si="0"/>
        <v>-68.681733370423842</v>
      </c>
    </row>
    <row r="28" spans="2:6">
      <c r="B28" s="37" t="s">
        <v>89</v>
      </c>
      <c r="C28" s="37" t="s">
        <v>90</v>
      </c>
      <c r="D28" s="38">
        <v>0.83606557377049184</v>
      </c>
      <c r="E28" s="38">
        <v>1</v>
      </c>
      <c r="F28" s="39">
        <f t="shared" si="0"/>
        <v>-19.607843137254896</v>
      </c>
    </row>
    <row r="29" spans="2:6">
      <c r="B29" s="34" t="s">
        <v>92</v>
      </c>
      <c r="C29" s="34" t="s">
        <v>93</v>
      </c>
      <c r="D29" s="41">
        <v>0.99647887323943662</v>
      </c>
      <c r="E29" s="41">
        <v>1</v>
      </c>
      <c r="F29" s="42">
        <f t="shared" si="0"/>
        <v>-0.35335689045936347</v>
      </c>
    </row>
    <row r="30" spans="2:6">
      <c r="B30" s="29"/>
      <c r="C30" s="29"/>
      <c r="D30" s="29"/>
      <c r="E30" s="29"/>
      <c r="F30" s="29"/>
    </row>
  </sheetData>
  <mergeCells count="1">
    <mergeCell ref="D2:E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B15" sqref="B15"/>
    </sheetView>
  </sheetViews>
  <sheetFormatPr defaultRowHeight="14.25"/>
  <cols>
    <col min="1" max="1" width="4.625" customWidth="1"/>
    <col min="2" max="2" width="12.5" customWidth="1"/>
    <col min="3" max="3" width="21" bestFit="1" customWidth="1"/>
    <col min="4" max="4" width="10.5" customWidth="1"/>
    <col min="5" max="5" width="12.625" bestFit="1" customWidth="1"/>
  </cols>
  <sheetData>
    <row r="2" spans="2:6">
      <c r="B2" s="37"/>
      <c r="C2" s="37"/>
      <c r="D2" s="44"/>
      <c r="E2" s="44"/>
      <c r="F2" s="37"/>
    </row>
    <row r="3" spans="2:6">
      <c r="B3" s="46"/>
      <c r="C3" s="30"/>
      <c r="D3" s="30" t="s">
        <v>94</v>
      </c>
      <c r="E3" s="30" t="s">
        <v>95</v>
      </c>
      <c r="F3" s="43"/>
    </row>
    <row r="4" spans="2:6">
      <c r="B4" s="31" t="s">
        <v>99</v>
      </c>
      <c r="C4" s="31" t="s">
        <v>104</v>
      </c>
      <c r="D4" s="47">
        <v>34.192307692307693</v>
      </c>
      <c r="E4" s="36">
        <v>42.653846153846153</v>
      </c>
      <c r="F4" s="39"/>
    </row>
    <row r="5" spans="2:6">
      <c r="B5" s="37"/>
      <c r="C5" s="37" t="s">
        <v>105</v>
      </c>
      <c r="D5" s="48">
        <v>13.690929057647566</v>
      </c>
      <c r="E5" s="39">
        <v>12.661571174833899</v>
      </c>
      <c r="F5" s="39"/>
    </row>
    <row r="6" spans="2:6">
      <c r="B6" s="37" t="s">
        <v>99</v>
      </c>
      <c r="C6" s="37" t="s">
        <v>104</v>
      </c>
      <c r="D6" s="48">
        <v>36.846153846153847</v>
      </c>
      <c r="E6" s="48">
        <v>37</v>
      </c>
      <c r="F6" s="39"/>
    </row>
    <row r="7" spans="2:6">
      <c r="B7" s="37"/>
      <c r="C7" s="37" t="s">
        <v>105</v>
      </c>
      <c r="D7" s="48">
        <v>2.7668365718604728</v>
      </c>
      <c r="E7" s="48">
        <v>2.8142494558940578</v>
      </c>
      <c r="F7" s="39"/>
    </row>
    <row r="8" spans="2:6">
      <c r="B8" s="37" t="s">
        <v>99</v>
      </c>
      <c r="C8" s="37" t="s">
        <v>104</v>
      </c>
      <c r="D8" s="48">
        <v>28.96153846153846</v>
      </c>
      <c r="E8" s="48">
        <v>20.346153846153847</v>
      </c>
      <c r="F8" s="39"/>
    </row>
    <row r="9" spans="2:6">
      <c r="B9" s="34"/>
      <c r="C9" s="34" t="s">
        <v>105</v>
      </c>
      <c r="D9" s="49">
        <v>12.73885636697665</v>
      </c>
      <c r="E9" s="49">
        <v>12.315656077342556</v>
      </c>
      <c r="F9" s="39"/>
    </row>
    <row r="10" spans="2:6">
      <c r="B10" s="31" t="s">
        <v>103</v>
      </c>
      <c r="C10" s="31"/>
      <c r="D10" s="35"/>
      <c r="E10" s="50"/>
      <c r="F10" s="39"/>
    </row>
    <row r="11" spans="2:6">
      <c r="B11" s="37" t="s">
        <v>100</v>
      </c>
      <c r="C11" s="37"/>
      <c r="D11" s="51">
        <v>15</v>
      </c>
      <c r="E11" s="45">
        <v>20</v>
      </c>
      <c r="F11" s="39"/>
    </row>
    <row r="12" spans="2:6">
      <c r="B12" s="37" t="s">
        <v>101</v>
      </c>
      <c r="C12" s="37"/>
      <c r="D12" s="51">
        <v>4</v>
      </c>
      <c r="E12" s="51">
        <v>4</v>
      </c>
      <c r="F12" s="39"/>
    </row>
    <row r="13" spans="2:6">
      <c r="B13" s="34" t="s">
        <v>102</v>
      </c>
      <c r="C13" s="34"/>
      <c r="D13" s="52">
        <v>7</v>
      </c>
      <c r="E13" s="52">
        <v>2</v>
      </c>
      <c r="F13" s="39"/>
    </row>
    <row r="14" spans="2:6">
      <c r="B14" s="37"/>
      <c r="C14" s="37"/>
      <c r="D14" s="38"/>
      <c r="E14" s="38"/>
      <c r="F14" s="39"/>
    </row>
    <row r="15" spans="2:6">
      <c r="B15" s="40"/>
      <c r="C15" s="40"/>
      <c r="D15" s="38"/>
      <c r="E15" s="38"/>
      <c r="F15" s="39"/>
    </row>
    <row r="16" spans="2:6">
      <c r="B16" s="37"/>
      <c r="C16" s="37"/>
      <c r="D16" s="38"/>
      <c r="E16" s="38"/>
      <c r="F16" s="39"/>
    </row>
    <row r="17" spans="2:7">
      <c r="B17" s="37"/>
      <c r="C17" s="37"/>
      <c r="D17" s="38"/>
      <c r="E17" s="38"/>
      <c r="F17" s="39"/>
    </row>
    <row r="18" spans="2:7">
      <c r="B18" s="37"/>
      <c r="C18" s="37"/>
      <c r="D18" s="38"/>
      <c r="E18" s="38"/>
    </row>
    <row r="19" spans="2:7">
      <c r="B19" s="37"/>
      <c r="C19" s="37"/>
      <c r="D19" s="38"/>
      <c r="E19" s="38"/>
    </row>
    <row r="20" spans="2:7">
      <c r="B20" s="37"/>
      <c r="C20" s="37"/>
      <c r="D20" s="38"/>
      <c r="E20" s="38"/>
    </row>
    <row r="21" spans="2:7">
      <c r="B21" s="37"/>
      <c r="C21" s="37"/>
      <c r="D21" s="38"/>
      <c r="E21" s="38"/>
      <c r="F21" s="39"/>
    </row>
    <row r="22" spans="2:7">
      <c r="B22" s="40"/>
      <c r="C22" s="40"/>
      <c r="D22" s="38"/>
      <c r="E22" s="38"/>
      <c r="F22" s="39"/>
    </row>
    <row r="23" spans="2:7">
      <c r="B23" s="37"/>
      <c r="C23" s="37"/>
      <c r="D23" s="38"/>
      <c r="E23" s="38"/>
      <c r="F23" s="39"/>
    </row>
    <row r="24" spans="2:7">
      <c r="B24" s="40"/>
      <c r="C24" s="40"/>
      <c r="D24" s="38"/>
      <c r="E24" s="38"/>
      <c r="F24" s="39"/>
    </row>
    <row r="25" spans="2:7">
      <c r="B25" s="37"/>
      <c r="C25" s="37"/>
      <c r="D25" s="38"/>
      <c r="E25" s="38"/>
      <c r="F25" s="39"/>
    </row>
    <row r="26" spans="2:7">
      <c r="B26" s="37"/>
      <c r="C26" s="37"/>
      <c r="D26" s="38"/>
      <c r="E26" s="38"/>
      <c r="F26" s="39"/>
    </row>
    <row r="27" spans="2:7">
      <c r="B27" s="37"/>
      <c r="C27" s="37"/>
      <c r="D27" s="38"/>
      <c r="E27" s="38"/>
      <c r="F27" s="39"/>
    </row>
    <row r="28" spans="2:7">
      <c r="B28" s="37"/>
      <c r="C28" s="37"/>
      <c r="D28" s="38"/>
      <c r="E28" s="38"/>
      <c r="F28" s="39"/>
      <c r="G28" s="43"/>
    </row>
    <row r="29" spans="2:7">
      <c r="B29" s="37"/>
      <c r="C29" s="37"/>
      <c r="D29" s="38"/>
      <c r="E29" s="38"/>
      <c r="F29" s="39"/>
      <c r="G29" s="43"/>
    </row>
    <row r="30" spans="2:7">
      <c r="B30" s="43"/>
      <c r="C30" s="43"/>
      <c r="D30" s="43"/>
      <c r="E30" s="43"/>
      <c r="F30" s="43"/>
      <c r="G30" s="43"/>
    </row>
    <row r="31" spans="2:7">
      <c r="B31" s="43"/>
      <c r="C31" s="43"/>
      <c r="D31" s="43"/>
      <c r="E31" s="43"/>
      <c r="F31" s="43"/>
      <c r="G31" s="4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</vt:lpstr>
      <vt:lpstr>Sheet2</vt:lpstr>
      <vt:lpstr>bias_comparison</vt:lpstr>
      <vt:lpstr>channel_comparison</vt:lpstr>
    </vt:vector>
  </TitlesOfParts>
  <Company>ANU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Okabe, Tomohito</dc:creator>
  <cp:lastModifiedBy>Okabe, Tomohito</cp:lastModifiedBy>
  <dcterms:created xsi:type="dcterms:W3CDTF">2014-09-11T00:43:07Z</dcterms:created>
  <dcterms:modified xsi:type="dcterms:W3CDTF">2014-10-02T07:32:27Z</dcterms:modified>
</cp:coreProperties>
</file>