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5" yWindow="3405" windowWidth="27915" windowHeight="9270"/>
  </bookViews>
  <sheets>
    <sheet name="benchmark" sheetId="1" r:id="rId1"/>
    <sheet name="social_planner" sheetId="14" r:id="rId2"/>
    <sheet name="social_planner_diff" sheetId="17" r:id="rId3"/>
    <sheet name="no_bias" sheetId="15" r:id="rId4"/>
    <sheet name="no_bias_diff" sheetId="18" r:id="rId5"/>
    <sheet name="Sheet1" sheetId="19" r:id="rId6"/>
    <sheet name="paper_table" sheetId="20" r:id="rId7"/>
    <sheet name="paper_table_2" sheetId="21" r:id="rId8"/>
    <sheet name="paper_table_3" sheetId="22" r:id="rId9"/>
  </sheets>
  <calcPr calcId="145621"/>
</workbook>
</file>

<file path=xl/calcChain.xml><?xml version="1.0" encoding="utf-8"?>
<calcChain xmlns="http://schemas.openxmlformats.org/spreadsheetml/2006/main">
  <c r="AP31" i="1" l="1"/>
  <c r="AR31" i="1"/>
  <c r="AQ31" i="1"/>
  <c r="AP30" i="1" l="1"/>
  <c r="AQ30" i="1"/>
  <c r="AR30" i="1"/>
  <c r="AL2" i="1" l="1"/>
  <c r="AM2" i="1"/>
  <c r="AO2" i="1" s="1"/>
  <c r="AQ2" i="1" s="1"/>
  <c r="AN2" i="1"/>
  <c r="AL3" i="1"/>
  <c r="AO3" i="1" s="1"/>
  <c r="AM3" i="1"/>
  <c r="AN3" i="1"/>
  <c r="AL4" i="1"/>
  <c r="AM4" i="1"/>
  <c r="AN4" i="1"/>
  <c r="AO4" i="1" s="1"/>
  <c r="AP4" i="1" s="1"/>
  <c r="AL5" i="1"/>
  <c r="AP5" i="1" s="1"/>
  <c r="AM5" i="1"/>
  <c r="AN5" i="1"/>
  <c r="AL6" i="1"/>
  <c r="AO6" i="1" s="1"/>
  <c r="AQ6" i="1" s="1"/>
  <c r="AM6" i="1"/>
  <c r="AN6" i="1"/>
  <c r="AL7" i="1"/>
  <c r="AM7" i="1"/>
  <c r="AN7" i="1"/>
  <c r="AL8" i="1"/>
  <c r="AO8" i="1" s="1"/>
  <c r="AM8" i="1"/>
  <c r="AN8" i="1"/>
  <c r="AL9" i="1"/>
  <c r="AO9" i="1" s="1"/>
  <c r="AM9" i="1"/>
  <c r="AN9" i="1"/>
  <c r="AL10" i="1"/>
  <c r="AM10" i="1"/>
  <c r="AN10" i="1"/>
  <c r="AL11" i="1"/>
  <c r="AM11" i="1"/>
  <c r="AO11" i="1" s="1"/>
  <c r="AN11" i="1"/>
  <c r="AL12" i="1"/>
  <c r="AM12" i="1"/>
  <c r="AN12" i="1"/>
  <c r="AL13" i="1"/>
  <c r="AO13" i="1" s="1"/>
  <c r="AM13" i="1"/>
  <c r="AN13" i="1"/>
  <c r="AL14" i="1"/>
  <c r="AM14" i="1"/>
  <c r="AO14" i="1" s="1"/>
  <c r="AQ14" i="1" s="1"/>
  <c r="AN14" i="1"/>
  <c r="AL15" i="1"/>
  <c r="AM15" i="1"/>
  <c r="AN15" i="1"/>
  <c r="AL16" i="1"/>
  <c r="AO16" i="1" s="1"/>
  <c r="AQ16" i="1" s="1"/>
  <c r="AM16" i="1"/>
  <c r="AN16" i="1"/>
  <c r="AL17" i="1"/>
  <c r="AM17" i="1"/>
  <c r="AN17" i="1"/>
  <c r="AL18" i="1"/>
  <c r="AO18" i="1" s="1"/>
  <c r="AP18" i="1" s="1"/>
  <c r="AM18" i="1"/>
  <c r="AN18" i="1"/>
  <c r="AL19" i="1"/>
  <c r="AM19" i="1"/>
  <c r="AN19" i="1"/>
  <c r="AO19" i="1" s="1"/>
  <c r="AL20" i="1"/>
  <c r="AM20" i="1"/>
  <c r="AN20" i="1"/>
  <c r="AO20" i="1" s="1"/>
  <c r="AP20" i="1" s="1"/>
  <c r="AL21" i="1"/>
  <c r="AM21" i="1"/>
  <c r="AN21" i="1"/>
  <c r="AL22" i="1"/>
  <c r="AO22" i="1" s="1"/>
  <c r="AQ22" i="1" s="1"/>
  <c r="AM22" i="1"/>
  <c r="AN22" i="1"/>
  <c r="AL23" i="1"/>
  <c r="AM23" i="1"/>
  <c r="AN23" i="1"/>
  <c r="AL24" i="1"/>
  <c r="AO24" i="1" s="1"/>
  <c r="AM24" i="1"/>
  <c r="AN24" i="1"/>
  <c r="AL25" i="1"/>
  <c r="AO25" i="1" s="1"/>
  <c r="AP25" i="1" s="1"/>
  <c r="AM25" i="1"/>
  <c r="AN25" i="1"/>
  <c r="AL26" i="1"/>
  <c r="AM26" i="1"/>
  <c r="AO26" i="1" s="1"/>
  <c r="AP26" i="1" s="1"/>
  <c r="AN26" i="1"/>
  <c r="AL27" i="1"/>
  <c r="AM27" i="1"/>
  <c r="AN27" i="1"/>
  <c r="AO27" i="1" s="1"/>
  <c r="AO10" i="1"/>
  <c r="AP10" i="1" s="1"/>
  <c r="AO12" i="1"/>
  <c r="AP12" i="1" s="1"/>
  <c r="AO23" i="1"/>
  <c r="AQ23" i="1"/>
  <c r="AO5" i="1"/>
  <c r="AQ5" i="1" s="1"/>
  <c r="AO21" i="1"/>
  <c r="AQ21" i="1" s="1"/>
  <c r="AQ13" i="1" l="1"/>
  <c r="AP13" i="1"/>
  <c r="AR13" i="1" s="1"/>
  <c r="AQ17" i="1"/>
  <c r="AP17" i="1"/>
  <c r="AP9" i="1"/>
  <c r="AQ9" i="1"/>
  <c r="AR9" i="1" s="1"/>
  <c r="AQ25" i="1"/>
  <c r="AR25" i="1" s="1"/>
  <c r="AO17" i="1"/>
  <c r="AR5" i="1"/>
  <c r="AP21" i="1"/>
  <c r="AR21" i="1" s="1"/>
  <c r="AP2" i="1"/>
  <c r="AR2" i="1" s="1"/>
  <c r="AP27" i="1"/>
  <c r="AQ27" i="1"/>
  <c r="AP11" i="1"/>
  <c r="AQ11" i="1"/>
  <c r="AP19" i="1"/>
  <c r="AQ19" i="1"/>
  <c r="AQ24" i="1"/>
  <c r="AQ8" i="1"/>
  <c r="AP3" i="1"/>
  <c r="AQ3" i="1"/>
  <c r="AR3" i="1" s="1"/>
  <c r="AP23" i="1"/>
  <c r="AR23" i="1" s="1"/>
  <c r="AP24" i="1"/>
  <c r="AO15" i="1"/>
  <c r="AP15" i="1" s="1"/>
  <c r="AP8" i="1"/>
  <c r="AO7" i="1"/>
  <c r="AP7" i="1" s="1"/>
  <c r="AP22" i="1"/>
  <c r="AR22" i="1" s="1"/>
  <c r="AP6" i="1"/>
  <c r="AR6" i="1" s="1"/>
  <c r="AP16" i="1"/>
  <c r="AR16" i="1" s="1"/>
  <c r="AQ26" i="1"/>
  <c r="AR26" i="1" s="1"/>
  <c r="AQ18" i="1"/>
  <c r="AR18" i="1" s="1"/>
  <c r="AQ10" i="1"/>
  <c r="AR10" i="1" s="1"/>
  <c r="AQ20" i="1"/>
  <c r="AR20" i="1" s="1"/>
  <c r="AQ12" i="1"/>
  <c r="AR12" i="1" s="1"/>
  <c r="AQ4" i="1"/>
  <c r="AR4" i="1" s="1"/>
  <c r="AP14" i="1"/>
  <c r="AR14" i="1" s="1"/>
  <c r="AI3" i="1"/>
  <c r="AJ3" i="1"/>
  <c r="AK3" i="1"/>
  <c r="AI4" i="1"/>
  <c r="AJ4" i="1"/>
  <c r="AK4" i="1" s="1"/>
  <c r="AI5" i="1"/>
  <c r="AJ5" i="1"/>
  <c r="AK5" i="1" s="1"/>
  <c r="AI6" i="1"/>
  <c r="AJ6" i="1"/>
  <c r="AK6" i="1" s="1"/>
  <c r="AI7" i="1"/>
  <c r="AK7" i="1" s="1"/>
  <c r="AJ7" i="1"/>
  <c r="AI8" i="1"/>
  <c r="AJ8" i="1"/>
  <c r="AK8" i="1" s="1"/>
  <c r="AI9" i="1"/>
  <c r="AJ9" i="1"/>
  <c r="AK9" i="1"/>
  <c r="AI10" i="1"/>
  <c r="AJ10" i="1"/>
  <c r="AK10" i="1"/>
  <c r="AI11" i="1"/>
  <c r="AJ11" i="1"/>
  <c r="AK11" i="1"/>
  <c r="AI12" i="1"/>
  <c r="AJ12" i="1"/>
  <c r="AK12" i="1" s="1"/>
  <c r="AI13" i="1"/>
  <c r="AJ13" i="1"/>
  <c r="AK13" i="1" s="1"/>
  <c r="AI14" i="1"/>
  <c r="AJ14" i="1"/>
  <c r="AK14" i="1" s="1"/>
  <c r="AI15" i="1"/>
  <c r="AK15" i="1" s="1"/>
  <c r="AJ15" i="1"/>
  <c r="AI16" i="1"/>
  <c r="AJ16" i="1"/>
  <c r="AK16" i="1" s="1"/>
  <c r="AI17" i="1"/>
  <c r="AJ17" i="1"/>
  <c r="AK17" i="1"/>
  <c r="AI18" i="1"/>
  <c r="AJ18" i="1"/>
  <c r="AK18" i="1"/>
  <c r="AI19" i="1"/>
  <c r="AJ19" i="1"/>
  <c r="AK19" i="1"/>
  <c r="AI20" i="1"/>
  <c r="AJ20" i="1"/>
  <c r="AK20" i="1" s="1"/>
  <c r="AI21" i="1"/>
  <c r="AJ21" i="1"/>
  <c r="AK21" i="1" s="1"/>
  <c r="AI22" i="1"/>
  <c r="AJ22" i="1"/>
  <c r="AK22" i="1" s="1"/>
  <c r="AI23" i="1"/>
  <c r="AK23" i="1" s="1"/>
  <c r="AJ23" i="1"/>
  <c r="AI24" i="1"/>
  <c r="AJ24" i="1"/>
  <c r="AK24" i="1" s="1"/>
  <c r="AI25" i="1"/>
  <c r="AJ25" i="1"/>
  <c r="AK25" i="1"/>
  <c r="AI26" i="1"/>
  <c r="AJ26" i="1"/>
  <c r="AK26" i="1"/>
  <c r="AI27" i="1"/>
  <c r="AJ27" i="1"/>
  <c r="AK27" i="1"/>
  <c r="AK2" i="1"/>
  <c r="AJ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" i="1"/>
  <c r="AQ7" i="1" l="1"/>
  <c r="AR27" i="1"/>
  <c r="AQ15" i="1"/>
  <c r="AR15" i="1" s="1"/>
  <c r="AR17" i="1"/>
  <c r="AR8" i="1"/>
  <c r="AR7" i="1"/>
  <c r="AR24" i="1"/>
  <c r="AR19" i="1"/>
  <c r="AR11" i="1"/>
  <c r="E32" i="20"/>
  <c r="E30" i="20"/>
  <c r="E29" i="20"/>
  <c r="E27" i="20"/>
  <c r="E26" i="20"/>
  <c r="E25" i="20"/>
  <c r="E24" i="20"/>
  <c r="E23" i="20"/>
  <c r="E22" i="20"/>
  <c r="E20" i="20"/>
  <c r="E19" i="20"/>
  <c r="E18" i="20"/>
  <c r="E17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B4" i="19"/>
  <c r="B5" i="19"/>
  <c r="B6" i="19"/>
  <c r="B7" i="19"/>
  <c r="B8" i="19"/>
  <c r="B9" i="19"/>
  <c r="B10" i="19"/>
  <c r="B11" i="19"/>
  <c r="B12" i="19"/>
  <c r="B13" i="19"/>
  <c r="B14" i="19"/>
  <c r="B15" i="19"/>
  <c r="B17" i="19"/>
  <c r="B18" i="19"/>
  <c r="B19" i="19"/>
  <c r="B20" i="19"/>
  <c r="B22" i="19"/>
  <c r="B23" i="19"/>
  <c r="B24" i="19"/>
  <c r="B25" i="19"/>
  <c r="B26" i="19"/>
  <c r="B27" i="19"/>
  <c r="B29" i="19"/>
  <c r="B30" i="19"/>
  <c r="B32" i="19"/>
  <c r="B33" i="19"/>
  <c r="B34" i="19"/>
  <c r="B35" i="19"/>
  <c r="B36" i="19"/>
  <c r="B3" i="19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U2" i="1"/>
  <c r="T2" i="1"/>
  <c r="S2" i="1"/>
  <c r="H3" i="17" l="1"/>
  <c r="S3" i="17" s="1"/>
  <c r="H4" i="17"/>
  <c r="S4" i="17" s="1"/>
  <c r="H5" i="17"/>
  <c r="S5" i="17" s="1"/>
  <c r="H6" i="17"/>
  <c r="S6" i="17" s="1"/>
  <c r="H7" i="17"/>
  <c r="S7" i="17" s="1"/>
  <c r="H8" i="17"/>
  <c r="S8" i="17" s="1"/>
  <c r="H9" i="17"/>
  <c r="S9" i="17" s="1"/>
  <c r="H10" i="17"/>
  <c r="S10" i="17" s="1"/>
  <c r="H11" i="17"/>
  <c r="S11" i="17" s="1"/>
  <c r="H12" i="17"/>
  <c r="S12" i="17" s="1"/>
  <c r="H13" i="17"/>
  <c r="S13" i="17" s="1"/>
  <c r="H14" i="17"/>
  <c r="S14" i="17" s="1"/>
  <c r="H15" i="17"/>
  <c r="S15" i="17" s="1"/>
  <c r="H16" i="17"/>
  <c r="S16" i="17" s="1"/>
  <c r="H17" i="17"/>
  <c r="S17" i="17" s="1"/>
  <c r="H18" i="17"/>
  <c r="S18" i="17" s="1"/>
  <c r="H19" i="17"/>
  <c r="S19" i="17" s="1"/>
  <c r="H20" i="17"/>
  <c r="S20" i="17" s="1"/>
  <c r="H21" i="17"/>
  <c r="S21" i="17" s="1"/>
  <c r="H22" i="17"/>
  <c r="S22" i="17" s="1"/>
  <c r="H23" i="17"/>
  <c r="S23" i="17" s="1"/>
  <c r="H24" i="17"/>
  <c r="S24" i="17" s="1"/>
  <c r="H25" i="17"/>
  <c r="S25" i="17" s="1"/>
  <c r="H26" i="17"/>
  <c r="S26" i="17" s="1"/>
  <c r="H27" i="17"/>
  <c r="S27" i="17" s="1"/>
  <c r="H2" i="17"/>
  <c r="S2" i="17" s="1"/>
  <c r="K9" i="18"/>
  <c r="L9" i="18"/>
  <c r="M9" i="18"/>
  <c r="N9" i="18"/>
  <c r="Q2" i="15"/>
  <c r="S3" i="15"/>
  <c r="S27" i="14"/>
  <c r="S20" i="14"/>
  <c r="S2" i="14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S2" i="15"/>
  <c r="S26" i="14"/>
  <c r="S25" i="14"/>
  <c r="S24" i="14"/>
  <c r="S23" i="14"/>
  <c r="S22" i="14"/>
  <c r="S21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3" i="14"/>
  <c r="Y27" i="1"/>
  <c r="Y26" i="1"/>
  <c r="Y25" i="1"/>
  <c r="Y20" i="1"/>
  <c r="Y21" i="1"/>
  <c r="Y22" i="1"/>
  <c r="Y23" i="1"/>
  <c r="Y24" i="1"/>
  <c r="Y19" i="1"/>
  <c r="Y16" i="1"/>
  <c r="Y17" i="1"/>
  <c r="Y18" i="1"/>
  <c r="Y15" i="1"/>
  <c r="Y3" i="1"/>
  <c r="Y4" i="1"/>
  <c r="Y5" i="1"/>
  <c r="Y6" i="1"/>
  <c r="Y7" i="1"/>
  <c r="Y8" i="1"/>
  <c r="Y9" i="1"/>
  <c r="Y10" i="1"/>
  <c r="Y11" i="1"/>
  <c r="Y12" i="1"/>
  <c r="Y13" i="1"/>
  <c r="Y14" i="1"/>
  <c r="Y2" i="1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Q3" i="15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Q32" i="15"/>
  <c r="Q32" i="1"/>
  <c r="Q29" i="1"/>
  <c r="Q31" i="15"/>
  <c r="Q31" i="1"/>
  <c r="Q29" i="15"/>
  <c r="Q30" i="1"/>
  <c r="Q30" i="15"/>
  <c r="I24" i="18"/>
  <c r="I14" i="18"/>
  <c r="I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" i="18"/>
  <c r="J3" i="18"/>
  <c r="J4" i="18"/>
  <c r="J5" i="18"/>
  <c r="J6" i="18"/>
  <c r="J7" i="18"/>
  <c r="J8" i="18"/>
  <c r="J9" i="18"/>
  <c r="R27" i="15"/>
  <c r="P27" i="15"/>
  <c r="R26" i="15"/>
  <c r="P26" i="15"/>
  <c r="R25" i="15"/>
  <c r="P25" i="15"/>
  <c r="R24" i="15"/>
  <c r="P24" i="15"/>
  <c r="R23" i="15"/>
  <c r="P23" i="15"/>
  <c r="R22" i="15"/>
  <c r="P22" i="15"/>
  <c r="R21" i="15"/>
  <c r="P21" i="15"/>
  <c r="R20" i="15"/>
  <c r="P20" i="15"/>
  <c r="R19" i="15"/>
  <c r="P19" i="15"/>
  <c r="R18" i="15"/>
  <c r="P18" i="15"/>
  <c r="R17" i="15"/>
  <c r="P17" i="15"/>
  <c r="R16" i="15"/>
  <c r="P16" i="15"/>
  <c r="R15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AA9" i="1"/>
  <c r="AD9" i="1"/>
  <c r="X9" i="14"/>
  <c r="C2" i="18" l="1"/>
  <c r="S2" i="18"/>
  <c r="C3" i="18"/>
  <c r="S3" i="18"/>
  <c r="C4" i="18"/>
  <c r="S4" i="18"/>
  <c r="C5" i="18"/>
  <c r="S5" i="18"/>
  <c r="C6" i="18"/>
  <c r="S6" i="18"/>
  <c r="C7" i="18"/>
  <c r="S7" i="18"/>
  <c r="C8" i="18"/>
  <c r="S8" i="18"/>
  <c r="C9" i="18"/>
  <c r="S9" i="18"/>
  <c r="C10" i="18"/>
  <c r="S10" i="18"/>
  <c r="C11" i="18"/>
  <c r="S11" i="18"/>
  <c r="C12" i="18"/>
  <c r="S12" i="18"/>
  <c r="C13" i="18"/>
  <c r="S13" i="18"/>
  <c r="C14" i="18"/>
  <c r="S14" i="18"/>
  <c r="C15" i="18"/>
  <c r="S15" i="18"/>
  <c r="C16" i="18"/>
  <c r="S16" i="18"/>
  <c r="C17" i="18"/>
  <c r="S17" i="18"/>
  <c r="C18" i="18"/>
  <c r="S18" i="18"/>
  <c r="C19" i="18"/>
  <c r="S19" i="18"/>
  <c r="C20" i="18"/>
  <c r="S20" i="18"/>
  <c r="C21" i="18"/>
  <c r="S21" i="18"/>
  <c r="C22" i="18"/>
  <c r="S22" i="18"/>
  <c r="C23" i="18"/>
  <c r="S23" i="18"/>
  <c r="C24" i="18"/>
  <c r="S24" i="18"/>
  <c r="C25" i="18"/>
  <c r="S25" i="18"/>
  <c r="C26" i="18"/>
  <c r="S26" i="18"/>
  <c r="C27" i="18"/>
  <c r="S27" i="18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3" i="17"/>
  <c r="C4" i="17"/>
  <c r="C5" i="17"/>
  <c r="C6" i="17"/>
  <c r="C7" i="17"/>
  <c r="C8" i="17"/>
  <c r="C9" i="17"/>
  <c r="C10" i="17"/>
  <c r="C11" i="17"/>
  <c r="C12" i="17"/>
  <c r="C13" i="17"/>
  <c r="C14" i="17"/>
  <c r="C2" i="17"/>
  <c r="U27" i="15" l="1"/>
  <c r="O27" i="15"/>
  <c r="O26" i="15"/>
  <c r="U25" i="15"/>
  <c r="O25" i="15"/>
  <c r="U19" i="15"/>
  <c r="O20" i="15" s="1"/>
  <c r="O17" i="15"/>
  <c r="O12" i="15"/>
  <c r="O9" i="15"/>
  <c r="U6" i="15"/>
  <c r="O6" i="15"/>
  <c r="V4" i="15"/>
  <c r="O15" i="15" s="1"/>
  <c r="U4" i="15"/>
  <c r="O7" i="15" s="1"/>
  <c r="O4" i="15"/>
  <c r="O3" i="15"/>
  <c r="U27" i="14"/>
  <c r="U25" i="14"/>
  <c r="U19" i="14"/>
  <c r="O23" i="14" s="1"/>
  <c r="U6" i="14"/>
  <c r="V4" i="14"/>
  <c r="U4" i="14"/>
  <c r="R27" i="14"/>
  <c r="P27" i="14"/>
  <c r="R26" i="14"/>
  <c r="P26" i="14"/>
  <c r="R25" i="14"/>
  <c r="P25" i="14"/>
  <c r="R24" i="14"/>
  <c r="P24" i="14"/>
  <c r="R23" i="14"/>
  <c r="P23" i="14"/>
  <c r="R22" i="14"/>
  <c r="P22" i="14"/>
  <c r="R21" i="14"/>
  <c r="P21" i="14"/>
  <c r="R20" i="14"/>
  <c r="P20" i="14"/>
  <c r="R19" i="14"/>
  <c r="P19" i="14"/>
  <c r="R18" i="14"/>
  <c r="P18" i="14"/>
  <c r="R17" i="14"/>
  <c r="P17" i="14"/>
  <c r="R16" i="14"/>
  <c r="P16" i="14"/>
  <c r="R15" i="14"/>
  <c r="P15" i="14"/>
  <c r="R14" i="14"/>
  <c r="P14" i="14"/>
  <c r="R13" i="14"/>
  <c r="P13" i="14"/>
  <c r="R12" i="14"/>
  <c r="P12" i="14"/>
  <c r="R11" i="14"/>
  <c r="P11" i="14"/>
  <c r="R10" i="14"/>
  <c r="P10" i="14"/>
  <c r="R9" i="14"/>
  <c r="P9" i="14"/>
  <c r="R8" i="14"/>
  <c r="P8" i="14"/>
  <c r="R7" i="14"/>
  <c r="P7" i="14"/>
  <c r="R6" i="14"/>
  <c r="P6" i="14"/>
  <c r="R5" i="14"/>
  <c r="P5" i="14"/>
  <c r="R4" i="14"/>
  <c r="P4" i="14"/>
  <c r="R3" i="14"/>
  <c r="P3" i="14"/>
  <c r="R2" i="14"/>
  <c r="P2" i="14"/>
  <c r="X27" i="1"/>
  <c r="X26" i="1"/>
  <c r="X25" i="1"/>
  <c r="X20" i="1"/>
  <c r="X21" i="1"/>
  <c r="X22" i="1"/>
  <c r="X23" i="1"/>
  <c r="X24" i="1"/>
  <c r="X19" i="1"/>
  <c r="X16" i="1"/>
  <c r="X17" i="1"/>
  <c r="X18" i="1"/>
  <c r="X1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AA27" i="1"/>
  <c r="O27" i="1" s="1"/>
  <c r="AA25" i="1"/>
  <c r="O26" i="1" s="1"/>
  <c r="AA19" i="1"/>
  <c r="O19" i="1" s="1"/>
  <c r="AA6" i="1"/>
  <c r="V4" i="1" s="1"/>
  <c r="AB4" i="1"/>
  <c r="O15" i="1" s="1"/>
  <c r="AA4" i="1"/>
  <c r="O2" i="1" s="1"/>
  <c r="O27" i="14"/>
  <c r="O26" i="14"/>
  <c r="O25" i="14"/>
  <c r="O22" i="14"/>
  <c r="O9" i="14"/>
  <c r="C35" i="1"/>
  <c r="C34" i="1"/>
  <c r="O5" i="14"/>
  <c r="O15" i="14"/>
  <c r="V23" i="1" l="1"/>
  <c r="N23" i="17" s="1"/>
  <c r="V15" i="1"/>
  <c r="N15" i="17" s="1"/>
  <c r="P4" i="18"/>
  <c r="N4" i="17"/>
  <c r="V12" i="1"/>
  <c r="V17" i="1"/>
  <c r="V10" i="1"/>
  <c r="W10" i="1"/>
  <c r="W19" i="1"/>
  <c r="W27" i="1"/>
  <c r="W22" i="1"/>
  <c r="W7" i="1"/>
  <c r="W24" i="1"/>
  <c r="W17" i="1"/>
  <c r="V9" i="1"/>
  <c r="W11" i="1"/>
  <c r="W20" i="1"/>
  <c r="W5" i="1"/>
  <c r="W25" i="1"/>
  <c r="W4" i="1"/>
  <c r="W12" i="1"/>
  <c r="W21" i="1"/>
  <c r="W13" i="1"/>
  <c r="Z9" i="1"/>
  <c r="W3" i="1"/>
  <c r="W8" i="1"/>
  <c r="W15" i="1"/>
  <c r="W6" i="1"/>
  <c r="W14" i="1"/>
  <c r="W23" i="1"/>
  <c r="AB9" i="1"/>
  <c r="W2" i="1"/>
  <c r="W16" i="1"/>
  <c r="W9" i="1"/>
  <c r="W18" i="1"/>
  <c r="W26" i="1"/>
  <c r="V21" i="1"/>
  <c r="P23" i="18"/>
  <c r="P16" i="17"/>
  <c r="R16" i="18"/>
  <c r="P8" i="17"/>
  <c r="R8" i="18"/>
  <c r="P12" i="17"/>
  <c r="R12" i="18"/>
  <c r="P4" i="17"/>
  <c r="R4" i="18"/>
  <c r="P18" i="17"/>
  <c r="R18" i="18"/>
  <c r="P22" i="17"/>
  <c r="R22" i="18"/>
  <c r="R11" i="18"/>
  <c r="P11" i="17"/>
  <c r="R3" i="18"/>
  <c r="P3" i="17"/>
  <c r="P17" i="17"/>
  <c r="R17" i="18"/>
  <c r="R21" i="18"/>
  <c r="P21" i="17"/>
  <c r="P10" i="17"/>
  <c r="R10" i="18"/>
  <c r="P20" i="17"/>
  <c r="R20" i="18"/>
  <c r="P25" i="17"/>
  <c r="R25" i="18"/>
  <c r="R7" i="18"/>
  <c r="P7" i="17"/>
  <c r="R2" i="18"/>
  <c r="P2" i="17"/>
  <c r="P24" i="17"/>
  <c r="R24" i="18"/>
  <c r="P26" i="17"/>
  <c r="R26" i="18"/>
  <c r="R27" i="18"/>
  <c r="P27" i="17"/>
  <c r="P9" i="17"/>
  <c r="R9" i="18"/>
  <c r="R19" i="18"/>
  <c r="P19" i="17"/>
  <c r="P14" i="17"/>
  <c r="R14" i="18"/>
  <c r="P6" i="17"/>
  <c r="R6" i="18"/>
  <c r="R15" i="18"/>
  <c r="P15" i="17"/>
  <c r="R23" i="18"/>
  <c r="P23" i="17"/>
  <c r="R13" i="18"/>
  <c r="P13" i="17"/>
  <c r="R5" i="18"/>
  <c r="P5" i="17"/>
  <c r="O14" i="15"/>
  <c r="O2" i="15"/>
  <c r="O11" i="15"/>
  <c r="O19" i="15"/>
  <c r="O22" i="15"/>
  <c r="O5" i="15"/>
  <c r="O8" i="15"/>
  <c r="O16" i="15"/>
  <c r="O13" i="15"/>
  <c r="O24" i="15"/>
  <c r="O10" i="15"/>
  <c r="O18" i="15"/>
  <c r="O21" i="15"/>
  <c r="O23" i="15"/>
  <c r="O21" i="14"/>
  <c r="O20" i="14"/>
  <c r="O24" i="14"/>
  <c r="O19" i="14"/>
  <c r="O24" i="1"/>
  <c r="O23" i="1"/>
  <c r="V11" i="1"/>
  <c r="V3" i="1"/>
  <c r="O22" i="1"/>
  <c r="O20" i="1"/>
  <c r="V8" i="1"/>
  <c r="V18" i="1"/>
  <c r="V16" i="1"/>
  <c r="V24" i="1"/>
  <c r="V22" i="1"/>
  <c r="V20" i="1"/>
  <c r="V26" i="1"/>
  <c r="O25" i="1"/>
  <c r="V2" i="1"/>
  <c r="V7" i="1"/>
  <c r="V19" i="1"/>
  <c r="V25" i="1"/>
  <c r="V27" i="1"/>
  <c r="V14" i="1"/>
  <c r="V6" i="1"/>
  <c r="O21" i="1"/>
  <c r="C36" i="1"/>
  <c r="V13" i="1"/>
  <c r="V5" i="1"/>
  <c r="O4" i="14"/>
  <c r="O11" i="14"/>
  <c r="O13" i="14"/>
  <c r="O8" i="14"/>
  <c r="O2" i="14"/>
  <c r="O10" i="14"/>
  <c r="O18" i="14"/>
  <c r="O12" i="14"/>
  <c r="O3" i="14"/>
  <c r="O17" i="14"/>
  <c r="O6" i="14"/>
  <c r="O14" i="14"/>
  <c r="O16" i="14"/>
  <c r="O7" i="14"/>
  <c r="P15" i="18" l="1"/>
  <c r="P26" i="18"/>
  <c r="N26" i="17"/>
  <c r="O9" i="17"/>
  <c r="Q9" i="18"/>
  <c r="Q8" i="18"/>
  <c r="O8" i="17"/>
  <c r="O5" i="17"/>
  <c r="Q5" i="18"/>
  <c r="O27" i="17"/>
  <c r="Q27" i="18"/>
  <c r="P14" i="18"/>
  <c r="N14" i="17"/>
  <c r="P20" i="18"/>
  <c r="N20" i="17"/>
  <c r="N3" i="17"/>
  <c r="P3" i="18"/>
  <c r="Q16" i="18"/>
  <c r="O16" i="17"/>
  <c r="O3" i="17"/>
  <c r="Q3" i="18"/>
  <c r="Q20" i="18"/>
  <c r="O20" i="17"/>
  <c r="O19" i="17"/>
  <c r="Q19" i="18"/>
  <c r="P27" i="18"/>
  <c r="N27" i="17"/>
  <c r="P22" i="18"/>
  <c r="N22" i="17"/>
  <c r="N11" i="17"/>
  <c r="P11" i="18"/>
  <c r="Q2" i="18"/>
  <c r="O2" i="17"/>
  <c r="O11" i="17"/>
  <c r="Q11" i="18"/>
  <c r="Q10" i="18"/>
  <c r="O10" i="17"/>
  <c r="N25" i="17"/>
  <c r="P25" i="18"/>
  <c r="P24" i="18"/>
  <c r="N24" i="17"/>
  <c r="O13" i="17"/>
  <c r="Q13" i="18"/>
  <c r="N9" i="17"/>
  <c r="P9" i="18"/>
  <c r="P10" i="18"/>
  <c r="N10" i="17"/>
  <c r="P6" i="18"/>
  <c r="N6" i="17"/>
  <c r="P5" i="18"/>
  <c r="N5" i="17"/>
  <c r="P19" i="18"/>
  <c r="N19" i="17"/>
  <c r="P16" i="18"/>
  <c r="N16" i="17"/>
  <c r="O23" i="17"/>
  <c r="Q23" i="18"/>
  <c r="O21" i="17"/>
  <c r="Q21" i="18"/>
  <c r="O17" i="17"/>
  <c r="Q17" i="18"/>
  <c r="N17" i="17"/>
  <c r="P17" i="18"/>
  <c r="P13" i="18"/>
  <c r="N13" i="17"/>
  <c r="N7" i="17"/>
  <c r="P7" i="18"/>
  <c r="P18" i="18"/>
  <c r="N18" i="17"/>
  <c r="P21" i="18"/>
  <c r="N21" i="17"/>
  <c r="Q14" i="18"/>
  <c r="O14" i="17"/>
  <c r="Q12" i="18"/>
  <c r="O12" i="17"/>
  <c r="Q24" i="18"/>
  <c r="O24" i="17"/>
  <c r="P12" i="18"/>
  <c r="N12" i="17"/>
  <c r="P2" i="18"/>
  <c r="T2" i="18" s="1"/>
  <c r="N2" i="17"/>
  <c r="P8" i="18"/>
  <c r="N8" i="17"/>
  <c r="Q26" i="18"/>
  <c r="O26" i="17"/>
  <c r="Q6" i="18"/>
  <c r="O6" i="17"/>
  <c r="Q4" i="18"/>
  <c r="O4" i="17"/>
  <c r="O7" i="17"/>
  <c r="Q7" i="18"/>
  <c r="Q18" i="18"/>
  <c r="O18" i="17"/>
  <c r="O15" i="17"/>
  <c r="Q15" i="18"/>
  <c r="O25" i="17"/>
  <c r="Q25" i="18"/>
  <c r="Q22" i="18"/>
  <c r="O22" i="17"/>
  <c r="O7" i="1"/>
  <c r="O18" i="1" l="1"/>
  <c r="O17" i="1"/>
  <c r="O16" i="1"/>
  <c r="O11" i="1"/>
  <c r="O6" i="1"/>
  <c r="O5" i="1"/>
  <c r="O10" i="1"/>
  <c r="O9" i="1"/>
  <c r="O4" i="1"/>
  <c r="O8" i="1"/>
  <c r="O3" i="1"/>
  <c r="O13" i="1"/>
  <c r="O12" i="1"/>
  <c r="O14" i="1"/>
  <c r="H15" i="1"/>
  <c r="H15" i="18" s="1"/>
  <c r="H16" i="1"/>
  <c r="H16" i="18" s="1"/>
  <c r="H17" i="1"/>
  <c r="H17" i="18" s="1"/>
  <c r="H18" i="1"/>
  <c r="H18" i="18" s="1"/>
  <c r="H8" i="1" l="1"/>
  <c r="H8" i="18" s="1"/>
  <c r="H9" i="1"/>
  <c r="H9" i="18" s="1"/>
  <c r="H10" i="1"/>
  <c r="H10" i="18" s="1"/>
  <c r="H22" i="1"/>
  <c r="H22" i="18" s="1"/>
  <c r="H11" i="1"/>
  <c r="H11" i="18" s="1"/>
  <c r="H25" i="1"/>
  <c r="H25" i="18" s="1"/>
  <c r="H12" i="1"/>
  <c r="H12" i="18" s="1"/>
  <c r="H13" i="1"/>
  <c r="H13" i="18" s="1"/>
  <c r="H23" i="1"/>
  <c r="H23" i="18" s="1"/>
  <c r="H24" i="1"/>
  <c r="H24" i="18" s="1"/>
  <c r="H26" i="1"/>
  <c r="H26" i="18" s="1"/>
  <c r="H14" i="1"/>
  <c r="H14" i="18" s="1"/>
  <c r="H3" i="1"/>
  <c r="H3" i="18" s="1"/>
  <c r="H4" i="1"/>
  <c r="H4" i="18" s="1"/>
  <c r="H20" i="1"/>
  <c r="H20" i="18" s="1"/>
  <c r="H5" i="1"/>
  <c r="H5" i="18" s="1"/>
  <c r="H6" i="1"/>
  <c r="H6" i="18" s="1"/>
  <c r="H7" i="1"/>
  <c r="H7" i="18" s="1"/>
  <c r="H21" i="1"/>
  <c r="H21" i="18" s="1"/>
  <c r="H27" i="1"/>
  <c r="H27" i="18" s="1"/>
  <c r="H2" i="1"/>
  <c r="H2" i="18" s="1"/>
  <c r="H19" i="1"/>
  <c r="H19" i="18" s="1"/>
</calcChain>
</file>

<file path=xl/sharedStrings.xml><?xml version="1.0" encoding="utf-8"?>
<sst xmlns="http://schemas.openxmlformats.org/spreadsheetml/2006/main" count="619" uniqueCount="103">
  <si>
    <t>AL</t>
  </si>
  <si>
    <t>AR</t>
  </si>
  <si>
    <t>CA</t>
  </si>
  <si>
    <t>CO</t>
  </si>
  <si>
    <t>CT</t>
  </si>
  <si>
    <t>FL</t>
  </si>
  <si>
    <t>GA</t>
  </si>
  <si>
    <t>IL</t>
  </si>
  <si>
    <t>IN</t>
  </si>
  <si>
    <t>IA</t>
  </si>
  <si>
    <t>MD</t>
  </si>
  <si>
    <t>MA</t>
  </si>
  <si>
    <t>MI</t>
  </si>
  <si>
    <t>MN</t>
  </si>
  <si>
    <t>MS</t>
  </si>
  <si>
    <t>NJ</t>
  </si>
  <si>
    <t>NY</t>
  </si>
  <si>
    <t>NC</t>
  </si>
  <si>
    <t>OH</t>
  </si>
  <si>
    <t>OR</t>
  </si>
  <si>
    <t>PA</t>
  </si>
  <si>
    <t>TN</t>
  </si>
  <si>
    <t>TX</t>
  </si>
  <si>
    <t>VA</t>
  </si>
  <si>
    <t>WA</t>
  </si>
  <si>
    <t>WI</t>
  </si>
  <si>
    <t>nu (growth rate)</t>
    <phoneticPr fontId="18"/>
  </si>
  <si>
    <t>Y_K ratio</t>
    <phoneticPr fontId="18"/>
  </si>
  <si>
    <t>phi_k</t>
    <phoneticPr fontId="18"/>
  </si>
  <si>
    <t>phi_l</t>
    <phoneticPr fontId="18"/>
  </si>
  <si>
    <t>gamma</t>
    <phoneticPr fontId="18"/>
  </si>
  <si>
    <t>phi_k /phi_l</t>
    <phoneticPr fontId="18"/>
  </si>
  <si>
    <t>Alabama</t>
  </si>
  <si>
    <t>Arkansas</t>
  </si>
  <si>
    <t>California</t>
  </si>
  <si>
    <t>Colorado</t>
  </si>
  <si>
    <t>Connecticut</t>
  </si>
  <si>
    <t>Florida</t>
  </si>
  <si>
    <t>Georgia</t>
  </si>
  <si>
    <t>Illinois</t>
  </si>
  <si>
    <t>Indiana</t>
  </si>
  <si>
    <t>Iowa</t>
  </si>
  <si>
    <t>Maryland</t>
  </si>
  <si>
    <t>Massachusetts</t>
  </si>
  <si>
    <t>Michigan</t>
  </si>
  <si>
    <t>Minnesota</t>
  </si>
  <si>
    <t>Mississippi</t>
  </si>
  <si>
    <t>New Jersey</t>
  </si>
  <si>
    <t>New York</t>
  </si>
  <si>
    <t>North Carolina</t>
  </si>
  <si>
    <t>Ohio</t>
  </si>
  <si>
    <t>Oregon</t>
  </si>
  <si>
    <t>Pennsylvania</t>
  </si>
  <si>
    <t>Tennessee</t>
  </si>
  <si>
    <t>Texas</t>
  </si>
  <si>
    <t>Virginia</t>
  </si>
  <si>
    <t>Washington</t>
  </si>
  <si>
    <t>Wisconsin</t>
  </si>
  <si>
    <t>N</t>
    <phoneticPr fontId="18"/>
  </si>
  <si>
    <t>theta</t>
    <phoneticPr fontId="18"/>
  </si>
  <si>
    <t>mu</t>
    <phoneticPr fontId="18"/>
  </si>
  <si>
    <t>eta</t>
    <phoneticPr fontId="18"/>
  </si>
  <si>
    <t>g/T</t>
    <phoneticPr fontId="18"/>
  </si>
  <si>
    <t>tau_l</t>
    <phoneticPr fontId="18"/>
  </si>
  <si>
    <t>tau_k</t>
    <phoneticPr fontId="18"/>
  </si>
  <si>
    <t>A</t>
    <phoneticPr fontId="18"/>
  </si>
  <si>
    <t>Delta</t>
    <phoneticPr fontId="18"/>
  </si>
  <si>
    <t>alpha</t>
    <phoneticPr fontId="18"/>
  </si>
  <si>
    <t>c_yk</t>
    <phoneticPr fontId="18"/>
  </si>
  <si>
    <t>c_ok</t>
    <phoneticPr fontId="18"/>
  </si>
  <si>
    <t>c_yl</t>
    <phoneticPr fontId="18"/>
  </si>
  <si>
    <t>c_ol</t>
    <phoneticPr fontId="18"/>
  </si>
  <si>
    <t>L</t>
    <phoneticPr fontId="18"/>
  </si>
  <si>
    <t>beta</t>
    <phoneticPr fontId="18"/>
  </si>
  <si>
    <t>r</t>
    <phoneticPr fontId="18"/>
  </si>
  <si>
    <t>delta</t>
    <phoneticPr fontId="18"/>
  </si>
  <si>
    <t>phi_k /phi_l</t>
  </si>
  <si>
    <t>tau_k</t>
    <phoneticPr fontId="18"/>
  </si>
  <si>
    <t>tau_l</t>
    <phoneticPr fontId="18"/>
  </si>
  <si>
    <t>rho</t>
    <phoneticPr fontId="18"/>
  </si>
  <si>
    <t>theta</t>
    <phoneticPr fontId="18"/>
  </si>
  <si>
    <t>N</t>
    <phoneticPr fontId="18"/>
  </si>
  <si>
    <t>Group A</t>
    <phoneticPr fontId="18"/>
  </si>
  <si>
    <t>Group B</t>
    <phoneticPr fontId="18"/>
  </si>
  <si>
    <t>Group C</t>
    <phoneticPr fontId="18"/>
  </si>
  <si>
    <t>Group E</t>
    <phoneticPr fontId="18"/>
  </si>
  <si>
    <t>Group D</t>
    <phoneticPr fontId="18"/>
  </si>
  <si>
    <t>dnudrho</t>
    <phoneticPr fontId="18"/>
  </si>
  <si>
    <t>dnudphi</t>
    <phoneticPr fontId="18"/>
  </si>
  <si>
    <t>dudtheta</t>
    <phoneticPr fontId="18"/>
  </si>
  <si>
    <t>rent of capital (annual)</t>
    <phoneticPr fontId="18"/>
  </si>
  <si>
    <t>r</t>
    <phoneticPr fontId="18"/>
  </si>
  <si>
    <t>TD_rho</t>
    <phoneticPr fontId="18"/>
  </si>
  <si>
    <t>TD_phi</t>
    <phoneticPr fontId="18"/>
  </si>
  <si>
    <t>TD_theta</t>
    <phoneticPr fontId="18"/>
  </si>
  <si>
    <t>TD_total</t>
    <phoneticPr fontId="18"/>
  </si>
  <si>
    <t>rho_per</t>
  </si>
  <si>
    <t>phi_per</t>
  </si>
  <si>
    <t>theta_per</t>
  </si>
  <si>
    <t>phi x TD_phi</t>
    <phoneticPr fontId="18"/>
  </si>
  <si>
    <t>theta x TD_theta</t>
    <phoneticPr fontId="18"/>
  </si>
  <si>
    <t>Total</t>
    <phoneticPr fontId="18"/>
  </si>
  <si>
    <t>rho /  x TD_rho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</si>
</sst>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%"/>
    <numFmt numFmtId="178" formatCode="0.0000"/>
  </numFmts>
  <fonts count="29">
    <font>
      <sz val="11"/>
      <color theme="1"/>
      <name val="Arial"/>
      <family val="2"/>
      <charset val="128"/>
    </font>
    <font>
      <sz val="11"/>
      <color theme="1"/>
      <name val="Arial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"/>
      <family val="2"/>
      <charset val="128"/>
    </font>
    <font>
      <b/>
      <sz val="13"/>
      <color theme="3"/>
      <name val="Arial"/>
      <family val="2"/>
      <charset val="128"/>
    </font>
    <font>
      <b/>
      <sz val="11"/>
      <color theme="3"/>
      <name val="Arial"/>
      <family val="2"/>
      <charset val="128"/>
    </font>
    <font>
      <sz val="11"/>
      <color rgb="FF006100"/>
      <name val="Arial"/>
      <family val="2"/>
      <charset val="128"/>
    </font>
    <font>
      <sz val="11"/>
      <color rgb="FF9C0006"/>
      <name val="Arial"/>
      <family val="2"/>
      <charset val="128"/>
    </font>
    <font>
      <sz val="11"/>
      <color rgb="FF9C6500"/>
      <name val="Arial"/>
      <family val="2"/>
      <charset val="128"/>
    </font>
    <font>
      <sz val="11"/>
      <color rgb="FF3F3F76"/>
      <name val="Arial"/>
      <family val="2"/>
      <charset val="128"/>
    </font>
    <font>
      <b/>
      <sz val="11"/>
      <color rgb="FF3F3F3F"/>
      <name val="Arial"/>
      <family val="2"/>
      <charset val="128"/>
    </font>
    <font>
      <b/>
      <sz val="11"/>
      <color rgb="FFFA7D00"/>
      <name val="Arial"/>
      <family val="2"/>
      <charset val="128"/>
    </font>
    <font>
      <sz val="11"/>
      <color rgb="FFFA7D00"/>
      <name val="Arial"/>
      <family val="2"/>
      <charset val="128"/>
    </font>
    <font>
      <b/>
      <sz val="11"/>
      <color theme="0"/>
      <name val="Arial"/>
      <family val="2"/>
      <charset val="128"/>
    </font>
    <font>
      <sz val="11"/>
      <color rgb="FFFF0000"/>
      <name val="Arial"/>
      <family val="2"/>
      <charset val="128"/>
    </font>
    <font>
      <i/>
      <sz val="11"/>
      <color rgb="FF7F7F7F"/>
      <name val="Arial"/>
      <family val="2"/>
      <charset val="128"/>
    </font>
    <font>
      <b/>
      <sz val="11"/>
      <color theme="1"/>
      <name val="Arial"/>
      <family val="2"/>
      <charset val="128"/>
    </font>
    <font>
      <sz val="11"/>
      <color theme="0"/>
      <name val="Arial"/>
      <family val="2"/>
      <charset val="128"/>
    </font>
    <font>
      <sz val="6"/>
      <name val="Arial"/>
      <family val="2"/>
      <charset val="128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name val="Arial"/>
      <family val="2"/>
      <charset val="128"/>
    </font>
    <font>
      <b/>
      <sz val="11"/>
      <color theme="3" tint="-0.24997711111789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3" tint="-0.249977111117893"/>
      <name val="Arial"/>
      <family val="2"/>
    </font>
    <font>
      <b/>
      <sz val="11"/>
      <color theme="6" tint="-0.249977111117893"/>
      <name val="Arial"/>
      <family val="2"/>
    </font>
    <font>
      <b/>
      <sz val="11"/>
      <color rgb="FF00B0F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10" fontId="0" fillId="33" borderId="0" xfId="1" applyNumberFormat="1" applyFont="1" applyFill="1">
      <alignment vertical="center"/>
    </xf>
    <xf numFmtId="176" fontId="0" fillId="33" borderId="0" xfId="0" applyNumberFormat="1" applyFill="1">
      <alignment vertical="center"/>
    </xf>
    <xf numFmtId="9" fontId="0" fillId="33" borderId="0" xfId="1" applyFont="1" applyFill="1">
      <alignment vertical="center"/>
    </xf>
    <xf numFmtId="0" fontId="14" fillId="0" borderId="0" xfId="0" applyFont="1">
      <alignment vertical="center"/>
    </xf>
    <xf numFmtId="0" fontId="19" fillId="33" borderId="0" xfId="0" applyFont="1" applyFill="1">
      <alignment vertical="center"/>
    </xf>
    <xf numFmtId="176" fontId="19" fillId="33" borderId="0" xfId="0" applyNumberFormat="1" applyFont="1" applyFill="1">
      <alignment vertical="center"/>
    </xf>
    <xf numFmtId="176" fontId="19" fillId="0" borderId="0" xfId="0" applyNumberFormat="1" applyFont="1">
      <alignment vertical="center"/>
    </xf>
    <xf numFmtId="176" fontId="19" fillId="33" borderId="0" xfId="1" applyNumberFormat="1" applyFont="1" applyFill="1">
      <alignment vertical="center"/>
    </xf>
    <xf numFmtId="0" fontId="19" fillId="0" borderId="0" xfId="0" applyFont="1">
      <alignment vertical="center"/>
    </xf>
    <xf numFmtId="176" fontId="19" fillId="0" borderId="0" xfId="1" applyNumberFormat="1" applyFont="1">
      <alignment vertical="center"/>
    </xf>
    <xf numFmtId="0" fontId="20" fillId="33" borderId="0" xfId="0" applyFont="1" applyFill="1">
      <alignment vertical="center"/>
    </xf>
    <xf numFmtId="0" fontId="21" fillId="33" borderId="0" xfId="0" applyFont="1" applyFill="1">
      <alignment vertical="center"/>
    </xf>
    <xf numFmtId="9" fontId="0" fillId="0" borderId="0" xfId="1" applyNumberFormat="1" applyFont="1">
      <alignment vertical="center"/>
    </xf>
    <xf numFmtId="176" fontId="0" fillId="0" borderId="0" xfId="1" applyNumberFormat="1" applyFont="1" applyFill="1">
      <alignment vertical="center"/>
    </xf>
    <xf numFmtId="176" fontId="0" fillId="33" borderId="0" xfId="1" applyNumberFormat="1" applyFont="1" applyFill="1">
      <alignment vertical="center"/>
    </xf>
    <xf numFmtId="176" fontId="0" fillId="34" borderId="0" xfId="1" applyNumberFormat="1" applyFont="1" applyFill="1">
      <alignment vertical="center"/>
    </xf>
    <xf numFmtId="176" fontId="19" fillId="0" borderId="0" xfId="1" applyNumberFormat="1" applyFont="1" applyFill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NumberFormat="1" applyFont="1">
      <alignment vertical="center"/>
    </xf>
    <xf numFmtId="0" fontId="19" fillId="0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>
      <alignment vertical="center"/>
    </xf>
    <xf numFmtId="176" fontId="19" fillId="0" borderId="0" xfId="0" applyNumberFormat="1" applyFont="1" applyFill="1">
      <alignment vertical="center"/>
    </xf>
    <xf numFmtId="9" fontId="0" fillId="0" borderId="0" xfId="1" applyFont="1" applyFill="1">
      <alignment vertical="center"/>
    </xf>
    <xf numFmtId="9" fontId="0" fillId="0" borderId="0" xfId="1" applyNumberFormat="1" applyFont="1" applyFill="1">
      <alignment vertical="center"/>
    </xf>
    <xf numFmtId="176" fontId="23" fillId="33" borderId="0" xfId="0" applyNumberFormat="1" applyFont="1" applyFill="1">
      <alignment vertical="center"/>
    </xf>
    <xf numFmtId="0" fontId="23" fillId="33" borderId="0" xfId="0" applyFont="1" applyFill="1">
      <alignment vertical="center"/>
    </xf>
    <xf numFmtId="176" fontId="0" fillId="36" borderId="0" xfId="0" applyNumberFormat="1" applyFill="1">
      <alignment vertical="center"/>
    </xf>
    <xf numFmtId="176" fontId="0" fillId="36" borderId="0" xfId="1" applyNumberFormat="1" applyFont="1" applyFill="1">
      <alignment vertical="center"/>
    </xf>
    <xf numFmtId="176" fontId="0" fillId="37" borderId="0" xfId="0" applyNumberFormat="1" applyFill="1">
      <alignment vertical="center"/>
    </xf>
    <xf numFmtId="176" fontId="0" fillId="37" borderId="0" xfId="1" applyNumberFormat="1" applyFont="1" applyFill="1">
      <alignment vertical="center"/>
    </xf>
    <xf numFmtId="176" fontId="0" fillId="35" borderId="0" xfId="1" applyNumberFormat="1" applyFont="1" applyFill="1">
      <alignment vertical="center"/>
    </xf>
    <xf numFmtId="176" fontId="0" fillId="38" borderId="0" xfId="1" applyNumberFormat="1" applyFont="1" applyFill="1">
      <alignment vertical="center"/>
    </xf>
    <xf numFmtId="176" fontId="0" fillId="38" borderId="0" xfId="0" applyNumberFormat="1" applyFill="1">
      <alignment vertical="center"/>
    </xf>
    <xf numFmtId="176" fontId="19" fillId="37" borderId="0" xfId="0" applyNumberFormat="1" applyFont="1" applyFill="1">
      <alignment vertical="center"/>
    </xf>
    <xf numFmtId="176" fontId="14" fillId="0" borderId="0" xfId="0" applyNumberFormat="1" applyFont="1">
      <alignment vertical="center"/>
    </xf>
    <xf numFmtId="176" fontId="19" fillId="37" borderId="0" xfId="1" applyNumberFormat="1" applyFont="1" applyFill="1">
      <alignment vertical="center"/>
    </xf>
    <xf numFmtId="0" fontId="24" fillId="0" borderId="0" xfId="0" applyFont="1">
      <alignment vertical="center"/>
    </xf>
    <xf numFmtId="178" fontId="0" fillId="0" borderId="0" xfId="0" applyNumberFormat="1">
      <alignment vertical="center"/>
    </xf>
    <xf numFmtId="178" fontId="0" fillId="33" borderId="0" xfId="0" applyNumberFormat="1" applyFill="1">
      <alignment vertical="center"/>
    </xf>
    <xf numFmtId="178" fontId="0" fillId="33" borderId="0" xfId="1" applyNumberFormat="1" applyFont="1" applyFill="1">
      <alignment vertical="center"/>
    </xf>
    <xf numFmtId="178" fontId="0" fillId="0" borderId="0" xfId="1" applyNumberFormat="1" applyFont="1">
      <alignment vertical="center"/>
    </xf>
    <xf numFmtId="9" fontId="14" fillId="33" borderId="0" xfId="1" applyFont="1" applyFill="1">
      <alignment vertical="center"/>
    </xf>
    <xf numFmtId="2" fontId="0" fillId="33" borderId="0" xfId="0" applyNumberFormat="1" applyFill="1">
      <alignment vertical="center"/>
    </xf>
    <xf numFmtId="177" fontId="0" fillId="33" borderId="0" xfId="1" applyNumberFormat="1" applyFont="1" applyFill="1">
      <alignment vertical="center"/>
    </xf>
    <xf numFmtId="0" fontId="0" fillId="0" borderId="10" xfId="0" applyBorder="1">
      <alignment vertical="center"/>
    </xf>
    <xf numFmtId="0" fontId="24" fillId="0" borderId="11" xfId="0" applyFont="1" applyBorder="1">
      <alignment vertical="center"/>
    </xf>
    <xf numFmtId="0" fontId="0" fillId="0" borderId="11" xfId="0" applyBorder="1">
      <alignment vertical="center"/>
    </xf>
    <xf numFmtId="178" fontId="0" fillId="0" borderId="0" xfId="0" applyNumberFormat="1" applyBorder="1">
      <alignment vertical="center"/>
    </xf>
    <xf numFmtId="0" fontId="0" fillId="33" borderId="12" xfId="0" applyFill="1" applyBorder="1">
      <alignment vertical="center"/>
    </xf>
    <xf numFmtId="178" fontId="0" fillId="0" borderId="12" xfId="0" applyNumberFormat="1" applyBorder="1">
      <alignment vertical="center"/>
    </xf>
    <xf numFmtId="178" fontId="0" fillId="0" borderId="1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24" fillId="0" borderId="0" xfId="0" applyFont="1" applyBorder="1">
      <alignment vertical="center"/>
    </xf>
    <xf numFmtId="0" fontId="25" fillId="0" borderId="10" xfId="0" applyFont="1" applyBorder="1">
      <alignment vertical="center"/>
    </xf>
    <xf numFmtId="0" fontId="25" fillId="0" borderId="11" xfId="0" applyFont="1" applyBorder="1">
      <alignment vertical="center"/>
    </xf>
    <xf numFmtId="0" fontId="25" fillId="33" borderId="0" xfId="0" applyFont="1" applyFill="1">
      <alignment vertical="center"/>
    </xf>
    <xf numFmtId="0" fontId="25" fillId="33" borderId="0" xfId="0" applyFont="1" applyFill="1" applyBorder="1">
      <alignment vertical="center"/>
    </xf>
    <xf numFmtId="176" fontId="25" fillId="33" borderId="0" xfId="1" applyNumberFormat="1" applyFont="1" applyFill="1" applyBorder="1">
      <alignment vertical="center"/>
    </xf>
    <xf numFmtId="0" fontId="26" fillId="33" borderId="0" xfId="0" applyFont="1" applyFill="1">
      <alignment vertical="center"/>
    </xf>
    <xf numFmtId="0" fontId="26" fillId="33" borderId="0" xfId="0" applyFont="1" applyFill="1" applyBorder="1">
      <alignment vertical="center"/>
    </xf>
    <xf numFmtId="0" fontId="25" fillId="33" borderId="12" xfId="0" applyFont="1" applyFill="1" applyBorder="1">
      <alignment vertical="center"/>
    </xf>
    <xf numFmtId="176" fontId="25" fillId="33" borderId="12" xfId="1" applyNumberFormat="1" applyFont="1" applyFill="1" applyBorder="1">
      <alignment vertical="center"/>
    </xf>
    <xf numFmtId="176" fontId="25" fillId="33" borderId="11" xfId="1" applyNumberFormat="1" applyFont="1" applyFill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Border="1">
      <alignment vertical="center"/>
    </xf>
    <xf numFmtId="0" fontId="25" fillId="0" borderId="12" xfId="0" applyFont="1" applyBorder="1">
      <alignment vertical="center"/>
    </xf>
    <xf numFmtId="0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33" borderId="12" xfId="0" applyNumberFormat="1" applyFill="1" applyBorder="1">
      <alignment vertical="center"/>
    </xf>
    <xf numFmtId="0" fontId="25" fillId="0" borderId="10" xfId="0" applyFont="1" applyFill="1" applyBorder="1">
      <alignment vertical="center"/>
    </xf>
    <xf numFmtId="0" fontId="0" fillId="0" borderId="10" xfId="0" applyFill="1" applyBorder="1">
      <alignment vertical="center"/>
    </xf>
    <xf numFmtId="0" fontId="24" fillId="0" borderId="0" xfId="0" applyFont="1" applyFill="1" applyBorder="1">
      <alignment vertical="center"/>
    </xf>
    <xf numFmtId="0" fontId="25" fillId="0" borderId="0" xfId="0" applyFont="1" applyFill="1" applyBorder="1">
      <alignment vertical="center"/>
    </xf>
    <xf numFmtId="10" fontId="0" fillId="0" borderId="0" xfId="1" applyNumberFormat="1" applyFont="1" applyFill="1">
      <alignment vertical="center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6" fillId="0" borderId="0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0" borderId="11" xfId="0" applyFont="1" applyFill="1" applyBorder="1">
      <alignment vertical="center"/>
    </xf>
    <xf numFmtId="176" fontId="0" fillId="0" borderId="11" xfId="0" applyNumberFormat="1" applyFill="1" applyBorder="1">
      <alignment vertical="center"/>
    </xf>
    <xf numFmtId="176" fontId="25" fillId="0" borderId="11" xfId="1" applyNumberFormat="1" applyFont="1" applyFill="1" applyBorder="1">
      <alignment vertical="center"/>
    </xf>
    <xf numFmtId="10" fontId="0" fillId="0" borderId="0" xfId="1" applyNumberFormat="1" applyFont="1" applyFill="1" applyBorder="1">
      <alignment vertical="center"/>
    </xf>
    <xf numFmtId="0" fontId="25" fillId="0" borderId="12" xfId="0" applyFont="1" applyFill="1" applyBorder="1">
      <alignment vertical="center"/>
    </xf>
    <xf numFmtId="10" fontId="0" fillId="0" borderId="12" xfId="1" applyNumberFormat="1" applyFon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25" fillId="0" borderId="0" xfId="1" applyNumberFormat="1" applyFont="1" applyFill="1" applyBorder="1">
      <alignment vertical="center"/>
    </xf>
    <xf numFmtId="176" fontId="0" fillId="0" borderId="12" xfId="0" applyNumberFormat="1" applyFill="1" applyBorder="1">
      <alignment vertical="center"/>
    </xf>
    <xf numFmtId="177" fontId="0" fillId="0" borderId="0" xfId="1" applyNumberFormat="1" applyFont="1" applyFill="1">
      <alignment vertical="center"/>
    </xf>
    <xf numFmtId="177" fontId="0" fillId="0" borderId="11" xfId="0" applyNumberForma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77" fontId="0" fillId="0" borderId="12" xfId="1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27" fillId="0" borderId="0" xfId="0" applyFont="1">
      <alignment vertical="center"/>
    </xf>
    <xf numFmtId="0" fontId="20" fillId="0" borderId="0" xfId="0" applyFont="1">
      <alignment vertical="center"/>
    </xf>
    <xf numFmtId="0" fontId="28" fillId="0" borderId="0" xfId="0" applyFon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zoomScale="85" zoomScaleNormal="85" workbookViewId="0">
      <pane xSplit="2" topLeftCell="S1" activePane="topRight" state="frozen"/>
      <selection pane="topRight" activeCell="AP30" sqref="AP30:AR31"/>
    </sheetView>
  </sheetViews>
  <sheetFormatPr defaultRowHeight="14.25"/>
  <cols>
    <col min="1" max="1" width="14.25" bestFit="1" customWidth="1"/>
    <col min="3" max="3" width="14.875" bestFit="1" customWidth="1"/>
    <col min="8" max="8" width="10.5" bestFit="1" customWidth="1"/>
    <col min="9" max="9" width="10.5" customWidth="1"/>
    <col min="11" max="12" width="9" customWidth="1"/>
    <col min="13" max="13" width="6" style="6" bestFit="1" customWidth="1"/>
  </cols>
  <sheetData>
    <row r="1" spans="1:44">
      <c r="C1" t="s">
        <v>26</v>
      </c>
      <c r="D1" t="s">
        <v>27</v>
      </c>
      <c r="E1" t="s">
        <v>90</v>
      </c>
      <c r="F1" t="s">
        <v>28</v>
      </c>
      <c r="G1" t="s">
        <v>29</v>
      </c>
      <c r="H1" t="s">
        <v>31</v>
      </c>
      <c r="I1" t="s">
        <v>59</v>
      </c>
      <c r="J1" t="s">
        <v>60</v>
      </c>
      <c r="K1" t="s">
        <v>30</v>
      </c>
      <c r="L1" t="s">
        <v>72</v>
      </c>
      <c r="M1" s="6" t="s">
        <v>58</v>
      </c>
      <c r="N1" t="s">
        <v>61</v>
      </c>
      <c r="O1" t="s">
        <v>62</v>
      </c>
      <c r="P1" t="s">
        <v>87</v>
      </c>
      <c r="Q1" t="s">
        <v>88</v>
      </c>
      <c r="R1" t="s">
        <v>89</v>
      </c>
      <c r="V1" t="s">
        <v>68</v>
      </c>
      <c r="W1" t="s">
        <v>69</v>
      </c>
      <c r="X1" t="s">
        <v>70</v>
      </c>
      <c r="Y1" t="s">
        <v>71</v>
      </c>
      <c r="Z1" t="s">
        <v>67</v>
      </c>
      <c r="AA1">
        <v>0.36</v>
      </c>
      <c r="AB1" t="s">
        <v>75</v>
      </c>
      <c r="AC1">
        <v>0.17899999999999999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102</v>
      </c>
      <c r="AM1" t="s">
        <v>99</v>
      </c>
      <c r="AN1" t="s">
        <v>100</v>
      </c>
      <c r="AO1" t="s">
        <v>101</v>
      </c>
      <c r="AP1" t="s">
        <v>96</v>
      </c>
      <c r="AQ1" t="s">
        <v>97</v>
      </c>
      <c r="AR1" t="s">
        <v>98</v>
      </c>
    </row>
    <row r="2" spans="1:44" s="7" customFormat="1" ht="15">
      <c r="A2" s="7" t="s">
        <v>33</v>
      </c>
      <c r="B2" s="7" t="s">
        <v>1</v>
      </c>
      <c r="C2" s="8">
        <v>8.1600000000000006E-2</v>
      </c>
      <c r="D2" s="7">
        <v>1.3492801560000001</v>
      </c>
      <c r="E2" s="53">
        <f>(1+(D2*$AA$1-$AC$1))^(1/4)-1</f>
        <v>6.9171484833741248E-2</v>
      </c>
      <c r="F2" s="7">
        <v>0.307</v>
      </c>
      <c r="G2" s="7">
        <v>0.34399999999999997</v>
      </c>
      <c r="H2" s="9">
        <f>F2/G2</f>
        <v>0.89244186046511631</v>
      </c>
      <c r="I2" s="7">
        <v>0.162385009567135</v>
      </c>
      <c r="J2" s="7">
        <v>0.56443417009271801</v>
      </c>
      <c r="K2" s="7">
        <v>7.6788294295846202E-2</v>
      </c>
      <c r="L2" s="9">
        <v>1</v>
      </c>
      <c r="M2" s="7">
        <v>2.1014117551745599</v>
      </c>
      <c r="N2" s="7">
        <v>3.6868334977361701</v>
      </c>
      <c r="O2" s="10">
        <f t="shared" ref="O2:O14" si="0">($AA$4*$AA$3*N2^$AA$1+$AA$2*J2*K2*N2)^(-1)</f>
        <v>0.77926840375098272</v>
      </c>
      <c r="P2" s="7">
        <v>-1.39054180697883</v>
      </c>
      <c r="Q2" s="7">
        <v>0.39157280792640597</v>
      </c>
      <c r="R2" s="49">
        <v>-0.56275073686181099</v>
      </c>
      <c r="S2" s="51">
        <f>ABS($P2)/(ABS($P2)+ABS($Q2)+ABS($R2))</f>
        <v>0.59301563133718682</v>
      </c>
      <c r="T2" s="10">
        <f>ABS($Q2)/(ABS($P2)+ABS($Q2)+ABS($R2))</f>
        <v>0.16699159618326229</v>
      </c>
      <c r="U2" s="10">
        <f>ABS($R2)/(ABS($P2)+ABS($Q2)+ABS($R2))</f>
        <v>0.23999277247955089</v>
      </c>
      <c r="V2" s="22">
        <f>((1-$AA$5)*(1-0)*(1-$AA$1)*D2/L2-K2)/(1+$AA$6)</f>
        <v>0.27072231921206202</v>
      </c>
      <c r="W2" s="22">
        <f>$AA$6/(1+$AA$6)*(1-$AA$2)*(1-$AC$1+$AA$1*D2)*((1-$AA$5)*(1-0)*(1-$AA$1)*D2/L2-K2)</f>
        <v>0.29833481223832181</v>
      </c>
      <c r="X2" s="22">
        <f>(1-$AA$5)*I2*(1-$AA$1)*D2/L2</f>
        <v>0.10880122728995902</v>
      </c>
      <c r="Y2" s="22">
        <f>1/(M2*(1-J2))*($AA$5*(1-$AA$1)*D2+$AA$2*($AA$1*D2+M2*J2*K2)-N2^(-1))</f>
        <v>9.9172439115055869E-2</v>
      </c>
      <c r="Z2" s="19" t="s">
        <v>64</v>
      </c>
      <c r="AA2" s="19">
        <v>0.29210000000000003</v>
      </c>
      <c r="AB2" s="18">
        <v>0.25</v>
      </c>
      <c r="AE2" s="7">
        <v>1.39054180697883</v>
      </c>
      <c r="AF2" s="7">
        <v>0.39157280792640597</v>
      </c>
      <c r="AG2" s="7">
        <v>0.56275073686181099</v>
      </c>
      <c r="AH2" s="7">
        <f>SUM(AE2:AG2)</f>
        <v>2.344865351767047</v>
      </c>
      <c r="AI2" s="7">
        <f>ROUND(AE2/AH2*100,0)</f>
        <v>59</v>
      </c>
      <c r="AJ2" s="7">
        <f>ROUND(AF2/AH2*100,0)</f>
        <v>17</v>
      </c>
      <c r="AK2" s="7">
        <f>100-AJ2-AI2</f>
        <v>24</v>
      </c>
      <c r="AL2" s="7">
        <f>AE2*K2/C2</f>
        <v>1.3085457537373548</v>
      </c>
      <c r="AM2" s="7">
        <f>F2*AF2/C2</f>
        <v>1.4731967160956694</v>
      </c>
      <c r="AN2" s="7">
        <f>AG2*I2/C2</f>
        <v>1.1198809287894294</v>
      </c>
      <c r="AO2" s="7">
        <f>SUM(AL2:AN2)</f>
        <v>3.901623398622454</v>
      </c>
      <c r="AP2">
        <f>ROUND(AL2/AO2*100,0)</f>
        <v>34</v>
      </c>
      <c r="AQ2" s="107">
        <f>ROUND(AM2/AO2*100,0)</f>
        <v>38</v>
      </c>
      <c r="AR2">
        <f>100-AQ2-AP2</f>
        <v>28</v>
      </c>
    </row>
    <row r="3" spans="1:44" s="7" customFormat="1" ht="15">
      <c r="A3" s="7" t="s">
        <v>34</v>
      </c>
      <c r="B3" s="7" t="s">
        <v>2</v>
      </c>
      <c r="C3" s="8">
        <v>7.4399999999999994E-2</v>
      </c>
      <c r="D3" s="7">
        <v>1.380515787</v>
      </c>
      <c r="E3" s="53">
        <f t="shared" ref="E3:E26" si="1">(1+(D3*$AA$1-$AC$1))^(1/4)-1</f>
        <v>7.1464220498122399E-2</v>
      </c>
      <c r="F3" s="7">
        <v>0.14699999999999999</v>
      </c>
      <c r="G3" s="7">
        <v>0.17499999999999999</v>
      </c>
      <c r="H3" s="9">
        <f t="shared" ref="H3:H14" si="2">F3/G3</f>
        <v>0.84</v>
      </c>
      <c r="I3" s="7">
        <v>6.4732172424414702E-2</v>
      </c>
      <c r="J3" s="7">
        <v>0.57698927157167801</v>
      </c>
      <c r="K3" s="7">
        <v>0.13399927480846099</v>
      </c>
      <c r="L3" s="9">
        <v>1</v>
      </c>
      <c r="M3" s="7">
        <v>2.2835567018627398</v>
      </c>
      <c r="N3" s="7">
        <v>3.55732427233584</v>
      </c>
      <c r="O3" s="10">
        <f t="shared" si="0"/>
        <v>0.7685799504898464</v>
      </c>
      <c r="P3" s="7">
        <v>-1.4904007570899001</v>
      </c>
      <c r="Q3" s="7">
        <v>0.97347676018879004</v>
      </c>
      <c r="R3" s="49">
        <v>-0.95781626220823801</v>
      </c>
      <c r="S3" s="51">
        <f t="shared" ref="S3:S27" si="3">ABS($P3)/(ABS($P3)+ABS($Q3)+ABS($R3))</f>
        <v>0.43557397392626429</v>
      </c>
      <c r="T3" s="10">
        <f t="shared" ref="T3:T27" si="4">ABS($Q3)/(ABS($P3)+ABS($Q3)+ABS($R3))</f>
        <v>0.28450142617226248</v>
      </c>
      <c r="U3" s="10">
        <f t="shared" ref="U3:U27" si="5">ABS($R3)/(ABS($P3)+ABS($Q3)+ABS($R3))</f>
        <v>0.27992459990147317</v>
      </c>
      <c r="V3" s="22">
        <f t="shared" ref="V3:V14" si="6">((1-$AA$5)*(1-0)*(1-$AA$1)*D3/L3-K3)/(1+$AA$6)</f>
        <v>0.25169240351578559</v>
      </c>
      <c r="W3" s="22">
        <f>$AA$6/(1+$AA$6)*(1-$AA$2)*(1-$AC$1+$AA$1*D3)*((1-$AA$5)*(1-0)*(1-$AA$1)*D3/L3-K3)</f>
        <v>0.27975071330480139</v>
      </c>
      <c r="X3" s="22">
        <f t="shared" ref="X3:X14" si="7">(1-$AA$5)*I3*(1-$AA$1)*D3/L3</f>
        <v>4.437591137623266E-2</v>
      </c>
      <c r="Y3" s="22">
        <f t="shared" ref="Y3:Y14" si="8">1/(M3*(1-J3))*($AA$5*(1-$AA$1)*D3+$AA$2*($AA$1*D3+M3*J3*K3)-N3^(-1))</f>
        <v>0.11763359251852573</v>
      </c>
      <c r="Z3" s="7" t="s">
        <v>65</v>
      </c>
      <c r="AA3" s="7">
        <v>3.11</v>
      </c>
      <c r="AE3" s="7">
        <v>1.4904007570899001</v>
      </c>
      <c r="AF3" s="7">
        <v>0.97347676018879004</v>
      </c>
      <c r="AG3" s="7">
        <v>0.95781626220823801</v>
      </c>
      <c r="AH3" s="7">
        <f t="shared" ref="AH3:AH27" si="9">SUM(AE3:AG3)</f>
        <v>3.4216937794869282</v>
      </c>
      <c r="AI3" s="7">
        <f t="shared" ref="AI3:AI27" si="10">ROUND(AE3/AH3*100,0)</f>
        <v>44</v>
      </c>
      <c r="AJ3" s="7">
        <f t="shared" ref="AJ3:AJ27" si="11">ROUND(AF3/AH3*100,0)</f>
        <v>28</v>
      </c>
      <c r="AK3" s="7">
        <f t="shared" ref="AK3:AK27" si="12">100-AJ3-AI3</f>
        <v>28</v>
      </c>
      <c r="AL3" s="7">
        <f t="shared" ref="AL3:AL27" si="13">AE3*K3/C3</f>
        <v>2.6843094169896218</v>
      </c>
      <c r="AM3" s="7">
        <f t="shared" ref="AM3:AM27" si="14">F3*AF3/C3</f>
        <v>1.9234016632762385</v>
      </c>
      <c r="AN3" s="7">
        <f t="shared" ref="AN3:AN27" si="15">AG3*I3/C3</f>
        <v>0.83335386338940953</v>
      </c>
      <c r="AO3" s="7">
        <f t="shared" ref="AO3:AO27" si="16">SUM(AL3:AN3)</f>
        <v>5.4410649436552694</v>
      </c>
      <c r="AP3" s="106">
        <f t="shared" ref="AP3:AP27" si="17">ROUND(AL3/AO3*100,0)</f>
        <v>49</v>
      </c>
      <c r="AQ3">
        <f t="shared" ref="AQ3:AQ27" si="18">ROUND(AM3/AO3*100,0)</f>
        <v>35</v>
      </c>
      <c r="AR3">
        <f t="shared" ref="AR3:AR27" si="19">100-AQ3-AP3</f>
        <v>16</v>
      </c>
    </row>
    <row r="4" spans="1:44" s="7" customFormat="1" ht="15">
      <c r="A4" s="7" t="s">
        <v>36</v>
      </c>
      <c r="B4" s="7" t="s">
        <v>4</v>
      </c>
      <c r="C4" s="8">
        <v>0.1048</v>
      </c>
      <c r="D4" s="7">
        <v>1.3926963409999999</v>
      </c>
      <c r="E4" s="53">
        <f t="shared" si="1"/>
        <v>7.2354313526329372E-2</v>
      </c>
      <c r="F4" s="7">
        <v>0.36499999999999999</v>
      </c>
      <c r="G4" s="7">
        <v>0.34899999999999998</v>
      </c>
      <c r="H4" s="9">
        <f t="shared" si="2"/>
        <v>1.0458452722063039</v>
      </c>
      <c r="I4" s="7">
        <v>0.280948167866511</v>
      </c>
      <c r="J4" s="7">
        <v>0.59435090703056703</v>
      </c>
      <c r="K4" s="7">
        <v>1.9065050727455599E-2</v>
      </c>
      <c r="L4" s="9">
        <v>1</v>
      </c>
      <c r="M4" s="7">
        <v>1.8807924546582899</v>
      </c>
      <c r="N4" s="7">
        <v>3.5088308185414299</v>
      </c>
      <c r="O4" s="10">
        <f t="shared" si="0"/>
        <v>0.81542217082292545</v>
      </c>
      <c r="P4" s="7">
        <v>-1.3866160213987699</v>
      </c>
      <c r="Q4" s="7">
        <v>0.31450373738574</v>
      </c>
      <c r="R4" s="49">
        <v>-0.49171523664182598</v>
      </c>
      <c r="S4" s="51">
        <f t="shared" si="3"/>
        <v>0.63233942557961631</v>
      </c>
      <c r="T4" s="10">
        <f t="shared" si="4"/>
        <v>0.14342334833296178</v>
      </c>
      <c r="U4" s="10">
        <f t="shared" si="5"/>
        <v>0.22423722608742186</v>
      </c>
      <c r="V4" s="22">
        <f t="shared" si="6"/>
        <v>0.30690309878770139</v>
      </c>
      <c r="W4" s="22">
        <f t="shared" ref="W4:W14" si="20">$AA$6/(1+$AA$6)*(1-$AA$2)*(1-$AC$1+$AA$1*D4)*((1-$AA$5)*(1-0)*(1-$AA$1)*D4/L4-K4)</f>
        <v>0.34225112752212605</v>
      </c>
      <c r="X4" s="22">
        <f t="shared" si="7"/>
        <v>0.19429801543716793</v>
      </c>
      <c r="Y4" s="22">
        <f t="shared" si="8"/>
        <v>8.8376916787977614E-2</v>
      </c>
      <c r="Z4" s="18" t="s">
        <v>66</v>
      </c>
      <c r="AA4" s="18">
        <f>$AA$1*$AA$2+(1-$AA$1)*AA5</f>
        <v>0.24858</v>
      </c>
      <c r="AB4" s="18">
        <f>AA1*AB2+(1-AA1)*AB5</f>
        <v>0.218</v>
      </c>
      <c r="AE4" s="7">
        <v>1.3866160213987699</v>
      </c>
      <c r="AF4" s="7">
        <v>0.31450373738574</v>
      </c>
      <c r="AG4" s="7">
        <v>0.49171523664182598</v>
      </c>
      <c r="AH4" s="7">
        <f t="shared" si="9"/>
        <v>2.192834995426336</v>
      </c>
      <c r="AI4" s="7">
        <f t="shared" si="10"/>
        <v>63</v>
      </c>
      <c r="AJ4" s="7">
        <f t="shared" si="11"/>
        <v>14</v>
      </c>
      <c r="AK4" s="7">
        <f t="shared" si="12"/>
        <v>23</v>
      </c>
      <c r="AL4" s="7">
        <f t="shared" si="13"/>
        <v>0.25225099988044092</v>
      </c>
      <c r="AM4" s="7">
        <f t="shared" si="14"/>
        <v>1.0953612991010981</v>
      </c>
      <c r="AN4" s="7">
        <f t="shared" si="15"/>
        <v>1.3181917447191689</v>
      </c>
      <c r="AO4" s="7">
        <f t="shared" si="16"/>
        <v>2.665804043700708</v>
      </c>
      <c r="AP4">
        <f t="shared" si="17"/>
        <v>9</v>
      </c>
      <c r="AQ4">
        <f t="shared" si="18"/>
        <v>41</v>
      </c>
      <c r="AR4" s="105">
        <f t="shared" si="19"/>
        <v>50</v>
      </c>
    </row>
    <row r="5" spans="1:44" s="7" customFormat="1" ht="15">
      <c r="A5" s="7" t="s">
        <v>38</v>
      </c>
      <c r="B5" s="7" t="s">
        <v>6</v>
      </c>
      <c r="C5" s="8">
        <v>9.1700000000000004E-2</v>
      </c>
      <c r="D5" s="7">
        <v>1.3925449940000001</v>
      </c>
      <c r="E5" s="53">
        <f t="shared" si="1"/>
        <v>7.2343267447775084E-2</v>
      </c>
      <c r="F5" s="7">
        <v>0.24199999999999999</v>
      </c>
      <c r="G5" s="7">
        <v>0.28100000000000003</v>
      </c>
      <c r="H5" s="9">
        <f t="shared" si="2"/>
        <v>0.86120996441281128</v>
      </c>
      <c r="I5" s="7">
        <v>9.0151558376122404E-2</v>
      </c>
      <c r="J5" s="7">
        <v>0.59121353193811499</v>
      </c>
      <c r="K5" s="7">
        <v>0.105313833802496</v>
      </c>
      <c r="L5" s="9">
        <v>1</v>
      </c>
      <c r="M5" s="7">
        <v>2.20604675742281</v>
      </c>
      <c r="N5" s="7">
        <v>3.5094267006008102</v>
      </c>
      <c r="O5" s="10">
        <f t="shared" si="0"/>
        <v>0.78207787756803526</v>
      </c>
      <c r="P5" s="7">
        <v>-1.45506236809427</v>
      </c>
      <c r="Q5" s="7">
        <v>0.56301398074828801</v>
      </c>
      <c r="R5" s="49">
        <v>-0.780022160673286</v>
      </c>
      <c r="S5" s="51">
        <f t="shared" si="3"/>
        <v>0.52001827782183407</v>
      </c>
      <c r="T5" s="10">
        <f t="shared" si="4"/>
        <v>0.20121306624251284</v>
      </c>
      <c r="U5" s="10">
        <f t="shared" si="5"/>
        <v>0.27876865593565303</v>
      </c>
      <c r="V5" s="22">
        <f t="shared" si="6"/>
        <v>0.267509029069113</v>
      </c>
      <c r="W5" s="22">
        <f t="shared" si="20"/>
        <v>0.29830749471422496</v>
      </c>
      <c r="X5" s="22">
        <f t="shared" si="7"/>
        <v>6.2340201352071287E-2</v>
      </c>
      <c r="Y5" s="22">
        <f t="shared" si="8"/>
        <v>0.11236768113328136</v>
      </c>
      <c r="Z5" s="18" t="s">
        <v>63</v>
      </c>
      <c r="AA5" s="18">
        <v>0.22409999999999999</v>
      </c>
      <c r="AB5" s="18">
        <v>0.2</v>
      </c>
      <c r="AE5" s="7">
        <v>1.45506236809427</v>
      </c>
      <c r="AF5" s="7">
        <v>0.56301398074828801</v>
      </c>
      <c r="AG5" s="7">
        <v>0.780022160673286</v>
      </c>
      <c r="AH5" s="7">
        <f t="shared" si="9"/>
        <v>2.7980985095158442</v>
      </c>
      <c r="AI5" s="7">
        <f t="shared" si="10"/>
        <v>52</v>
      </c>
      <c r="AJ5" s="7">
        <f t="shared" si="11"/>
        <v>20</v>
      </c>
      <c r="AK5" s="7">
        <f t="shared" si="12"/>
        <v>28</v>
      </c>
      <c r="AL5" s="7">
        <f t="shared" si="13"/>
        <v>1.6710817492447787</v>
      </c>
      <c r="AM5" s="7">
        <f t="shared" si="14"/>
        <v>1.48581661222558</v>
      </c>
      <c r="AN5" s="7">
        <f t="shared" si="15"/>
        <v>0.76685074539374987</v>
      </c>
      <c r="AO5" s="7">
        <f t="shared" si="16"/>
        <v>3.9237491068641086</v>
      </c>
      <c r="AP5" s="106">
        <f t="shared" si="17"/>
        <v>43</v>
      </c>
      <c r="AQ5">
        <f t="shared" si="18"/>
        <v>38</v>
      </c>
      <c r="AR5">
        <f t="shared" si="19"/>
        <v>19</v>
      </c>
    </row>
    <row r="6" spans="1:44" s="7" customFormat="1" ht="15">
      <c r="A6" s="7" t="s">
        <v>39</v>
      </c>
      <c r="B6" s="7" t="s">
        <v>7</v>
      </c>
      <c r="C6" s="8">
        <v>7.2900000000000006E-2</v>
      </c>
      <c r="D6" s="7">
        <v>1.303608645</v>
      </c>
      <c r="E6" s="53">
        <f t="shared" si="1"/>
        <v>6.5792352351882188E-2</v>
      </c>
      <c r="F6" s="7">
        <v>0.26200000000000001</v>
      </c>
      <c r="G6" s="7">
        <v>0.29499999999999998</v>
      </c>
      <c r="H6" s="9">
        <f t="shared" si="2"/>
        <v>0.88813559322033908</v>
      </c>
      <c r="I6" s="7">
        <v>0.31487277704670602</v>
      </c>
      <c r="J6" s="7">
        <v>0.55685430569527306</v>
      </c>
      <c r="K6" s="7">
        <v>1.6658683336147399E-2</v>
      </c>
      <c r="L6" s="9">
        <v>1</v>
      </c>
      <c r="M6" s="7">
        <v>1.84724925173401</v>
      </c>
      <c r="N6" s="7">
        <v>3.8906356153973598</v>
      </c>
      <c r="O6" s="10">
        <f t="shared" si="0"/>
        <v>0.78659220155114729</v>
      </c>
      <c r="P6" s="7">
        <v>-1.3610121435817999</v>
      </c>
      <c r="Q6" s="7">
        <v>0.38179606064768201</v>
      </c>
      <c r="R6" s="49">
        <v>-0.451683031746617</v>
      </c>
      <c r="S6" s="51">
        <f t="shared" si="3"/>
        <v>0.62019484118669921</v>
      </c>
      <c r="T6" s="10">
        <f t="shared" si="4"/>
        <v>0.17397930526610694</v>
      </c>
      <c r="U6" s="10">
        <f t="shared" si="5"/>
        <v>0.20582585354719388</v>
      </c>
      <c r="V6" s="22">
        <f t="shared" si="6"/>
        <v>0.2878127947540069</v>
      </c>
      <c r="W6" s="22">
        <f t="shared" si="20"/>
        <v>0.31317774801831377</v>
      </c>
      <c r="X6" s="22">
        <f t="shared" si="7"/>
        <v>0.20382998484324716</v>
      </c>
      <c r="Y6" s="22">
        <f t="shared" si="8"/>
        <v>8.7990451059346692E-2</v>
      </c>
      <c r="Z6" s="7" t="s">
        <v>73</v>
      </c>
      <c r="AA6" s="7">
        <f>1.011^16</f>
        <v>1.1912927245031464</v>
      </c>
      <c r="AE6" s="7">
        <v>1.3610121435817999</v>
      </c>
      <c r="AF6" s="7">
        <v>0.38179606064768201</v>
      </c>
      <c r="AG6" s="7">
        <v>0.451683031746617</v>
      </c>
      <c r="AH6" s="7">
        <f t="shared" si="9"/>
        <v>2.1944912359760989</v>
      </c>
      <c r="AI6" s="7">
        <f t="shared" si="10"/>
        <v>62</v>
      </c>
      <c r="AJ6" s="7">
        <f t="shared" si="11"/>
        <v>17</v>
      </c>
      <c r="AK6" s="7">
        <f t="shared" si="12"/>
        <v>21</v>
      </c>
      <c r="AL6" s="7">
        <f t="shared" si="13"/>
        <v>0.31101056675693245</v>
      </c>
      <c r="AM6" s="7">
        <f t="shared" si="14"/>
        <v>1.3721614250986651</v>
      </c>
      <c r="AN6" s="7">
        <f t="shared" si="15"/>
        <v>1.9509285397933165</v>
      </c>
      <c r="AO6" s="7">
        <f t="shared" si="16"/>
        <v>3.6341005316489143</v>
      </c>
      <c r="AP6">
        <f t="shared" si="17"/>
        <v>9</v>
      </c>
      <c r="AQ6">
        <f t="shared" si="18"/>
        <v>38</v>
      </c>
      <c r="AR6" s="105">
        <f t="shared" si="19"/>
        <v>53</v>
      </c>
    </row>
    <row r="7" spans="1:44" s="7" customFormat="1" ht="15">
      <c r="A7" s="7" t="s">
        <v>40</v>
      </c>
      <c r="B7" s="7" t="s">
        <v>8</v>
      </c>
      <c r="C7" s="8">
        <v>7.1999999999999995E-2</v>
      </c>
      <c r="D7" s="7">
        <v>1.3545098769999999</v>
      </c>
      <c r="E7" s="53">
        <f t="shared" si="1"/>
        <v>6.9556381738272055E-2</v>
      </c>
      <c r="F7" s="7">
        <v>0.26800000000000002</v>
      </c>
      <c r="G7" s="7">
        <v>0.29199999999999998</v>
      </c>
      <c r="H7" s="9">
        <f t="shared" si="2"/>
        <v>0.91780821917808231</v>
      </c>
      <c r="I7" s="7">
        <v>0.13274732015562399</v>
      </c>
      <c r="J7" s="7">
        <v>0.55071333843106896</v>
      </c>
      <c r="K7" s="7">
        <v>0.102842184646854</v>
      </c>
      <c r="L7" s="9">
        <v>1</v>
      </c>
      <c r="M7" s="7">
        <v>2.18001543665163</v>
      </c>
      <c r="N7" s="7">
        <v>3.66461586553143</v>
      </c>
      <c r="O7" s="10">
        <f t="shared" si="0"/>
        <v>0.77248902180497514</v>
      </c>
      <c r="P7" s="7">
        <v>-1.40885073302497</v>
      </c>
      <c r="Q7" s="7">
        <v>0.47747914288974802</v>
      </c>
      <c r="R7" s="49">
        <v>-0.62938501819589499</v>
      </c>
      <c r="S7" s="51">
        <f t="shared" si="3"/>
        <v>0.56002003101509823</v>
      </c>
      <c r="T7" s="10">
        <f t="shared" si="4"/>
        <v>0.18979859125036203</v>
      </c>
      <c r="U7" s="10">
        <f t="shared" si="5"/>
        <v>0.25018137773453974</v>
      </c>
      <c r="V7" s="22">
        <f t="shared" si="6"/>
        <v>0.26001770811496155</v>
      </c>
      <c r="W7" s="22">
        <f t="shared" si="20"/>
        <v>0.28695121055342721</v>
      </c>
      <c r="X7" s="22">
        <f t="shared" si="7"/>
        <v>8.9288117075279186E-2</v>
      </c>
      <c r="Y7" s="22">
        <f t="shared" si="8"/>
        <v>0.1019849418920106</v>
      </c>
      <c r="AE7" s="7">
        <v>1.40885073302497</v>
      </c>
      <c r="AF7" s="7">
        <v>0.47747914288974802</v>
      </c>
      <c r="AG7" s="7">
        <v>0.62938501819589499</v>
      </c>
      <c r="AH7" s="7">
        <f t="shared" si="9"/>
        <v>2.5157148941106131</v>
      </c>
      <c r="AI7" s="7">
        <f t="shared" si="10"/>
        <v>56</v>
      </c>
      <c r="AJ7" s="7">
        <f t="shared" si="11"/>
        <v>19</v>
      </c>
      <c r="AK7" s="7">
        <f t="shared" si="12"/>
        <v>25</v>
      </c>
      <c r="AL7" s="7">
        <f t="shared" si="13"/>
        <v>2.0123512114667998</v>
      </c>
      <c r="AM7" s="7">
        <f t="shared" si="14"/>
        <v>1.7772834763118404</v>
      </c>
      <c r="AN7" s="7">
        <f t="shared" si="15"/>
        <v>1.1604052015500517</v>
      </c>
      <c r="AO7" s="7">
        <f t="shared" si="16"/>
        <v>4.9500398893286919</v>
      </c>
      <c r="AP7" s="106">
        <f t="shared" si="17"/>
        <v>41</v>
      </c>
      <c r="AQ7">
        <f t="shared" si="18"/>
        <v>36</v>
      </c>
      <c r="AR7">
        <f t="shared" si="19"/>
        <v>23</v>
      </c>
    </row>
    <row r="8" spans="1:44" s="7" customFormat="1" ht="15">
      <c r="A8" s="7" t="s">
        <v>43</v>
      </c>
      <c r="B8" s="7" t="s">
        <v>11</v>
      </c>
      <c r="C8" s="8">
        <v>0.10050000000000001</v>
      </c>
      <c r="D8" s="7">
        <v>1.4179997630000001</v>
      </c>
      <c r="E8" s="53">
        <f t="shared" si="1"/>
        <v>7.4196306764331643E-2</v>
      </c>
      <c r="F8" s="7">
        <v>0.218</v>
      </c>
      <c r="G8" s="7">
        <v>0.29499999999999998</v>
      </c>
      <c r="H8" s="9">
        <f t="shared" si="2"/>
        <v>0.73898305084745763</v>
      </c>
      <c r="I8" s="7">
        <v>4.2295089359399698E-2</v>
      </c>
      <c r="J8" s="7">
        <v>0.63698253034103502</v>
      </c>
      <c r="K8" s="7">
        <v>0.117110600385067</v>
      </c>
      <c r="L8" s="9">
        <v>1</v>
      </c>
      <c r="M8" s="7">
        <v>2.22487716973371</v>
      </c>
      <c r="N8" s="7">
        <v>3.4114900627578999</v>
      </c>
      <c r="O8" s="10">
        <f t="shared" si="0"/>
        <v>0.78318359338624843</v>
      </c>
      <c r="P8" s="7">
        <v>-1.5173000592939401</v>
      </c>
      <c r="Q8" s="7">
        <v>0.65680625329446796</v>
      </c>
      <c r="R8" s="49">
        <v>-1.2538678422209399</v>
      </c>
      <c r="S8" s="51">
        <f t="shared" si="3"/>
        <v>0.44262295769214366</v>
      </c>
      <c r="T8" s="10">
        <f t="shared" si="4"/>
        <v>0.19160186851846239</v>
      </c>
      <c r="U8" s="10">
        <f t="shared" si="5"/>
        <v>0.36577517378939389</v>
      </c>
      <c r="V8" s="22">
        <f t="shared" si="6"/>
        <v>0.26789394377217457</v>
      </c>
      <c r="W8" s="22">
        <f t="shared" si="20"/>
        <v>0.30080698518563009</v>
      </c>
      <c r="X8" s="22">
        <f t="shared" si="7"/>
        <v>2.978186090686764E-2</v>
      </c>
      <c r="Y8" s="22">
        <f t="shared" si="8"/>
        <v>0.13351899785987323</v>
      </c>
      <c r="AE8" s="7">
        <v>1.5173000592939401</v>
      </c>
      <c r="AF8" s="7">
        <v>0.65680625329446796</v>
      </c>
      <c r="AG8" s="7">
        <v>1.2538678422209399</v>
      </c>
      <c r="AH8" s="7">
        <f t="shared" si="9"/>
        <v>3.4279741548093483</v>
      </c>
      <c r="AI8" s="7">
        <f t="shared" si="10"/>
        <v>44</v>
      </c>
      <c r="AJ8" s="7">
        <f t="shared" si="11"/>
        <v>19</v>
      </c>
      <c r="AK8" s="7">
        <f t="shared" si="12"/>
        <v>37</v>
      </c>
      <c r="AL8" s="7">
        <f t="shared" si="13"/>
        <v>1.7680788150070754</v>
      </c>
      <c r="AM8" s="7">
        <f t="shared" si="14"/>
        <v>1.4247140618725771</v>
      </c>
      <c r="AN8" s="7">
        <f t="shared" si="15"/>
        <v>0.52768609384688892</v>
      </c>
      <c r="AO8" s="7">
        <f t="shared" si="16"/>
        <v>3.7204789707265413</v>
      </c>
      <c r="AP8" s="106">
        <f t="shared" si="17"/>
        <v>48</v>
      </c>
      <c r="AQ8">
        <f t="shared" si="18"/>
        <v>38</v>
      </c>
      <c r="AR8">
        <f t="shared" si="19"/>
        <v>14</v>
      </c>
    </row>
    <row r="9" spans="1:44" s="7" customFormat="1" ht="15">
      <c r="A9" s="7" t="s">
        <v>44</v>
      </c>
      <c r="B9" s="7" t="s">
        <v>12</v>
      </c>
      <c r="C9" s="8">
        <v>6.0900000000000003E-2</v>
      </c>
      <c r="D9" s="7">
        <v>1.404832681</v>
      </c>
      <c r="E9" s="53">
        <f t="shared" si="1"/>
        <v>7.3238976702378888E-2</v>
      </c>
      <c r="F9" s="7">
        <v>0.30599999999999999</v>
      </c>
      <c r="G9" s="7">
        <v>0.26300000000000001</v>
      </c>
      <c r="H9" s="9">
        <f t="shared" si="2"/>
        <v>1.1634980988593155</v>
      </c>
      <c r="I9" s="7">
        <v>0.13504528409063399</v>
      </c>
      <c r="J9" s="7">
        <v>0.52042759518877402</v>
      </c>
      <c r="K9" s="7">
        <v>0.134714002142304</v>
      </c>
      <c r="L9" s="9">
        <v>1</v>
      </c>
      <c r="M9" s="7">
        <v>2.2233628275035602</v>
      </c>
      <c r="N9" s="7">
        <v>3.46158234804291</v>
      </c>
      <c r="O9" s="10">
        <f t="shared" si="0"/>
        <v>0.78142112374165984</v>
      </c>
      <c r="P9" s="7">
        <v>-1.4139913491221101</v>
      </c>
      <c r="Q9" s="7">
        <v>0.47485368635790598</v>
      </c>
      <c r="R9" s="49">
        <v>-0.67856086144479399</v>
      </c>
      <c r="S9" s="51">
        <f t="shared" si="3"/>
        <v>0.5507470987800418</v>
      </c>
      <c r="T9" s="10">
        <f t="shared" si="4"/>
        <v>0.18495466062716329</v>
      </c>
      <c r="U9" s="10">
        <f t="shared" si="5"/>
        <v>0.264298240592795</v>
      </c>
      <c r="V9" s="22">
        <f>((1-$AA$5)*(1-0)*(1-$AA$1)*D9/L9-K9)/(1+$AA$6)</f>
        <v>0.25687676729067876</v>
      </c>
      <c r="W9" s="22">
        <f t="shared" si="20"/>
        <v>0.2874094045814391</v>
      </c>
      <c r="X9" s="22">
        <f t="shared" si="7"/>
        <v>9.4208426571123341E-2</v>
      </c>
      <c r="Y9" s="22">
        <f t="shared" si="8"/>
        <v>9.9281181102486099E-2</v>
      </c>
      <c r="Z9" s="7">
        <f>$AA$6*(1-$AA$2)/(1+(($AA$6)*(1-AC1*AA1*D9))^4)*((1-$AA$5)*(1-0)*(1-$AA$1)*D9/L9-K9)</f>
        <v>0.19962435228679457</v>
      </c>
      <c r="AA9" s="7">
        <f>(1+AC1*AA1*D9)^4-1</f>
        <v>0.41431567983246209</v>
      </c>
      <c r="AB9" s="7">
        <f>(1+AA6)/AA6*($AA$1*D9+M9*J9*K9)/((1-$AA$5)*M9*J9*(1-J9/2)*(1-$AA$1)*D9/L9-M9*J9*K9)</f>
        <v>2.7578887543099118</v>
      </c>
      <c r="AC9" s="7" t="s">
        <v>74</v>
      </c>
      <c r="AD9" s="7">
        <f>AA1*D9-AC1</f>
        <v>0.32673976515999997</v>
      </c>
      <c r="AE9" s="7">
        <v>1.4139913491221101</v>
      </c>
      <c r="AF9" s="7">
        <v>0.47485368635790598</v>
      </c>
      <c r="AG9" s="7">
        <v>0.67856086144479399</v>
      </c>
      <c r="AH9" s="7">
        <f t="shared" si="9"/>
        <v>2.5674058969248099</v>
      </c>
      <c r="AI9" s="7">
        <f t="shared" si="10"/>
        <v>55</v>
      </c>
      <c r="AJ9" s="7">
        <f t="shared" si="11"/>
        <v>18</v>
      </c>
      <c r="AK9" s="7">
        <f t="shared" si="12"/>
        <v>27</v>
      </c>
      <c r="AL9" s="7">
        <f t="shared" si="13"/>
        <v>3.1278232123946679</v>
      </c>
      <c r="AM9" s="7">
        <f t="shared" si="14"/>
        <v>2.3859643353944042</v>
      </c>
      <c r="AN9" s="7">
        <f t="shared" si="15"/>
        <v>1.5047035189917493</v>
      </c>
      <c r="AO9" s="7">
        <f t="shared" si="16"/>
        <v>7.0184910667808209</v>
      </c>
      <c r="AP9" s="106">
        <f t="shared" si="17"/>
        <v>45</v>
      </c>
      <c r="AQ9">
        <f t="shared" si="18"/>
        <v>34</v>
      </c>
      <c r="AR9">
        <f t="shared" si="19"/>
        <v>21</v>
      </c>
    </row>
    <row r="10" spans="1:44" s="7" customFormat="1" ht="15">
      <c r="A10" s="7" t="s">
        <v>45</v>
      </c>
      <c r="B10" s="7" t="s">
        <v>13</v>
      </c>
      <c r="C10" s="8">
        <v>9.2700000000000005E-2</v>
      </c>
      <c r="D10" s="7">
        <v>1.336641454</v>
      </c>
      <c r="E10" s="53">
        <f t="shared" si="1"/>
        <v>6.8239581797072679E-2</v>
      </c>
      <c r="F10" s="7">
        <v>0.26900000000000002</v>
      </c>
      <c r="G10" s="7">
        <v>0.30599999999999999</v>
      </c>
      <c r="H10" s="9">
        <f t="shared" si="2"/>
        <v>0.87908496732026153</v>
      </c>
      <c r="I10" s="7">
        <v>0.24941987979842001</v>
      </c>
      <c r="J10" s="7">
        <v>0.58289671370128804</v>
      </c>
      <c r="K10" s="7">
        <v>2.6986358020763601E-2</v>
      </c>
      <c r="L10" s="9">
        <v>1</v>
      </c>
      <c r="M10" s="7">
        <v>1.9340628620337601</v>
      </c>
      <c r="N10" s="7">
        <v>3.7414486232341</v>
      </c>
      <c r="O10" s="10">
        <f t="shared" si="0"/>
        <v>0.79344066540811919</v>
      </c>
      <c r="P10" s="7">
        <v>-1.37999441861434</v>
      </c>
      <c r="Q10" s="7">
        <v>0.39934924546077699</v>
      </c>
      <c r="R10" s="49">
        <v>-0.47691663874916901</v>
      </c>
      <c r="S10" s="51">
        <f t="shared" si="3"/>
        <v>0.61162908237446034</v>
      </c>
      <c r="T10" s="10">
        <f t="shared" si="4"/>
        <v>0.17699608726922575</v>
      </c>
      <c r="U10" s="10">
        <f t="shared" si="5"/>
        <v>0.21137483035631396</v>
      </c>
      <c r="V10" s="22">
        <f t="shared" si="6"/>
        <v>0.29058541632547918</v>
      </c>
      <c r="W10" s="22">
        <f t="shared" si="20"/>
        <v>0.319108872993841</v>
      </c>
      <c r="X10" s="22">
        <f t="shared" si="7"/>
        <v>0.16555096532362681</v>
      </c>
      <c r="Y10" s="22">
        <f t="shared" si="8"/>
        <v>9.1573649619451164E-2</v>
      </c>
      <c r="AE10" s="7">
        <v>1.37999441861434</v>
      </c>
      <c r="AF10" s="7">
        <v>0.39934924546077699</v>
      </c>
      <c r="AG10" s="7">
        <v>0.47691663874916901</v>
      </c>
      <c r="AH10" s="7">
        <f t="shared" si="9"/>
        <v>2.2562603028242858</v>
      </c>
      <c r="AI10" s="7">
        <f t="shared" si="10"/>
        <v>61</v>
      </c>
      <c r="AJ10" s="7">
        <f t="shared" si="11"/>
        <v>18</v>
      </c>
      <c r="AK10" s="7">
        <f t="shared" si="12"/>
        <v>21</v>
      </c>
      <c r="AL10" s="7">
        <f t="shared" si="13"/>
        <v>0.40173703826733648</v>
      </c>
      <c r="AM10" s="7">
        <f t="shared" si="14"/>
        <v>1.158845167518328</v>
      </c>
      <c r="AN10" s="7">
        <f t="shared" si="15"/>
        <v>1.2831983895435191</v>
      </c>
      <c r="AO10" s="7">
        <f t="shared" si="16"/>
        <v>2.8437805953291835</v>
      </c>
      <c r="AP10">
        <f t="shared" si="17"/>
        <v>14</v>
      </c>
      <c r="AQ10">
        <f t="shared" si="18"/>
        <v>41</v>
      </c>
      <c r="AR10" s="105">
        <f t="shared" si="19"/>
        <v>45</v>
      </c>
    </row>
    <row r="11" spans="1:44" s="7" customFormat="1" ht="15">
      <c r="A11" s="7" t="s">
        <v>47</v>
      </c>
      <c r="B11" s="7" t="s">
        <v>15</v>
      </c>
      <c r="C11" s="8">
        <v>9.1800000000000007E-2</v>
      </c>
      <c r="D11" s="7">
        <v>1.387720107</v>
      </c>
      <c r="E11" s="53">
        <f t="shared" si="1"/>
        <v>7.1990943463978052E-2</v>
      </c>
      <c r="F11" s="7">
        <v>0.28399999999999997</v>
      </c>
      <c r="G11" s="7">
        <v>0.29399999999999998</v>
      </c>
      <c r="H11" s="9">
        <f t="shared" si="2"/>
        <v>0.96598639455782309</v>
      </c>
      <c r="I11" s="7">
        <v>0.15898646277683401</v>
      </c>
      <c r="J11" s="7">
        <v>0.57509623218672401</v>
      </c>
      <c r="K11" s="7">
        <v>7.7561122931493406E-2</v>
      </c>
      <c r="L11" s="9">
        <v>1</v>
      </c>
      <c r="M11" s="7">
        <v>2.0951958911060502</v>
      </c>
      <c r="N11" s="7">
        <v>3.52851053878915</v>
      </c>
      <c r="O11" s="10">
        <f t="shared" si="0"/>
        <v>0.79166120654191718</v>
      </c>
      <c r="P11" s="7">
        <v>-1.3961580413205401</v>
      </c>
      <c r="Q11" s="7">
        <v>0.44654298035661399</v>
      </c>
      <c r="R11" s="49">
        <v>-0.58453046042289403</v>
      </c>
      <c r="S11" s="51">
        <f t="shared" si="3"/>
        <v>0.57520597092477554</v>
      </c>
      <c r="T11" s="10">
        <f t="shared" si="4"/>
        <v>0.18397214425146777</v>
      </c>
      <c r="U11" s="10">
        <f t="shared" si="5"/>
        <v>0.24082188482375669</v>
      </c>
      <c r="V11" s="22">
        <f t="shared" si="6"/>
        <v>0.27908064042917907</v>
      </c>
      <c r="W11" s="22">
        <f t="shared" si="20"/>
        <v>0.31080255328848921</v>
      </c>
      <c r="X11" s="22">
        <f t="shared" si="7"/>
        <v>0.10955892286117941</v>
      </c>
      <c r="Y11" s="22">
        <f t="shared" si="8"/>
        <v>9.9805368388127591E-2</v>
      </c>
      <c r="AE11" s="7">
        <v>1.3961580413205401</v>
      </c>
      <c r="AF11" s="7">
        <v>0.44654298035661399</v>
      </c>
      <c r="AG11" s="7">
        <v>0.58453046042289403</v>
      </c>
      <c r="AH11" s="7">
        <f t="shared" si="9"/>
        <v>2.4272314821000482</v>
      </c>
      <c r="AI11" s="7">
        <f t="shared" si="10"/>
        <v>58</v>
      </c>
      <c r="AJ11" s="7">
        <f t="shared" si="11"/>
        <v>18</v>
      </c>
      <c r="AK11" s="7">
        <f t="shared" si="12"/>
        <v>24</v>
      </c>
      <c r="AL11" s="7">
        <f t="shared" si="13"/>
        <v>1.1796033276106259</v>
      </c>
      <c r="AM11" s="7">
        <f t="shared" si="14"/>
        <v>1.3814619435869102</v>
      </c>
      <c r="AN11" s="7">
        <f t="shared" si="15"/>
        <v>1.0123358419166675</v>
      </c>
      <c r="AO11" s="7">
        <f t="shared" si="16"/>
        <v>3.5734011131142038</v>
      </c>
      <c r="AP11">
        <f t="shared" si="17"/>
        <v>33</v>
      </c>
      <c r="AQ11" s="107">
        <f t="shared" si="18"/>
        <v>39</v>
      </c>
      <c r="AR11">
        <f t="shared" si="19"/>
        <v>28</v>
      </c>
    </row>
    <row r="12" spans="1:44" s="7" customFormat="1" ht="15">
      <c r="A12" s="7" t="s">
        <v>50</v>
      </c>
      <c r="B12" s="7" t="s">
        <v>18</v>
      </c>
      <c r="C12" s="8">
        <v>6.88E-2</v>
      </c>
      <c r="D12" s="7">
        <v>1.373603565</v>
      </c>
      <c r="E12" s="53">
        <f t="shared" si="1"/>
        <v>7.0958122192093631E-2</v>
      </c>
      <c r="F12" s="7">
        <v>0.29799999999999999</v>
      </c>
      <c r="G12" s="7">
        <v>0.30099999999999999</v>
      </c>
      <c r="H12" s="9">
        <f t="shared" si="2"/>
        <v>0.99003322259136217</v>
      </c>
      <c r="I12" s="7">
        <v>0.12725825562437301</v>
      </c>
      <c r="J12" s="7">
        <v>0.54218368672200601</v>
      </c>
      <c r="K12" s="7">
        <v>0.115963405128978</v>
      </c>
      <c r="L12" s="9">
        <v>1</v>
      </c>
      <c r="M12" s="7">
        <v>2.2052515031017599</v>
      </c>
      <c r="N12" s="7">
        <v>3.5853342990816799</v>
      </c>
      <c r="O12" s="10">
        <f t="shared" si="0"/>
        <v>0.77515797300160094</v>
      </c>
      <c r="P12" s="7">
        <v>-1.41641865877122</v>
      </c>
      <c r="Q12" s="7">
        <v>0.45296965139468698</v>
      </c>
      <c r="R12" s="49">
        <v>-0.66185481579032701</v>
      </c>
      <c r="S12" s="51">
        <f t="shared" si="3"/>
        <v>0.55957432308527699</v>
      </c>
      <c r="T12" s="10">
        <f t="shared" si="4"/>
        <v>0.17895145936389162</v>
      </c>
      <c r="U12" s="10">
        <f t="shared" si="5"/>
        <v>0.2614742175508315</v>
      </c>
      <c r="V12" s="22">
        <f t="shared" si="6"/>
        <v>0.25835670078849349</v>
      </c>
      <c r="W12" s="22">
        <f t="shared" si="20"/>
        <v>0.28661577337981525</v>
      </c>
      <c r="X12" s="22">
        <f t="shared" si="7"/>
        <v>8.6802673404969125E-2</v>
      </c>
      <c r="Y12" s="22">
        <f t="shared" si="8"/>
        <v>0.1020567908241912</v>
      </c>
      <c r="AE12" s="7">
        <v>1.41641865877122</v>
      </c>
      <c r="AF12" s="7">
        <v>0.45296965139468698</v>
      </c>
      <c r="AG12" s="7">
        <v>0.66185481579032701</v>
      </c>
      <c r="AH12" s="7">
        <f t="shared" si="9"/>
        <v>2.5312431259562338</v>
      </c>
      <c r="AI12" s="7">
        <f t="shared" si="10"/>
        <v>56</v>
      </c>
      <c r="AJ12" s="7">
        <f t="shared" si="11"/>
        <v>18</v>
      </c>
      <c r="AK12" s="7">
        <f t="shared" si="12"/>
        <v>26</v>
      </c>
      <c r="AL12" s="7">
        <f t="shared" si="13"/>
        <v>2.3873943424321316</v>
      </c>
      <c r="AM12" s="7">
        <f t="shared" si="14"/>
        <v>1.9619906412153589</v>
      </c>
      <c r="AN12" s="7">
        <f t="shared" si="15"/>
        <v>1.2242222286928452</v>
      </c>
      <c r="AO12" s="7">
        <f t="shared" si="16"/>
        <v>5.5736072123403355</v>
      </c>
      <c r="AP12" s="106">
        <f t="shared" si="17"/>
        <v>43</v>
      </c>
      <c r="AQ12">
        <f t="shared" si="18"/>
        <v>35</v>
      </c>
      <c r="AR12">
        <f t="shared" si="19"/>
        <v>22</v>
      </c>
    </row>
    <row r="13" spans="1:44" s="7" customFormat="1" ht="15">
      <c r="A13" s="35" t="s">
        <v>51</v>
      </c>
      <c r="B13" s="35" t="s">
        <v>19</v>
      </c>
      <c r="C13" s="8">
        <v>7.2400000000000006E-2</v>
      </c>
      <c r="D13" s="7">
        <v>1.328540015</v>
      </c>
      <c r="E13" s="53">
        <f t="shared" si="1"/>
        <v>6.7640944515235724E-2</v>
      </c>
      <c r="F13" s="7">
        <v>0.183</v>
      </c>
      <c r="G13" s="7">
        <v>0.183</v>
      </c>
      <c r="H13" s="34">
        <f t="shared" si="2"/>
        <v>1</v>
      </c>
      <c r="I13" s="7">
        <v>0.35681670126486897</v>
      </c>
      <c r="J13" s="7">
        <v>0.55454480484812896</v>
      </c>
      <c r="K13" s="7">
        <v>1.0042274355306E-2</v>
      </c>
      <c r="L13" s="9">
        <v>1</v>
      </c>
      <c r="M13" s="7">
        <v>1.78657347489462</v>
      </c>
      <c r="N13" s="7">
        <v>3.7771587081710001</v>
      </c>
      <c r="O13" s="10">
        <f t="shared" si="0"/>
        <v>0.79773754427939036</v>
      </c>
      <c r="P13" s="7">
        <v>-1.3739783817874001</v>
      </c>
      <c r="Q13" s="7">
        <v>0.57026714147602198</v>
      </c>
      <c r="R13" s="49">
        <v>-0.466718908540109</v>
      </c>
      <c r="S13" s="51">
        <f t="shared" si="3"/>
        <v>0.56988745402585239</v>
      </c>
      <c r="T13" s="10">
        <f t="shared" si="4"/>
        <v>0.23653071524138225</v>
      </c>
      <c r="U13" s="10">
        <f t="shared" si="5"/>
        <v>0.19358183073276539</v>
      </c>
      <c r="V13" s="22">
        <f t="shared" si="6"/>
        <v>0.29648198292660433</v>
      </c>
      <c r="W13" s="22">
        <f t="shared" si="20"/>
        <v>0.32485502702174562</v>
      </c>
      <c r="X13" s="22">
        <f t="shared" si="7"/>
        <v>0.23539950183575187</v>
      </c>
      <c r="Y13" s="22">
        <f t="shared" si="8"/>
        <v>8.5953854005955954E-2</v>
      </c>
      <c r="AE13" s="7">
        <v>1.3739783817874001</v>
      </c>
      <c r="AF13" s="7">
        <v>0.57026714147602198</v>
      </c>
      <c r="AG13" s="7">
        <v>0.466718908540109</v>
      </c>
      <c r="AH13" s="7">
        <f t="shared" si="9"/>
        <v>2.410964431803531</v>
      </c>
      <c r="AI13" s="7">
        <f t="shared" si="10"/>
        <v>57</v>
      </c>
      <c r="AJ13" s="7">
        <f t="shared" si="11"/>
        <v>24</v>
      </c>
      <c r="AK13" s="7">
        <f t="shared" si="12"/>
        <v>19</v>
      </c>
      <c r="AL13" s="7">
        <f t="shared" si="13"/>
        <v>0.19057828547193983</v>
      </c>
      <c r="AM13" s="7">
        <f t="shared" si="14"/>
        <v>1.4414210896424311</v>
      </c>
      <c r="AN13" s="7">
        <f t="shared" si="15"/>
        <v>2.3001809580555492</v>
      </c>
      <c r="AO13" s="7">
        <f t="shared" si="16"/>
        <v>3.9321803331699199</v>
      </c>
      <c r="AP13">
        <f t="shared" si="17"/>
        <v>5</v>
      </c>
      <c r="AQ13" s="74">
        <f t="shared" si="18"/>
        <v>37</v>
      </c>
      <c r="AR13" s="105">
        <f t="shared" si="19"/>
        <v>58</v>
      </c>
    </row>
    <row r="14" spans="1:44" s="7" customFormat="1" ht="15">
      <c r="A14" s="7" t="s">
        <v>57</v>
      </c>
      <c r="B14" s="7" t="s">
        <v>25</v>
      </c>
      <c r="C14" s="8">
        <v>8.1100000000000005E-2</v>
      </c>
      <c r="D14" s="7">
        <v>1.4088887699999999</v>
      </c>
      <c r="E14" s="53">
        <f t="shared" si="1"/>
        <v>7.3534153020848869E-2</v>
      </c>
      <c r="F14" s="7">
        <v>0.26</v>
      </c>
      <c r="G14" s="7">
        <v>0.30099999999999999</v>
      </c>
      <c r="H14" s="9">
        <f t="shared" si="2"/>
        <v>0.8637873754152825</v>
      </c>
      <c r="I14" s="7">
        <v>5.7273101472496001E-2</v>
      </c>
      <c r="J14" s="7">
        <v>0.58874110885502795</v>
      </c>
      <c r="K14" s="7">
        <v>0.13693392100184901</v>
      </c>
      <c r="L14" s="9">
        <v>1</v>
      </c>
      <c r="M14" s="7">
        <v>2.2779710874577201</v>
      </c>
      <c r="N14" s="7">
        <v>3.4460236402628301</v>
      </c>
      <c r="O14" s="10">
        <f t="shared" si="0"/>
        <v>0.77638474089518761</v>
      </c>
      <c r="P14" s="7">
        <v>-1.5042465899110899</v>
      </c>
      <c r="Q14" s="7">
        <v>0.57309520057265695</v>
      </c>
      <c r="R14" s="49">
        <v>-1.0553124785682699</v>
      </c>
      <c r="S14" s="51">
        <f t="shared" si="3"/>
        <v>0.48018276538581933</v>
      </c>
      <c r="T14" s="10">
        <f t="shared" si="4"/>
        <v>0.18294237134124708</v>
      </c>
      <c r="U14" s="10">
        <f t="shared" si="5"/>
        <v>0.33687486327293359</v>
      </c>
      <c r="V14" s="22">
        <f t="shared" si="6"/>
        <v>0.25678286728088989</v>
      </c>
      <c r="W14" s="22">
        <f t="shared" si="20"/>
        <v>0.28762054683741339</v>
      </c>
      <c r="X14" s="22">
        <f t="shared" si="7"/>
        <v>4.0069427289269259E-2</v>
      </c>
      <c r="Y14" s="22">
        <f t="shared" si="8"/>
        <v>0.12133960720809511</v>
      </c>
      <c r="AE14" s="7">
        <v>1.5042465899110899</v>
      </c>
      <c r="AF14" s="7">
        <v>0.57309520057265695</v>
      </c>
      <c r="AG14" s="7">
        <v>1.0553124785682699</v>
      </c>
      <c r="AH14" s="7">
        <f t="shared" si="9"/>
        <v>3.1326542690520167</v>
      </c>
      <c r="AI14" s="7">
        <f t="shared" si="10"/>
        <v>48</v>
      </c>
      <c r="AJ14" s="7">
        <f t="shared" si="11"/>
        <v>18</v>
      </c>
      <c r="AK14" s="7">
        <f t="shared" si="12"/>
        <v>34</v>
      </c>
      <c r="AL14" s="7">
        <f t="shared" si="13"/>
        <v>2.5398567658469289</v>
      </c>
      <c r="AM14" s="7">
        <f t="shared" si="14"/>
        <v>1.8372965739690603</v>
      </c>
      <c r="AN14" s="7">
        <f t="shared" si="15"/>
        <v>0.74526533502135361</v>
      </c>
      <c r="AO14" s="7">
        <f t="shared" si="16"/>
        <v>5.122418674837343</v>
      </c>
      <c r="AP14" s="106">
        <f t="shared" si="17"/>
        <v>50</v>
      </c>
      <c r="AQ14">
        <f t="shared" si="18"/>
        <v>36</v>
      </c>
      <c r="AR14">
        <f t="shared" si="19"/>
        <v>14</v>
      </c>
    </row>
    <row r="15" spans="1:44" ht="15">
      <c r="A15" t="s">
        <v>35</v>
      </c>
      <c r="B15" t="s">
        <v>3</v>
      </c>
      <c r="C15" s="1">
        <v>9.2299999999999993E-2</v>
      </c>
      <c r="D15">
        <v>1.274418448</v>
      </c>
      <c r="E15" s="4">
        <f t="shared" si="1"/>
        <v>6.3615683298332115E-2</v>
      </c>
      <c r="F15">
        <v>0.30099999999999999</v>
      </c>
      <c r="G15">
        <v>0.29599999999999999</v>
      </c>
      <c r="H15" s="2">
        <f t="shared" ref="H15:H27" si="21">F15/G15</f>
        <v>1.0168918918918919</v>
      </c>
      <c r="I15">
        <v>4.5083747749670097E-2</v>
      </c>
      <c r="J15">
        <v>0.68827323477172597</v>
      </c>
      <c r="K15">
        <v>9.0464268704287906E-2</v>
      </c>
      <c r="L15" s="2">
        <v>1</v>
      </c>
      <c r="M15">
        <v>2.1483799089521902</v>
      </c>
      <c r="N15">
        <v>4.03077011991014</v>
      </c>
      <c r="O15" s="3">
        <f>($AB$4*$AA$3*N15^$AA$1+$AB$2*J15*K15*N15)^(-1)</f>
        <v>0.84560543298850477</v>
      </c>
      <c r="P15">
        <v>-1.42627504662205</v>
      </c>
      <c r="Q15">
        <v>0.412532547130251</v>
      </c>
      <c r="R15" s="50">
        <v>-0.96715076402957101</v>
      </c>
      <c r="S15" s="51">
        <f t="shared" si="3"/>
        <v>0.50830228562248847</v>
      </c>
      <c r="T15" s="10">
        <f t="shared" si="4"/>
        <v>0.14702019578664047</v>
      </c>
      <c r="U15" s="32">
        <f t="shared" si="5"/>
        <v>0.34467751859087098</v>
      </c>
      <c r="V15" s="21">
        <f>((1-$AB$5)*(1-0)*(1-$AA$1)*D15/L15-K15)/(1+$AA$6)</f>
        <v>0.25648694507446446</v>
      </c>
      <c r="W15" s="21">
        <f>$AA$6/(1+$AA$6)*(1-$AB$2)*(1-$AC$1+$AA$1*D15)*((1-$AB$5)*(1-0)*(1-$AA$1)*D15/L15-K15)</f>
        <v>0.29328101300370535</v>
      </c>
      <c r="X15" s="21">
        <f>(1-$AB$5)*I15*(1-$AA$1)*D15/L15</f>
        <v>2.9417246636624927E-2</v>
      </c>
      <c r="Y15" s="21">
        <f>1/(M15*(1-J15))*($AB$5*(1-$AA$1)*D15+$AB$2*($AA$1*D15+M15*J15*K15)-N15^(-1))</f>
        <v>9.4329876234937715E-2</v>
      </c>
      <c r="AE15">
        <v>1.42627504662205</v>
      </c>
      <c r="AF15">
        <v>0.412532547130251</v>
      </c>
      <c r="AG15">
        <v>0.96715076402957101</v>
      </c>
      <c r="AH15">
        <f t="shared" si="9"/>
        <v>2.8059583577818721</v>
      </c>
      <c r="AI15">
        <f t="shared" si="10"/>
        <v>51</v>
      </c>
      <c r="AJ15">
        <f t="shared" si="11"/>
        <v>15</v>
      </c>
      <c r="AK15">
        <f t="shared" si="12"/>
        <v>34</v>
      </c>
      <c r="AL15">
        <f t="shared" si="13"/>
        <v>1.3979082238769003</v>
      </c>
      <c r="AM15">
        <f t="shared" si="14"/>
        <v>1.3453119900997352</v>
      </c>
      <c r="AN15">
        <f t="shared" si="15"/>
        <v>0.47240282861765859</v>
      </c>
      <c r="AO15" s="29">
        <f t="shared" si="16"/>
        <v>3.2156230425942942</v>
      </c>
      <c r="AP15" s="106">
        <f t="shared" si="17"/>
        <v>43</v>
      </c>
      <c r="AQ15">
        <f t="shared" si="18"/>
        <v>42</v>
      </c>
      <c r="AR15">
        <f t="shared" si="19"/>
        <v>15</v>
      </c>
    </row>
    <row r="16" spans="1:44" ht="15">
      <c r="A16" t="s">
        <v>48</v>
      </c>
      <c r="B16" t="s">
        <v>16</v>
      </c>
      <c r="C16" s="1">
        <v>7.3200000000000001E-2</v>
      </c>
      <c r="D16">
        <v>1.261520588</v>
      </c>
      <c r="E16" s="4">
        <f t="shared" si="1"/>
        <v>6.2649637541019931E-2</v>
      </c>
      <c r="F16">
        <v>0.26500000000000001</v>
      </c>
      <c r="G16">
        <v>0.15</v>
      </c>
      <c r="H16" s="5">
        <f t="shared" si="21"/>
        <v>1.7666666666666668</v>
      </c>
      <c r="I16">
        <v>0.324649303537212</v>
      </c>
      <c r="J16">
        <v>0.61920244685290204</v>
      </c>
      <c r="K16">
        <v>3.3029477359055197E-2</v>
      </c>
      <c r="L16" s="2">
        <v>1</v>
      </c>
      <c r="M16">
        <v>1.8144793823171701</v>
      </c>
      <c r="N16">
        <v>4.0953469245165701</v>
      </c>
      <c r="O16" s="3">
        <f>($AB$4*$AA$3*N16^$AA$1+$AB$2*J16*K16*N16)^(-1)</f>
        <v>0.87168234980091086</v>
      </c>
      <c r="P16">
        <v>-1.30753061474185</v>
      </c>
      <c r="Q16">
        <v>0.407066621634598</v>
      </c>
      <c r="R16" s="50">
        <v>-0.42645969967772901</v>
      </c>
      <c r="S16" s="51">
        <f t="shared" si="3"/>
        <v>0.61069399543925262</v>
      </c>
      <c r="T16" s="10">
        <f t="shared" si="4"/>
        <v>0.19012414606068076</v>
      </c>
      <c r="U16" s="32">
        <f t="shared" si="5"/>
        <v>0.19918185850006648</v>
      </c>
      <c r="V16" s="21">
        <f t="shared" ref="V16:V18" si="22">((1-$AB$5)*(1-0)*(1-$AA$1)*D16/L16-K16)/(1+$AA$6)</f>
        <v>0.27968379433920987</v>
      </c>
      <c r="W16" s="21">
        <f t="shared" ref="W16:W18" si="23">$AA$6/(1+$AA$6)*(1-$AB$2)*(1-$AC$1+$AA$1*D16)*((1-$AB$5)*(1-0)*(1-$AA$1)*D16/L16-K16)</f>
        <v>0.31864525037356456</v>
      </c>
      <c r="X16" s="21">
        <f t="shared" ref="X16:X18" si="24">(1-$AB$5)*I16*(1-$AA$1)*D16/L16</f>
        <v>0.20969051150953175</v>
      </c>
      <c r="Y16" s="21">
        <f t="shared" ref="Y16:Y18" si="25">1/(M16*(1-J16))*($AB$5*(1-$AA$1)*D16+$AB$2*($AA$1*D16+M16*J16*K16)-N16^(-1))</f>
        <v>5.804960349492734E-2</v>
      </c>
      <c r="AE16">
        <v>1.30753061474185</v>
      </c>
      <c r="AF16">
        <v>0.407066621634598</v>
      </c>
      <c r="AG16">
        <v>0.42645969967772901</v>
      </c>
      <c r="AH16">
        <f t="shared" si="9"/>
        <v>2.1410569360541771</v>
      </c>
      <c r="AI16">
        <f t="shared" si="10"/>
        <v>61</v>
      </c>
      <c r="AJ16">
        <f t="shared" si="11"/>
        <v>19</v>
      </c>
      <c r="AK16">
        <f t="shared" si="12"/>
        <v>20</v>
      </c>
      <c r="AL16">
        <f t="shared" si="13"/>
        <v>0.58998706059955541</v>
      </c>
      <c r="AM16">
        <f t="shared" si="14"/>
        <v>1.4736701466279847</v>
      </c>
      <c r="AN16">
        <f t="shared" si="15"/>
        <v>1.8913913181292803</v>
      </c>
      <c r="AO16" s="29">
        <f t="shared" si="16"/>
        <v>3.9550485253568204</v>
      </c>
      <c r="AP16">
        <f t="shared" si="17"/>
        <v>15</v>
      </c>
      <c r="AQ16" s="74">
        <f t="shared" si="18"/>
        <v>37</v>
      </c>
      <c r="AR16" s="105">
        <f t="shared" si="19"/>
        <v>48</v>
      </c>
    </row>
    <row r="17" spans="1:44" ht="15">
      <c r="A17" t="s">
        <v>52</v>
      </c>
      <c r="B17" t="s">
        <v>20</v>
      </c>
      <c r="C17" s="1">
        <v>7.6200000000000004E-2</v>
      </c>
      <c r="D17">
        <v>1.2571666029999999</v>
      </c>
      <c r="E17" s="4">
        <f t="shared" si="1"/>
        <v>6.2322929795181281E-2</v>
      </c>
      <c r="F17">
        <v>0.27400000000000002</v>
      </c>
      <c r="G17">
        <v>0.187</v>
      </c>
      <c r="H17" s="5">
        <f t="shared" si="21"/>
        <v>1.46524064171123</v>
      </c>
      <c r="I17">
        <v>0.17633900436769101</v>
      </c>
      <c r="J17">
        <v>0.61851978834673305</v>
      </c>
      <c r="K17">
        <v>6.9307301381246703E-2</v>
      </c>
      <c r="L17" s="2">
        <v>1</v>
      </c>
      <c r="M17">
        <v>2.02221907233139</v>
      </c>
      <c r="N17">
        <v>4.1175302896387196</v>
      </c>
      <c r="O17" s="3">
        <f>($AB$4*$AA$3*N17^$AA$1+$AB$2*J17*K17*N17)^(-1)</f>
        <v>0.85281488791920002</v>
      </c>
      <c r="P17">
        <v>-1.3154550387956501</v>
      </c>
      <c r="Q17">
        <v>0.42421980516174601</v>
      </c>
      <c r="R17" s="50">
        <v>-0.47192422487238</v>
      </c>
      <c r="S17" s="51">
        <f t="shared" si="3"/>
        <v>0.59479815186018192</v>
      </c>
      <c r="T17" s="10">
        <f t="shared" si="4"/>
        <v>0.19181587256962154</v>
      </c>
      <c r="U17" s="32">
        <f t="shared" si="5"/>
        <v>0.21338597557019653</v>
      </c>
      <c r="V17" s="21">
        <f t="shared" si="22"/>
        <v>0.26211103287671622</v>
      </c>
      <c r="W17" s="21">
        <f t="shared" si="23"/>
        <v>0.29825743404772964</v>
      </c>
      <c r="X17" s="21">
        <f t="shared" si="24"/>
        <v>0.11350400363383412</v>
      </c>
      <c r="Y17" s="21">
        <f t="shared" si="25"/>
        <v>6.8534967493209545E-2</v>
      </c>
      <c r="AE17">
        <v>1.3154550387956501</v>
      </c>
      <c r="AF17">
        <v>0.42421980516174601</v>
      </c>
      <c r="AG17">
        <v>0.47192422487238</v>
      </c>
      <c r="AH17">
        <f t="shared" si="9"/>
        <v>2.2115990688297762</v>
      </c>
      <c r="AI17">
        <f t="shared" si="10"/>
        <v>59</v>
      </c>
      <c r="AJ17">
        <f t="shared" si="11"/>
        <v>19</v>
      </c>
      <c r="AK17">
        <f t="shared" si="12"/>
        <v>22</v>
      </c>
      <c r="AL17">
        <f t="shared" si="13"/>
        <v>1.196465076473618</v>
      </c>
      <c r="AM17">
        <f t="shared" si="14"/>
        <v>1.525409798088168</v>
      </c>
      <c r="AN17">
        <f t="shared" si="15"/>
        <v>1.0921082408266378</v>
      </c>
      <c r="AO17" s="29">
        <f t="shared" si="16"/>
        <v>3.813983115388424</v>
      </c>
      <c r="AP17">
        <f t="shared" si="17"/>
        <v>31</v>
      </c>
      <c r="AQ17" s="107">
        <f t="shared" si="18"/>
        <v>40</v>
      </c>
      <c r="AR17">
        <f t="shared" si="19"/>
        <v>29</v>
      </c>
    </row>
    <row r="18" spans="1:44" ht="15">
      <c r="A18" t="s">
        <v>54</v>
      </c>
      <c r="B18" t="s">
        <v>22</v>
      </c>
      <c r="C18" s="1">
        <v>8.3699999999999997E-2</v>
      </c>
      <c r="D18">
        <v>1.2248645199999999</v>
      </c>
      <c r="E18" s="4">
        <f t="shared" si="1"/>
        <v>5.9889628913682769E-2</v>
      </c>
      <c r="F18">
        <v>0.254</v>
      </c>
      <c r="G18">
        <v>0.2</v>
      </c>
      <c r="H18" s="5">
        <f t="shared" si="21"/>
        <v>1.27</v>
      </c>
      <c r="I18">
        <v>0.18327545298244299</v>
      </c>
      <c r="J18">
        <v>0.63973226344428302</v>
      </c>
      <c r="K18">
        <v>4.8007881203876203E-2</v>
      </c>
      <c r="L18" s="2">
        <v>1</v>
      </c>
      <c r="M18">
        <v>1.99548297839212</v>
      </c>
      <c r="N18">
        <v>4.2884516910034902</v>
      </c>
      <c r="O18" s="3">
        <f>($AB$4*$AA$3*N18^$AA$1+$AB$2*J18*K18*N18)^(-1)</f>
        <v>0.84887387784176171</v>
      </c>
      <c r="P18">
        <v>-1.3335472522477201</v>
      </c>
      <c r="Q18">
        <v>0.42742831928206199</v>
      </c>
      <c r="R18" s="50">
        <v>-0.44856916094897298</v>
      </c>
      <c r="S18" s="51">
        <f t="shared" si="3"/>
        <v>0.60353937743170005</v>
      </c>
      <c r="T18" s="10">
        <f t="shared" si="4"/>
        <v>0.19344632991546448</v>
      </c>
      <c r="U18" s="32">
        <f t="shared" si="5"/>
        <v>0.20301429265283544</v>
      </c>
      <c r="V18" s="21">
        <f t="shared" si="22"/>
        <v>0.26428361056482497</v>
      </c>
      <c r="W18" s="21">
        <f t="shared" si="23"/>
        <v>0.29798373165918846</v>
      </c>
      <c r="X18" s="21">
        <f t="shared" si="24"/>
        <v>0.11493765106950278</v>
      </c>
      <c r="Y18" s="21">
        <f t="shared" si="25"/>
        <v>6.8377980844481184E-2</v>
      </c>
      <c r="AE18">
        <v>1.3335472522477201</v>
      </c>
      <c r="AF18">
        <v>0.42742831928206199</v>
      </c>
      <c r="AG18">
        <v>0.44856916094897298</v>
      </c>
      <c r="AH18">
        <f t="shared" si="9"/>
        <v>2.2095447324787552</v>
      </c>
      <c r="AI18">
        <f t="shared" si="10"/>
        <v>60</v>
      </c>
      <c r="AJ18">
        <f t="shared" si="11"/>
        <v>19</v>
      </c>
      <c r="AK18">
        <f t="shared" si="12"/>
        <v>21</v>
      </c>
      <c r="AL18">
        <f t="shared" si="13"/>
        <v>0.76488384785739638</v>
      </c>
      <c r="AM18">
        <f t="shared" si="14"/>
        <v>1.2970943022418608</v>
      </c>
      <c r="AN18">
        <f t="shared" si="15"/>
        <v>0.9822188311454888</v>
      </c>
      <c r="AO18" s="29">
        <f t="shared" si="16"/>
        <v>3.0441969812447462</v>
      </c>
      <c r="AP18">
        <f t="shared" si="17"/>
        <v>25</v>
      </c>
      <c r="AQ18" s="107">
        <f t="shared" si="18"/>
        <v>43</v>
      </c>
      <c r="AR18">
        <f t="shared" si="19"/>
        <v>32</v>
      </c>
    </row>
    <row r="19" spans="1:44" s="7" customFormat="1" ht="15">
      <c r="A19" s="7" t="s">
        <v>32</v>
      </c>
      <c r="B19" s="7" t="s">
        <v>0</v>
      </c>
      <c r="C19" s="8">
        <v>0.08</v>
      </c>
      <c r="D19" s="7">
        <v>1.4319759009999999</v>
      </c>
      <c r="E19" s="53">
        <f t="shared" si="1"/>
        <v>7.5209667854853279E-2</v>
      </c>
      <c r="F19" s="7">
        <v>0.28999999999999998</v>
      </c>
      <c r="G19" s="7">
        <v>0.31900000000000001</v>
      </c>
      <c r="H19" s="9">
        <f t="shared" si="21"/>
        <v>0.90909090909090906</v>
      </c>
      <c r="I19" s="7">
        <v>0.144793787039046</v>
      </c>
      <c r="J19" s="7">
        <v>0.54288230207206101</v>
      </c>
      <c r="K19" s="7">
        <v>0.102273664336098</v>
      </c>
      <c r="L19" s="9">
        <v>1</v>
      </c>
      <c r="M19" s="7">
        <v>2.1658639973107401</v>
      </c>
      <c r="N19" s="7">
        <v>3.3596076555530501</v>
      </c>
      <c r="O19" s="10">
        <f>($AA$19*$AA$3*N19^$AA$1+$AA$2*J19*K19*N19)^(-1)</f>
        <v>0.76962746512691693</v>
      </c>
      <c r="P19" s="7">
        <v>-1.3774523733417301</v>
      </c>
      <c r="Q19" s="7">
        <v>0.43947686747359099</v>
      </c>
      <c r="R19" s="49">
        <v>-0.63058218603809801</v>
      </c>
      <c r="S19" s="51">
        <f t="shared" si="3"/>
        <v>0.5627971163806238</v>
      </c>
      <c r="T19" s="10">
        <f t="shared" si="4"/>
        <v>0.17956070098458879</v>
      </c>
      <c r="U19" s="10">
        <f t="shared" si="5"/>
        <v>0.25764218263478755</v>
      </c>
      <c r="V19" s="22">
        <f t="shared" ref="V19:V24" si="26">((1-$AA$20)*(1-0)*(1-$AA$1)*D19/L19-K19)/(1+$AA$6)</f>
        <v>0.27118212334914765</v>
      </c>
      <c r="W19" s="22">
        <f>$AA$6/(1+$AA$6)*(1-$AA$2)*(1-$AC$1+$AA$1*D19)*((1-$AA$20)*(1-0)*(1-$AA$1)*D19/L19-K19)</f>
        <v>0.30564978992172037</v>
      </c>
      <c r="X19" s="22">
        <f t="shared" ref="X19:X24" si="27">(1-$AA$20)*I19*(1-$AA$1)*D19/L19</f>
        <v>0.10085076632151962</v>
      </c>
      <c r="Y19" s="22">
        <f>1/(M19*(1-J19))*($AA$20*(1-$AA$1)*D19+$AA$2*($AA$1*D19+M19*J19*K19)-N19^(-1))</f>
        <v>0.10908976172503872</v>
      </c>
      <c r="Z19" s="18" t="s">
        <v>66</v>
      </c>
      <c r="AA19" s="18">
        <f>$AA$1*$AA$2+(1-$AA$1)*AA20</f>
        <v>0.25875599999999999</v>
      </c>
      <c r="AB19" s="18"/>
      <c r="AE19" s="7">
        <v>1.3774523733417301</v>
      </c>
      <c r="AF19" s="7">
        <v>0.43947686747359099</v>
      </c>
      <c r="AG19" s="7">
        <v>0.63058218603809801</v>
      </c>
      <c r="AH19" s="7">
        <f t="shared" si="9"/>
        <v>2.4475114268534188</v>
      </c>
      <c r="AI19" s="7">
        <f t="shared" si="10"/>
        <v>56</v>
      </c>
      <c r="AJ19" s="7">
        <f t="shared" si="11"/>
        <v>18</v>
      </c>
      <c r="AK19" s="7">
        <f t="shared" si="12"/>
        <v>26</v>
      </c>
      <c r="AL19" s="7">
        <f t="shared" si="13"/>
        <v>1.7609637708764203</v>
      </c>
      <c r="AM19" s="7">
        <f t="shared" si="14"/>
        <v>1.5931036445917672</v>
      </c>
      <c r="AN19" s="7">
        <f t="shared" si="15"/>
        <v>1.1413047844477056</v>
      </c>
      <c r="AO19" s="7">
        <f t="shared" si="16"/>
        <v>4.4953721999158933</v>
      </c>
      <c r="AP19" s="106">
        <f t="shared" si="17"/>
        <v>39</v>
      </c>
      <c r="AQ19">
        <f t="shared" si="18"/>
        <v>35</v>
      </c>
      <c r="AR19">
        <f t="shared" si="19"/>
        <v>26</v>
      </c>
    </row>
    <row r="20" spans="1:44" s="7" customFormat="1" ht="15">
      <c r="A20" s="35" t="s">
        <v>37</v>
      </c>
      <c r="B20" s="35" t="s">
        <v>5</v>
      </c>
      <c r="C20" s="8">
        <v>7.4099999999999999E-2</v>
      </c>
      <c r="D20" s="7">
        <v>1.4792185980000001</v>
      </c>
      <c r="E20" s="53">
        <f t="shared" si="1"/>
        <v>7.8614029128135643E-2</v>
      </c>
      <c r="F20" s="7">
        <v>0.182</v>
      </c>
      <c r="G20" s="7">
        <v>0.182</v>
      </c>
      <c r="H20" s="34">
        <f t="shared" si="21"/>
        <v>1</v>
      </c>
      <c r="I20" s="7">
        <v>9.3131907377622405E-2</v>
      </c>
      <c r="J20" s="7">
        <v>0.53769450831257704</v>
      </c>
      <c r="K20" s="7">
        <v>0.148385038049068</v>
      </c>
      <c r="L20" s="9">
        <v>1</v>
      </c>
      <c r="M20" s="7">
        <v>2.2925673148669499</v>
      </c>
      <c r="N20" s="7">
        <v>3.19346784558121</v>
      </c>
      <c r="O20" s="10">
        <f t="shared" ref="O20:O24" si="28">($AA$19*$AA$3*N20^$AA$1+$AA$2*J20*K20*N20)^(-1)</f>
        <v>0.77116084163453658</v>
      </c>
      <c r="P20" s="7">
        <v>-1.4342857350521101</v>
      </c>
      <c r="Q20" s="7">
        <v>0.82015862441923804</v>
      </c>
      <c r="R20" s="49">
        <v>-0.83090659318873805</v>
      </c>
      <c r="S20" s="51">
        <f t="shared" si="3"/>
        <v>0.4648695584583391</v>
      </c>
      <c r="T20" s="10">
        <f t="shared" si="4"/>
        <v>0.26582344666888696</v>
      </c>
      <c r="U20" s="10">
        <f t="shared" si="5"/>
        <v>0.26930699487277399</v>
      </c>
      <c r="V20" s="22">
        <f t="shared" si="26"/>
        <v>0.26062555752227257</v>
      </c>
      <c r="W20" s="22">
        <f>$AA$6/(1+$AA$6)*(1-$AA$2)*(1-$AC$1+$AA$1*D20)*((1-$AA$20)*(1-0)*(1-$AA$1)*D20/L20-K20)</f>
        <v>0.29748951380744432</v>
      </c>
      <c r="X20" s="22">
        <f t="shared" si="27"/>
        <v>6.7007655417437625E-2</v>
      </c>
      <c r="Y20" s="22">
        <f t="shared" ref="Y20:Y24" si="29">1/(M20*(1-J20))*($AA$20*(1-$AA$1)*D20+$AA$2*($AA$1*D20+M20*J20*K20)-N20^(-1))</f>
        <v>0.11609647744636013</v>
      </c>
      <c r="Z20" s="18" t="s">
        <v>63</v>
      </c>
      <c r="AA20" s="18">
        <v>0.24</v>
      </c>
      <c r="AB20" s="18"/>
      <c r="AE20" s="7">
        <v>1.4342857350521101</v>
      </c>
      <c r="AF20" s="7">
        <v>0.82015862441923804</v>
      </c>
      <c r="AG20" s="7">
        <v>0.83090659318873805</v>
      </c>
      <c r="AH20" s="7">
        <f t="shared" si="9"/>
        <v>3.085350952660086</v>
      </c>
      <c r="AI20" s="7">
        <f t="shared" si="10"/>
        <v>46</v>
      </c>
      <c r="AJ20" s="7">
        <f t="shared" si="11"/>
        <v>27</v>
      </c>
      <c r="AK20" s="7">
        <f t="shared" si="12"/>
        <v>27</v>
      </c>
      <c r="AL20" s="7">
        <f t="shared" si="13"/>
        <v>2.8721530819020624</v>
      </c>
      <c r="AM20" s="7">
        <f t="shared" si="14"/>
        <v>2.0144246915560231</v>
      </c>
      <c r="AN20" s="7">
        <f t="shared" si="15"/>
        <v>1.0443173532565362</v>
      </c>
      <c r="AO20" s="7">
        <f t="shared" si="16"/>
        <v>5.9308951267146224</v>
      </c>
      <c r="AP20" s="106">
        <f t="shared" si="17"/>
        <v>48</v>
      </c>
      <c r="AQ20">
        <f t="shared" si="18"/>
        <v>34</v>
      </c>
      <c r="AR20">
        <f t="shared" si="19"/>
        <v>18</v>
      </c>
    </row>
    <row r="21" spans="1:44" s="7" customFormat="1" ht="15">
      <c r="A21" s="7" t="s">
        <v>41</v>
      </c>
      <c r="B21" s="7" t="s">
        <v>9</v>
      </c>
      <c r="C21" s="8">
        <v>7.8899999999999998E-2</v>
      </c>
      <c r="D21" s="7">
        <v>1.4291879729999999</v>
      </c>
      <c r="E21" s="53">
        <f t="shared" si="1"/>
        <v>7.5007753629370955E-2</v>
      </c>
      <c r="F21" s="7">
        <v>0.28399999999999997</v>
      </c>
      <c r="G21" s="7">
        <v>0.316</v>
      </c>
      <c r="H21" s="9">
        <f t="shared" si="21"/>
        <v>0.89873417721518978</v>
      </c>
      <c r="I21" s="7">
        <v>0.13934857361727199</v>
      </c>
      <c r="J21" s="7">
        <v>0.54247073676727098</v>
      </c>
      <c r="K21" s="7">
        <v>0.10513619520275699</v>
      </c>
      <c r="L21" s="9">
        <v>1</v>
      </c>
      <c r="M21" s="7">
        <v>2.1782243325216601</v>
      </c>
      <c r="N21" s="7">
        <v>3.36985329163155</v>
      </c>
      <c r="O21" s="10">
        <f t="shared" si="28"/>
        <v>0.76784361530628809</v>
      </c>
      <c r="P21" s="7">
        <v>-1.3805185705294001</v>
      </c>
      <c r="Q21" s="7">
        <v>0.449582210995363</v>
      </c>
      <c r="R21" s="49">
        <v>-0.63983376284020799</v>
      </c>
      <c r="S21" s="51">
        <f t="shared" si="3"/>
        <v>0.55892921279188645</v>
      </c>
      <c r="T21" s="10">
        <f t="shared" si="4"/>
        <v>0.18202191309930124</v>
      </c>
      <c r="U21" s="10">
        <f t="shared" si="5"/>
        <v>0.25904887410881228</v>
      </c>
      <c r="V21" s="22">
        <f t="shared" si="26"/>
        <v>0.26925696793805781</v>
      </c>
      <c r="W21" s="22">
        <f t="shared" ref="W21:W24" si="30">$AA$6/(1+$AA$6)*(1-$AA$2)*(1-$AC$1+$AA$1*D21)*((1-$AA$20)*(1-0)*(1-$AA$1)*D21/L21-K21)</f>
        <v>0.30325204581677045</v>
      </c>
      <c r="X21" s="22">
        <f t="shared" si="27"/>
        <v>9.6869140579883356E-2</v>
      </c>
      <c r="Y21" s="22">
        <f t="shared" si="29"/>
        <v>0.10972302205901864</v>
      </c>
      <c r="AE21" s="7">
        <v>1.3805185705294001</v>
      </c>
      <c r="AF21" s="7">
        <v>0.449582210995363</v>
      </c>
      <c r="AG21" s="7">
        <v>0.63983376284020799</v>
      </c>
      <c r="AH21" s="7">
        <f t="shared" si="9"/>
        <v>2.4699345443649712</v>
      </c>
      <c r="AI21" s="7">
        <f t="shared" si="10"/>
        <v>56</v>
      </c>
      <c r="AJ21" s="7">
        <f t="shared" si="11"/>
        <v>18</v>
      </c>
      <c r="AK21" s="7">
        <f t="shared" si="12"/>
        <v>26</v>
      </c>
      <c r="AL21" s="7">
        <f t="shared" si="13"/>
        <v>1.8395750305730045</v>
      </c>
      <c r="AM21" s="7">
        <f t="shared" si="14"/>
        <v>1.6182680345080238</v>
      </c>
      <c r="AN21" s="7">
        <f t="shared" si="15"/>
        <v>1.1300370368055117</v>
      </c>
      <c r="AO21" s="7">
        <f t="shared" si="16"/>
        <v>4.5878801018865403</v>
      </c>
      <c r="AP21" s="106">
        <f t="shared" si="17"/>
        <v>40</v>
      </c>
      <c r="AQ21">
        <f t="shared" si="18"/>
        <v>35</v>
      </c>
      <c r="AR21">
        <f t="shared" si="19"/>
        <v>25</v>
      </c>
    </row>
    <row r="22" spans="1:44" s="7" customFormat="1" ht="15">
      <c r="A22" s="35" t="s">
        <v>46</v>
      </c>
      <c r="B22" s="35" t="s">
        <v>14</v>
      </c>
      <c r="C22" s="8">
        <v>7.5600000000000001E-2</v>
      </c>
      <c r="D22" s="7">
        <v>1.442559948</v>
      </c>
      <c r="E22" s="53">
        <f t="shared" si="1"/>
        <v>7.5975178107476227E-2</v>
      </c>
      <c r="F22" s="7">
        <v>0.21299999999999999</v>
      </c>
      <c r="G22" s="7">
        <v>0.21299999999999999</v>
      </c>
      <c r="H22" s="34">
        <f t="shared" si="21"/>
        <v>1</v>
      </c>
      <c r="I22" s="7">
        <v>0.17407531947263299</v>
      </c>
      <c r="J22" s="7">
        <v>0.5298900254494</v>
      </c>
      <c r="K22" s="7">
        <v>9.9194292649429194E-2</v>
      </c>
      <c r="L22" s="9">
        <v>1</v>
      </c>
      <c r="M22" s="7">
        <v>2.1216429115161701</v>
      </c>
      <c r="N22" s="7">
        <v>3.3211725206570999</v>
      </c>
      <c r="O22" s="10">
        <f t="shared" si="28"/>
        <v>0.77478013228392506</v>
      </c>
      <c r="P22" s="7">
        <v>-1.35588250239627</v>
      </c>
      <c r="Q22" s="7">
        <v>0.60004496585232003</v>
      </c>
      <c r="R22" s="49">
        <v>-0.59706609436517399</v>
      </c>
      <c r="S22" s="51">
        <f t="shared" si="3"/>
        <v>0.53109515129686125</v>
      </c>
      <c r="T22" s="10">
        <f t="shared" si="4"/>
        <v>0.23503583191098679</v>
      </c>
      <c r="U22" s="10">
        <f t="shared" si="5"/>
        <v>0.23386901679215183</v>
      </c>
      <c r="V22" s="22">
        <f t="shared" si="26"/>
        <v>0.27493673452248335</v>
      </c>
      <c r="W22" s="22">
        <f t="shared" si="30"/>
        <v>0.31076505873150417</v>
      </c>
      <c r="X22" s="22">
        <f t="shared" si="27"/>
        <v>0.12214189036349368</v>
      </c>
      <c r="Y22" s="22">
        <f t="shared" si="29"/>
        <v>0.10501942354100566</v>
      </c>
      <c r="AE22" s="7">
        <v>1.35588250239627</v>
      </c>
      <c r="AF22" s="7">
        <v>0.60004496585232003</v>
      </c>
      <c r="AG22" s="7">
        <v>0.59706609436517399</v>
      </c>
      <c r="AH22" s="7">
        <f t="shared" si="9"/>
        <v>2.5529935626137643</v>
      </c>
      <c r="AI22" s="7">
        <f t="shared" si="10"/>
        <v>53</v>
      </c>
      <c r="AJ22" s="7">
        <f t="shared" si="11"/>
        <v>24</v>
      </c>
      <c r="AK22" s="7">
        <f t="shared" si="12"/>
        <v>23</v>
      </c>
      <c r="AL22" s="7">
        <f t="shared" si="13"/>
        <v>1.7790450494832801</v>
      </c>
      <c r="AM22" s="7">
        <f t="shared" si="14"/>
        <v>1.6906028799807429</v>
      </c>
      <c r="AN22" s="7">
        <f t="shared" si="15"/>
        <v>1.3747945915726838</v>
      </c>
      <c r="AO22" s="7">
        <f t="shared" si="16"/>
        <v>4.844442521036707</v>
      </c>
      <c r="AP22" s="106">
        <f t="shared" si="17"/>
        <v>37</v>
      </c>
      <c r="AQ22">
        <f t="shared" si="18"/>
        <v>35</v>
      </c>
      <c r="AR22">
        <f t="shared" si="19"/>
        <v>28</v>
      </c>
    </row>
    <row r="23" spans="1:44" s="7" customFormat="1" ht="15">
      <c r="A23" s="7" t="s">
        <v>53</v>
      </c>
      <c r="B23" s="7" t="s">
        <v>21</v>
      </c>
      <c r="C23" s="8">
        <v>8.3699999999999997E-2</v>
      </c>
      <c r="D23" s="7">
        <v>1.4640128139999999</v>
      </c>
      <c r="E23" s="53">
        <f t="shared" si="1"/>
        <v>7.752180227109684E-2</v>
      </c>
      <c r="F23" s="7">
        <v>0.29299999999999998</v>
      </c>
      <c r="G23" s="7">
        <v>0.318</v>
      </c>
      <c r="H23" s="9">
        <f t="shared" si="21"/>
        <v>0.92138364779874204</v>
      </c>
      <c r="I23" s="7">
        <v>0.10237933676547099</v>
      </c>
      <c r="J23" s="7">
        <v>0.55387672827563605</v>
      </c>
      <c r="K23" s="7">
        <v>0.12564711421487099</v>
      </c>
      <c r="L23" s="9">
        <v>1</v>
      </c>
      <c r="M23" s="7">
        <v>2.24134428642627</v>
      </c>
      <c r="N23" s="7">
        <v>3.2454448685694901</v>
      </c>
      <c r="O23" s="10">
        <f t="shared" si="28"/>
        <v>0.77195039265731191</v>
      </c>
      <c r="P23" s="7">
        <v>-1.42059196291788</v>
      </c>
      <c r="Q23" s="7">
        <v>0.47828834741727599</v>
      </c>
      <c r="R23" s="49">
        <v>-0.76594243785739802</v>
      </c>
      <c r="S23" s="51">
        <f t="shared" si="3"/>
        <v>0.5330906019476952</v>
      </c>
      <c r="T23" s="10">
        <f t="shared" si="4"/>
        <v>0.17948223676103051</v>
      </c>
      <c r="U23" s="10">
        <f t="shared" si="5"/>
        <v>0.28742716129127427</v>
      </c>
      <c r="V23" s="22">
        <f t="shared" si="26"/>
        <v>0.26762682683013078</v>
      </c>
      <c r="W23" s="22">
        <f t="shared" si="30"/>
        <v>0.30424560397872819</v>
      </c>
      <c r="X23" s="22">
        <f t="shared" si="27"/>
        <v>7.2903899068312225E-2</v>
      </c>
      <c r="Y23" s="22">
        <f t="shared" si="29"/>
        <v>0.11627002953849795</v>
      </c>
      <c r="AE23" s="7">
        <v>1.42059196291788</v>
      </c>
      <c r="AF23" s="7">
        <v>0.47828834741727599</v>
      </c>
      <c r="AG23" s="7">
        <v>0.76594243785739802</v>
      </c>
      <c r="AH23" s="7">
        <f t="shared" si="9"/>
        <v>2.6648227481925542</v>
      </c>
      <c r="AI23" s="7">
        <f t="shared" si="10"/>
        <v>53</v>
      </c>
      <c r="AJ23" s="7">
        <f t="shared" si="11"/>
        <v>18</v>
      </c>
      <c r="AK23" s="7">
        <f t="shared" si="12"/>
        <v>29</v>
      </c>
      <c r="AL23" s="7">
        <f t="shared" si="13"/>
        <v>2.132536208094034</v>
      </c>
      <c r="AM23" s="7">
        <f t="shared" si="14"/>
        <v>1.674294931819138</v>
      </c>
      <c r="AN23" s="7">
        <f t="shared" si="15"/>
        <v>0.93687788277620543</v>
      </c>
      <c r="AO23" s="7">
        <f t="shared" si="16"/>
        <v>4.7437090226893774</v>
      </c>
      <c r="AP23" s="106">
        <f t="shared" si="17"/>
        <v>45</v>
      </c>
      <c r="AQ23">
        <f t="shared" si="18"/>
        <v>35</v>
      </c>
      <c r="AR23">
        <f t="shared" si="19"/>
        <v>20</v>
      </c>
    </row>
    <row r="24" spans="1:44" s="7" customFormat="1" ht="15">
      <c r="A24" s="7" t="s">
        <v>55</v>
      </c>
      <c r="B24" s="7" t="s">
        <v>23</v>
      </c>
      <c r="C24" s="8">
        <v>9.8000000000000004E-2</v>
      </c>
      <c r="D24" s="7">
        <v>1.6027240439999999</v>
      </c>
      <c r="E24" s="53">
        <f t="shared" si="1"/>
        <v>8.736485138872041E-2</v>
      </c>
      <c r="F24" s="7">
        <v>0.27700000000000002</v>
      </c>
      <c r="G24" s="7">
        <v>0.215</v>
      </c>
      <c r="H24" s="9">
        <f t="shared" si="21"/>
        <v>1.2883720930232558</v>
      </c>
      <c r="I24" s="7">
        <v>9.7519961489465595E-2</v>
      </c>
      <c r="J24" s="7">
        <v>0.55478019829655401</v>
      </c>
      <c r="K24" s="7">
        <v>0.15526060737878999</v>
      </c>
      <c r="L24" s="9">
        <v>1</v>
      </c>
      <c r="M24" s="7">
        <v>2.2506935861039699</v>
      </c>
      <c r="N24" s="7">
        <v>2.8173857098412198</v>
      </c>
      <c r="O24" s="10">
        <f t="shared" si="28"/>
        <v>0.80690937782469963</v>
      </c>
      <c r="P24" s="7">
        <v>-1.42806512711609</v>
      </c>
      <c r="Q24" s="7">
        <v>0.61014908835618598</v>
      </c>
      <c r="R24" s="49">
        <v>-0.87626812683052202</v>
      </c>
      <c r="S24" s="51">
        <f t="shared" si="3"/>
        <v>0.48998928776756412</v>
      </c>
      <c r="T24" s="10">
        <f t="shared" si="4"/>
        <v>0.20935075828048882</v>
      </c>
      <c r="U24" s="10">
        <f t="shared" si="5"/>
        <v>0.30065995395194706</v>
      </c>
      <c r="V24" s="22">
        <f t="shared" si="26"/>
        <v>0.28490231389070336</v>
      </c>
      <c r="W24" s="22">
        <f t="shared" si="30"/>
        <v>0.33588262626368914</v>
      </c>
      <c r="X24" s="22">
        <f t="shared" si="27"/>
        <v>7.6023146340692238E-2</v>
      </c>
      <c r="Y24" s="22">
        <f t="shared" si="29"/>
        <v>0.11616482071556547</v>
      </c>
      <c r="AE24" s="7">
        <v>1.42806512711609</v>
      </c>
      <c r="AF24" s="7">
        <v>0.61014908835618598</v>
      </c>
      <c r="AG24" s="7">
        <v>0.87626812683052202</v>
      </c>
      <c r="AH24" s="7">
        <f t="shared" si="9"/>
        <v>2.9144823423027981</v>
      </c>
      <c r="AI24" s="7">
        <f t="shared" si="10"/>
        <v>49</v>
      </c>
      <c r="AJ24" s="7">
        <f t="shared" si="11"/>
        <v>21</v>
      </c>
      <c r="AK24" s="7">
        <f t="shared" si="12"/>
        <v>30</v>
      </c>
      <c r="AL24" s="7">
        <f t="shared" si="13"/>
        <v>2.2624720307399291</v>
      </c>
      <c r="AM24" s="7">
        <f t="shared" si="14"/>
        <v>1.7246050762720768</v>
      </c>
      <c r="AN24" s="7">
        <f t="shared" si="15"/>
        <v>0.87197585696896585</v>
      </c>
      <c r="AO24" s="7">
        <f t="shared" si="16"/>
        <v>4.8590529639809716</v>
      </c>
      <c r="AP24" s="106">
        <f t="shared" si="17"/>
        <v>47</v>
      </c>
      <c r="AQ24">
        <f t="shared" si="18"/>
        <v>35</v>
      </c>
      <c r="AR24">
        <f t="shared" si="19"/>
        <v>18</v>
      </c>
    </row>
    <row r="25" spans="1:44" ht="15">
      <c r="A25" t="s">
        <v>49</v>
      </c>
      <c r="B25" t="s">
        <v>17</v>
      </c>
      <c r="C25" s="1">
        <v>8.5199999999999998E-2</v>
      </c>
      <c r="D25">
        <v>1.5314207980000001</v>
      </c>
      <c r="E25" s="4">
        <f t="shared" si="1"/>
        <v>8.2338668511319657E-2</v>
      </c>
      <c r="F25">
        <v>0.312</v>
      </c>
      <c r="G25">
        <v>0.318</v>
      </c>
      <c r="H25" s="2">
        <f>F25/G25</f>
        <v>0.98113207547169812</v>
      </c>
      <c r="I25">
        <v>0.243153681354499</v>
      </c>
      <c r="J25">
        <v>0.52193960128456396</v>
      </c>
      <c r="K25">
        <v>6.8622264216601295E-2</v>
      </c>
      <c r="L25" s="2">
        <v>1</v>
      </c>
      <c r="M25">
        <v>1.9921458714800899</v>
      </c>
      <c r="N25">
        <v>3.0250174741545002</v>
      </c>
      <c r="O25" s="3">
        <f>($AA$25*$AA$3*N25^$AA$1+$AA$2*J25*K25*N25)^(-1)</f>
        <v>0.77540337580308072</v>
      </c>
      <c r="P25">
        <v>-1.3072717553067299</v>
      </c>
      <c r="Q25">
        <v>0.38347302721467702</v>
      </c>
      <c r="R25" s="50">
        <v>-0.56899118672855897</v>
      </c>
      <c r="S25" s="51">
        <f t="shared" si="3"/>
        <v>0.57850641539357783</v>
      </c>
      <c r="T25" s="10">
        <f t="shared" si="4"/>
        <v>0.16969815608234817</v>
      </c>
      <c r="U25" s="10">
        <f t="shared" si="5"/>
        <v>0.25179542852407405</v>
      </c>
      <c r="V25" s="23">
        <f>((1-$AA$26)*(1-0)*(1-$AA$1)*D25/L25-K25)/(1+$AA$6)</f>
        <v>0.2996672322111093</v>
      </c>
      <c r="W25" s="23">
        <f>$AA$6/(1+$AA$6)*(1-$AA$2)*(1-$AC$1+$AA$1*D25)*((1-$AA$26)*(1-0)*(1-$AA$1)*D25/L25-K25)</f>
        <v>0.34680260989931067</v>
      </c>
      <c r="X25" s="23">
        <f>(1-$AA$26)*I25*(1-$AA$1)*D25/L25</f>
        <v>0.1763547184032275</v>
      </c>
      <c r="Y25" s="23">
        <f>1/(M25*(1-J25))*($AA$26*(1-$AA$1)*D25+$AA$2*($AA$1*D25+M25*J25*K25)-N25^(-1))</f>
        <v>0.11144017156822238</v>
      </c>
      <c r="Z25" s="18" t="s">
        <v>66</v>
      </c>
      <c r="AA25" s="18">
        <f>$AA$1*$AA$2+(1-$AA$1)*AA26</f>
        <v>0.27155600000000002</v>
      </c>
      <c r="AE25">
        <v>1.3072717553067299</v>
      </c>
      <c r="AF25">
        <v>0.38347302721467702</v>
      </c>
      <c r="AG25">
        <v>0.56899118672855897</v>
      </c>
      <c r="AH25">
        <f t="shared" si="9"/>
        <v>2.2597359692499657</v>
      </c>
      <c r="AI25">
        <f t="shared" si="10"/>
        <v>58</v>
      </c>
      <c r="AJ25">
        <f t="shared" si="11"/>
        <v>17</v>
      </c>
      <c r="AK25">
        <f t="shared" si="12"/>
        <v>25</v>
      </c>
      <c r="AL25">
        <f t="shared" si="13"/>
        <v>1.05291018539388</v>
      </c>
      <c r="AM25">
        <f t="shared" si="14"/>
        <v>1.4042674236030426</v>
      </c>
      <c r="AN25">
        <f t="shared" si="15"/>
        <v>1.6238533064708247</v>
      </c>
      <c r="AO25" s="29">
        <f t="shared" si="16"/>
        <v>4.081030915467748</v>
      </c>
      <c r="AP25">
        <f t="shared" si="17"/>
        <v>26</v>
      </c>
      <c r="AQ25">
        <f t="shared" si="18"/>
        <v>34</v>
      </c>
      <c r="AR25" s="105">
        <f t="shared" si="19"/>
        <v>40</v>
      </c>
    </row>
    <row r="26" spans="1:44" ht="15">
      <c r="A26" t="s">
        <v>56</v>
      </c>
      <c r="B26" t="s">
        <v>24</v>
      </c>
      <c r="C26" s="1">
        <v>8.2000000000000003E-2</v>
      </c>
      <c r="D26">
        <v>1.4878838999999999</v>
      </c>
      <c r="E26" s="4">
        <f t="shared" si="1"/>
        <v>7.9234973949666054E-2</v>
      </c>
      <c r="F26">
        <v>0.255</v>
      </c>
      <c r="G26">
        <v>0.30499999999999999</v>
      </c>
      <c r="H26" s="2">
        <f>F26/G26</f>
        <v>0.83606557377049184</v>
      </c>
      <c r="I26">
        <v>0.201982114986962</v>
      </c>
      <c r="J26">
        <v>0.52434997818483997</v>
      </c>
      <c r="K26">
        <v>7.7731730924818401E-2</v>
      </c>
      <c r="L26" s="2">
        <v>1</v>
      </c>
      <c r="M26">
        <v>2.0706020392396902</v>
      </c>
      <c r="N26">
        <v>3.1644553772480499</v>
      </c>
      <c r="O26" s="3">
        <f>($AA$25*$AA$3*N26^$AA$1+$AA$2*J26*K26*N26)^(-1)</f>
        <v>0.75973218562141964</v>
      </c>
      <c r="P26">
        <v>-1.3094892945099501</v>
      </c>
      <c r="Q26">
        <v>0.44398260871244999</v>
      </c>
      <c r="R26" s="50">
        <v>-0.56710896484735895</v>
      </c>
      <c r="S26" s="51">
        <f t="shared" si="3"/>
        <v>0.56429375615734212</v>
      </c>
      <c r="T26" s="10">
        <f t="shared" si="4"/>
        <v>0.19132391153502493</v>
      </c>
      <c r="U26" s="10">
        <f t="shared" si="5"/>
        <v>0.24438233230763282</v>
      </c>
      <c r="V26" s="23">
        <f>((1-$AA$26)*(1-0)*(1-$AA$1)*D26/L26-K26)/(1+$AA$6)</f>
        <v>0.28610056388396571</v>
      </c>
      <c r="W26" s="23">
        <f>$AA$6/(1+$AA$6)*(1-$AA$2)*(1-$AC$1+$AA$1*D26)*((1-$AA$26)*(1-0)*(1-$AA$1)*D26/L26-K26)</f>
        <v>0.32732046428841449</v>
      </c>
      <c r="X26" s="23">
        <f>(1-$AA$26)*I26*(1-$AA$1)*D26/L26</f>
        <v>0.14232908375233061</v>
      </c>
      <c r="Y26" s="23">
        <f>1/(M26*(1-J26))*($AA$26*(1-$AA$1)*D26+$AA$2*($AA$1*D26+M26*J26*K26)-N26^(-1))</f>
        <v>0.1144151470657012</v>
      </c>
      <c r="Z26" s="18" t="s">
        <v>63</v>
      </c>
      <c r="AA26" s="18">
        <v>0.26</v>
      </c>
      <c r="AE26">
        <v>1.3094892945099501</v>
      </c>
      <c r="AF26">
        <v>0.44398260871244999</v>
      </c>
      <c r="AG26">
        <v>0.56710896484735895</v>
      </c>
      <c r="AH26">
        <f t="shared" si="9"/>
        <v>2.3205808680697593</v>
      </c>
      <c r="AI26">
        <f t="shared" si="10"/>
        <v>56</v>
      </c>
      <c r="AJ26">
        <f t="shared" si="11"/>
        <v>19</v>
      </c>
      <c r="AK26">
        <f t="shared" si="12"/>
        <v>25</v>
      </c>
      <c r="AL26">
        <f t="shared" si="13"/>
        <v>1.2413276767046064</v>
      </c>
      <c r="AM26">
        <f t="shared" si="14"/>
        <v>1.38067762465457</v>
      </c>
      <c r="AN26">
        <f t="shared" si="15"/>
        <v>1.3969008310723932</v>
      </c>
      <c r="AO26" s="29">
        <f t="shared" si="16"/>
        <v>4.0189061324315691</v>
      </c>
      <c r="AP26">
        <f t="shared" si="17"/>
        <v>31</v>
      </c>
      <c r="AQ26">
        <f t="shared" si="18"/>
        <v>34</v>
      </c>
      <c r="AR26" s="105">
        <f t="shared" si="19"/>
        <v>35</v>
      </c>
    </row>
    <row r="27" spans="1:44" s="7" customFormat="1" ht="15">
      <c r="A27" s="7" t="s">
        <v>42</v>
      </c>
      <c r="B27" s="7" t="s">
        <v>10</v>
      </c>
      <c r="C27" s="8">
        <v>8.7400000000000005E-2</v>
      </c>
      <c r="D27" s="7">
        <v>1.6562561659999999</v>
      </c>
      <c r="E27" s="53">
        <f>(1+(D27*$AA$1-$AC$1))^(1/4)-1</f>
        <v>9.1093042554803993E-2</v>
      </c>
      <c r="F27" s="7">
        <v>0.28299999999999997</v>
      </c>
      <c r="G27" s="7">
        <v>0.28399999999999997</v>
      </c>
      <c r="H27" s="9">
        <f t="shared" si="21"/>
        <v>0.99647887323943662</v>
      </c>
      <c r="I27" s="7">
        <v>0.17369235907906599</v>
      </c>
      <c r="J27" s="7">
        <v>0.50452618036758101</v>
      </c>
      <c r="K27" s="7">
        <v>0.12068220489102199</v>
      </c>
      <c r="L27" s="9">
        <v>1</v>
      </c>
      <c r="M27" s="7">
        <v>2.1583687363644</v>
      </c>
      <c r="N27" s="7">
        <v>2.6764021892324301</v>
      </c>
      <c r="O27" s="10">
        <f>(AA27*$AA$3*N27^$AA$1+$AA$2*J27*K27*N27)^(-1)</f>
        <v>0.76447002244573103</v>
      </c>
      <c r="P27" s="7">
        <v>-1.2997590719834</v>
      </c>
      <c r="Q27" s="7">
        <v>0.47038826026460701</v>
      </c>
      <c r="R27" s="49">
        <v>-0.675167068508287</v>
      </c>
      <c r="S27" s="51">
        <f t="shared" si="3"/>
        <v>0.53153045333614635</v>
      </c>
      <c r="T27" s="10">
        <f t="shared" si="4"/>
        <v>0.19236310067904722</v>
      </c>
      <c r="U27" s="10">
        <f t="shared" si="5"/>
        <v>0.27610644598480644</v>
      </c>
      <c r="V27" s="22">
        <f>((1-$X$28)*(1-0)*(1-$AA$1)*D27/L27-K27)/(1+$AA$6)</f>
        <v>0.29321533778535364</v>
      </c>
      <c r="W27" s="22">
        <f>$AA$6/(1+$AA$6)*(1-$AA$2)*(1-$AC$1+$AA$1*D27)*((1-$X$28)*(1-0)*(1-$AA$1)*D27/L27-K27)</f>
        <v>0.35044852119436054</v>
      </c>
      <c r="X27" s="22">
        <f>(1-$X$28)*I27*(1-$AA$1)*D27/L27</f>
        <v>0.13256250195999245</v>
      </c>
      <c r="Y27" s="22">
        <f>1/(M27*(1-J27))*($X$28*(1-$AA$1)*D27+$AA$2*($AA$1*D27+M27*J27*K27)-N27^(-1))</f>
        <v>0.12690810195447677</v>
      </c>
      <c r="Z27" s="18" t="s">
        <v>66</v>
      </c>
      <c r="AA27" s="18">
        <f>$AA$1*$AA$2+(1-$AA$1)*X28</f>
        <v>0.28435600000000005</v>
      </c>
      <c r="AE27" s="7">
        <v>1.2997590719834</v>
      </c>
      <c r="AF27" s="7">
        <v>0.47038826026460701</v>
      </c>
      <c r="AG27" s="7">
        <v>0.675167068508287</v>
      </c>
      <c r="AH27" s="7">
        <f t="shared" si="9"/>
        <v>2.4453144007562941</v>
      </c>
      <c r="AI27" s="7">
        <f t="shared" si="10"/>
        <v>53</v>
      </c>
      <c r="AJ27" s="7">
        <f t="shared" si="11"/>
        <v>19</v>
      </c>
      <c r="AK27" s="7">
        <f t="shared" si="12"/>
        <v>28</v>
      </c>
      <c r="AL27" s="7">
        <f t="shared" si="13"/>
        <v>1.7947115633188249</v>
      </c>
      <c r="AM27" s="7">
        <f t="shared" si="14"/>
        <v>1.523110728316748</v>
      </c>
      <c r="AN27" s="7">
        <f t="shared" si="15"/>
        <v>1.3417775846876627</v>
      </c>
      <c r="AO27" s="7">
        <f t="shared" si="16"/>
        <v>4.6595998763232362</v>
      </c>
      <c r="AP27" s="106">
        <f t="shared" si="17"/>
        <v>39</v>
      </c>
      <c r="AQ27">
        <f t="shared" si="18"/>
        <v>33</v>
      </c>
      <c r="AR27">
        <f t="shared" si="19"/>
        <v>28</v>
      </c>
    </row>
    <row r="28" spans="1:44" ht="15">
      <c r="W28" s="18" t="s">
        <v>63</v>
      </c>
      <c r="X28" s="18">
        <v>0.28000000000000003</v>
      </c>
    </row>
    <row r="29" spans="1:44" ht="15">
      <c r="Q29">
        <f>($AA$1*D3+M3*J3*K3)/((1-$AA$5)*J3*(1-J3/2)*(1-$AA$1)*D3/L3-M3*J3*K3)</f>
        <v>6.4222709798903486</v>
      </c>
      <c r="AP29" s="106">
        <v>15</v>
      </c>
      <c r="AQ29" s="107">
        <v>4</v>
      </c>
      <c r="AR29" s="105">
        <v>7</v>
      </c>
    </row>
    <row r="30" spans="1:44">
      <c r="Q30">
        <f>(1-$AA$5)*(1-0)*(1-$AA$1)*D3/L3-K3</f>
        <v>0.55153173263685107</v>
      </c>
      <c r="AP30" s="108">
        <f t="shared" ref="AP30:AQ30" si="31">AVERAGE(AP2:AP27)</f>
        <v>34.192307692307693</v>
      </c>
      <c r="AQ30" s="108">
        <f t="shared" si="31"/>
        <v>36.846153846153847</v>
      </c>
      <c r="AR30" s="108">
        <f>AVERAGE(AR2:AR27)</f>
        <v>28.96153846153846</v>
      </c>
    </row>
    <row r="31" spans="1:44">
      <c r="Q31">
        <f>($AA$1*D3+M3*J3*K3)</f>
        <v>0.67354148202858943</v>
      </c>
      <c r="AP31" s="109">
        <f>STDEV(AP2:AP27)</f>
        <v>13.690929057647566</v>
      </c>
      <c r="AQ31" s="109">
        <f t="shared" ref="AQ31:AR31" si="32">STDEV(AQ2:AQ27)</f>
        <v>2.7668365718604728</v>
      </c>
      <c r="AR31" s="109">
        <f t="shared" si="32"/>
        <v>12.73885636697665</v>
      </c>
    </row>
    <row r="32" spans="1:44">
      <c r="Q32">
        <f>1/((1-$AA$5)*J3*(1-J3/2)*(1-$AA$1)*D3/L3-M3*J3*K3)</f>
        <v>9.5350786124524785</v>
      </c>
    </row>
    <row r="34" spans="3:3">
      <c r="C34" s="4">
        <f>(0.08+1)^(1/4)-1</f>
        <v>1.9426546908273501E-2</v>
      </c>
    </row>
    <row r="35" spans="3:3">
      <c r="C35" s="4">
        <f>(1+0.2)^(1/4)-1</f>
        <v>4.6635139392105618E-2</v>
      </c>
    </row>
    <row r="36" spans="3:3">
      <c r="C36" s="4">
        <f>C35-C34</f>
        <v>2.7208592483832117E-2</v>
      </c>
    </row>
  </sheetData>
  <phoneticPr fontId="18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zoomScale="85" zoomScaleNormal="85" workbookViewId="0">
      <pane xSplit="2" topLeftCell="D1" activePane="topRight" state="frozen"/>
      <selection pane="topRight" activeCell="I39" sqref="I39"/>
    </sheetView>
  </sheetViews>
  <sheetFormatPr defaultRowHeight="14.25"/>
  <cols>
    <col min="1" max="1" width="14.25" bestFit="1" customWidth="1"/>
    <col min="3" max="3" width="14.875" bestFit="1" customWidth="1"/>
    <col min="4" max="5" width="9" style="16"/>
    <col min="8" max="8" width="10.5" bestFit="1" customWidth="1"/>
    <col min="9" max="9" width="10.5" customWidth="1"/>
    <col min="10" max="10" width="9" style="11"/>
    <col min="11" max="11" width="9" customWidth="1"/>
    <col min="12" max="12" width="9" style="11" customWidth="1"/>
    <col min="13" max="13" width="6" style="6" bestFit="1" customWidth="1"/>
    <col min="14" max="14" width="9" style="11"/>
  </cols>
  <sheetData>
    <row r="1" spans="1:24">
      <c r="C1" s="11" t="s">
        <v>26</v>
      </c>
      <c r="D1" s="11" t="s">
        <v>27</v>
      </c>
      <c r="E1" s="11"/>
      <c r="F1" t="s">
        <v>28</v>
      </c>
      <c r="G1" t="s">
        <v>29</v>
      </c>
      <c r="H1" t="s">
        <v>31</v>
      </c>
      <c r="I1" t="s">
        <v>59</v>
      </c>
      <c r="J1" s="11" t="s">
        <v>60</v>
      </c>
      <c r="K1" t="s">
        <v>30</v>
      </c>
      <c r="L1" s="11" t="s">
        <v>72</v>
      </c>
      <c r="M1" s="6" t="s">
        <v>58</v>
      </c>
      <c r="N1" s="11" t="s">
        <v>61</v>
      </c>
      <c r="O1" t="s">
        <v>62</v>
      </c>
      <c r="P1" t="s">
        <v>68</v>
      </c>
      <c r="Q1" t="s">
        <v>69</v>
      </c>
      <c r="R1" t="s">
        <v>70</v>
      </c>
      <c r="S1" t="s">
        <v>71</v>
      </c>
      <c r="T1" t="s">
        <v>67</v>
      </c>
      <c r="U1">
        <v>0.36</v>
      </c>
      <c r="V1" t="s">
        <v>75</v>
      </c>
      <c r="W1">
        <v>0.17899999999999999</v>
      </c>
    </row>
    <row r="2" spans="1:24" s="7" customFormat="1" ht="15">
      <c r="A2" s="7" t="s">
        <v>33</v>
      </c>
      <c r="B2" s="7" t="s">
        <v>1</v>
      </c>
      <c r="C2" s="15">
        <v>0.22313797006758301</v>
      </c>
      <c r="D2" s="12">
        <v>1.9108174055644001</v>
      </c>
      <c r="E2" s="12"/>
      <c r="H2" s="9"/>
      <c r="I2" s="7">
        <v>0.162385009567135</v>
      </c>
      <c r="J2" s="12">
        <v>0.67454473708626195</v>
      </c>
      <c r="K2" s="7">
        <v>7.6788294295846202E-2</v>
      </c>
      <c r="L2" s="13">
        <v>1.0504715533697999</v>
      </c>
      <c r="M2" s="7">
        <v>2.1014117551745599</v>
      </c>
      <c r="N2" s="12">
        <v>2.2486270044194501</v>
      </c>
      <c r="O2" s="10">
        <f>($U$4*$U$3*N2^$U$1+$U$2*J2*K2*N2)^(-1)</f>
        <v>0.93548381047002971</v>
      </c>
      <c r="P2" s="22">
        <f>((1-$U$5)*(1-0)*(1-$U$1)*D2/L2-K2)/(1+$U$6)</f>
        <v>0.37716914868394774</v>
      </c>
      <c r="Q2" s="22">
        <f>$U$6/(1+$U$6)*(1-$U$2)*(1-$W$1+$U$1*D2)*((1-$U$5)*(1-0)*(1-$U$1)*D2/L2-K2)</f>
        <v>0.47993825868986389</v>
      </c>
      <c r="R2" s="22">
        <f>(1-$U$5)*I2*(1-$U$1)*D2/L2</f>
        <v>0.14667853154513855</v>
      </c>
      <c r="S2" s="22">
        <f>1/(M2*(1-J2))*($U$5*(1-$U$1)*D2+$U$2*($U$1*D2+M2*J2*K2)-N2^(-1))</f>
        <v>9.0755968445397447E-2</v>
      </c>
      <c r="T2" s="19" t="s">
        <v>64</v>
      </c>
      <c r="U2" s="19">
        <v>0.29210000000000003</v>
      </c>
      <c r="V2" s="18">
        <v>0.25</v>
      </c>
    </row>
    <row r="3" spans="1:24" s="7" customFormat="1">
      <c r="A3" s="7" t="s">
        <v>34</v>
      </c>
      <c r="B3" s="7" t="s">
        <v>2</v>
      </c>
      <c r="C3" s="15">
        <v>0.269110149139618</v>
      </c>
      <c r="D3" s="12">
        <v>2.1815429815052299</v>
      </c>
      <c r="E3" s="12"/>
      <c r="H3" s="9"/>
      <c r="I3" s="7">
        <v>6.4732172424414702E-2</v>
      </c>
      <c r="J3" s="12">
        <v>0.70364685428598905</v>
      </c>
      <c r="K3" s="7">
        <v>0.13399927480846099</v>
      </c>
      <c r="L3" s="13">
        <v>1.0853082529137099</v>
      </c>
      <c r="M3" s="7">
        <v>2.2835567018627398</v>
      </c>
      <c r="N3" s="12">
        <v>1.8887427766707401</v>
      </c>
      <c r="O3" s="10">
        <f t="shared" ref="O3:O14" si="0">($U$4*$U$3*N3^$U$1+$U$2*J3*K3*N3)^(-1)</f>
        <v>0.97658173485147126</v>
      </c>
      <c r="P3" s="22">
        <f t="shared" ref="P3:P14" si="1">((1-$U$5)*(1-0)*(1-$U$1)*D3/L3-K3)/(1+$U$6)</f>
        <v>0.39435720116462664</v>
      </c>
      <c r="Q3" s="22">
        <f t="shared" ref="Q3:Q14" si="2">$U$6/(1+$U$6)*(1-$U$2)*(1-$W$1+$U$1*D3)*((1-$U$5)*(1-0)*(1-$U$1)*D3/L3-K3)</f>
        <v>0.53422208113349168</v>
      </c>
      <c r="R3" s="22">
        <f t="shared" ref="R3:R14" si="3">(1-$U$5)*I3*(1-$U$1)*D3/L3</f>
        <v>6.4612504683821848E-2</v>
      </c>
      <c r="S3" s="22">
        <f t="shared" ref="S3:S14" si="4">1/(M3*(1-J3))*($U$5*(1-$U$1)*D3+$U$2*($U$1*D3+M3*J3*K3)-N3^(-1))</f>
        <v>0.11190127450061833</v>
      </c>
      <c r="T3" s="7" t="s">
        <v>65</v>
      </c>
      <c r="U3" s="7">
        <v>3.11</v>
      </c>
    </row>
    <row r="4" spans="1:24" s="7" customFormat="1" ht="15">
      <c r="A4" s="7" t="s">
        <v>36</v>
      </c>
      <c r="B4" s="7" t="s">
        <v>4</v>
      </c>
      <c r="C4" s="15">
        <v>0.19971546971843501</v>
      </c>
      <c r="D4" s="12">
        <v>1.7338863904714701</v>
      </c>
      <c r="E4" s="12"/>
      <c r="H4" s="9"/>
      <c r="I4" s="7">
        <v>0.280948167866511</v>
      </c>
      <c r="J4" s="12">
        <v>0.68873622969578097</v>
      </c>
      <c r="K4" s="7">
        <v>1.9065050727455599E-2</v>
      </c>
      <c r="L4" s="13">
        <v>1.01375920544943</v>
      </c>
      <c r="M4" s="7">
        <v>1.8807924546582899</v>
      </c>
      <c r="N4" s="12">
        <v>2.5258245039692899</v>
      </c>
      <c r="O4" s="10">
        <f t="shared" si="0"/>
        <v>0.91838968019883971</v>
      </c>
      <c r="P4" s="22">
        <f t="shared" si="1"/>
        <v>0.37888837690369759</v>
      </c>
      <c r="Q4" s="22">
        <f t="shared" si="2"/>
        <v>0.46177388367877542</v>
      </c>
      <c r="R4" s="22">
        <f t="shared" si="3"/>
        <v>0.2386150087482696</v>
      </c>
      <c r="S4" s="22">
        <f t="shared" si="4"/>
        <v>7.2277607291271723E-2</v>
      </c>
      <c r="T4" s="18" t="s">
        <v>66</v>
      </c>
      <c r="U4" s="18">
        <f>$U$1*$U$2+(1-$U$1)*U5</f>
        <v>0.24858</v>
      </c>
      <c r="V4" s="18">
        <f>U1*V2+(1-U1)*V5</f>
        <v>0.218</v>
      </c>
    </row>
    <row r="5" spans="1:24" s="7" customFormat="1" ht="15">
      <c r="A5" s="7" t="s">
        <v>38</v>
      </c>
      <c r="B5" s="7" t="s">
        <v>6</v>
      </c>
      <c r="C5" s="15">
        <v>0.25534405841303698</v>
      </c>
      <c r="D5" s="12">
        <v>2.0516072457783601</v>
      </c>
      <c r="E5" s="12"/>
      <c r="H5" s="9"/>
      <c r="I5" s="7">
        <v>9.0151558376122404E-2</v>
      </c>
      <c r="J5" s="12">
        <v>0.70277645010895995</v>
      </c>
      <c r="K5" s="7">
        <v>0.105313833802496</v>
      </c>
      <c r="L5" s="13">
        <v>1.0646916544851699</v>
      </c>
      <c r="M5" s="7">
        <v>2.20604675742281</v>
      </c>
      <c r="N5" s="12">
        <v>2.0394578421776401</v>
      </c>
      <c r="O5" s="10">
        <f t="shared" si="0"/>
        <v>0.95850660223600548</v>
      </c>
      <c r="P5" s="22">
        <f t="shared" si="1"/>
        <v>0.3886122206811089</v>
      </c>
      <c r="Q5" s="22">
        <f t="shared" si="2"/>
        <v>0.51110970233330011</v>
      </c>
      <c r="R5" s="22">
        <f t="shared" si="3"/>
        <v>8.6263949626122327E-2</v>
      </c>
      <c r="S5" s="22">
        <f t="shared" si="4"/>
        <v>0.10272324767926065</v>
      </c>
      <c r="T5" s="18" t="s">
        <v>63</v>
      </c>
      <c r="U5" s="18">
        <v>0.22409999999999999</v>
      </c>
      <c r="V5" s="18">
        <v>0.2</v>
      </c>
    </row>
    <row r="6" spans="1:24" s="7" customFormat="1">
      <c r="A6" s="7" t="s">
        <v>39</v>
      </c>
      <c r="B6" s="7" t="s">
        <v>7</v>
      </c>
      <c r="C6" s="15">
        <v>0.186153240243664</v>
      </c>
      <c r="D6" s="12">
        <v>1.71556090848123</v>
      </c>
      <c r="E6" s="12"/>
      <c r="H6" s="9"/>
      <c r="I6" s="7">
        <v>0.31487277704670602</v>
      </c>
      <c r="J6" s="12">
        <v>0.67322485159005097</v>
      </c>
      <c r="K6" s="7">
        <v>1.6658683336147399E-2</v>
      </c>
      <c r="L6" s="13">
        <v>1.01506641888055</v>
      </c>
      <c r="M6" s="7">
        <v>1.84724925173401</v>
      </c>
      <c r="N6" s="12">
        <v>2.5714197303895401</v>
      </c>
      <c r="O6" s="10">
        <f t="shared" si="0"/>
        <v>0.91359965900558004</v>
      </c>
      <c r="P6" s="22">
        <f t="shared" si="1"/>
        <v>0.37539622742008405</v>
      </c>
      <c r="Q6" s="22">
        <f t="shared" si="2"/>
        <v>0.45542927467859196</v>
      </c>
      <c r="R6" s="22">
        <f t="shared" si="3"/>
        <v>0.26426066381289415</v>
      </c>
      <c r="S6" s="22">
        <f t="shared" si="4"/>
        <v>7.2254461579581791E-2</v>
      </c>
      <c r="T6" s="7" t="s">
        <v>73</v>
      </c>
      <c r="U6" s="7">
        <f>1.011^16</f>
        <v>1.1912927245031464</v>
      </c>
    </row>
    <row r="7" spans="1:24" s="7" customFormat="1">
      <c r="A7" s="7" t="s">
        <v>40</v>
      </c>
      <c r="B7" s="7" t="s">
        <v>8</v>
      </c>
      <c r="C7" s="15">
        <v>0.229199064325664</v>
      </c>
      <c r="D7" s="12">
        <v>1.9934847066050001</v>
      </c>
      <c r="E7" s="12"/>
      <c r="H7" s="9"/>
      <c r="I7" s="7">
        <v>0.13274732015562399</v>
      </c>
      <c r="J7" s="12">
        <v>0.66705663306673102</v>
      </c>
      <c r="K7" s="7">
        <v>0.102842184646854</v>
      </c>
      <c r="L7" s="13">
        <v>1.06552984436651</v>
      </c>
      <c r="M7" s="7">
        <v>2.18001543665163</v>
      </c>
      <c r="N7" s="12">
        <v>2.1348066996725099</v>
      </c>
      <c r="O7" s="10">
        <f t="shared" si="0"/>
        <v>0.94468938804239044</v>
      </c>
      <c r="P7" s="22">
        <f t="shared" si="1"/>
        <v>0.37703535317061965</v>
      </c>
      <c r="Q7" s="22">
        <f t="shared" si="2"/>
        <v>0.48923056920975994</v>
      </c>
      <c r="R7" s="22">
        <f t="shared" si="3"/>
        <v>0.12332717352636288</v>
      </c>
      <c r="S7" s="22">
        <f t="shared" si="4"/>
        <v>9.7542163691451508E-2</v>
      </c>
    </row>
    <row r="8" spans="1:24" s="7" customFormat="1">
      <c r="A8" s="7" t="s">
        <v>43</v>
      </c>
      <c r="B8" s="7" t="s">
        <v>11</v>
      </c>
      <c r="C8" s="15">
        <v>0.28821812317198398</v>
      </c>
      <c r="D8" s="12">
        <v>2.1725095778554899</v>
      </c>
      <c r="E8" s="12"/>
      <c r="H8" s="9"/>
      <c r="I8" s="7">
        <v>4.2295089359399698E-2</v>
      </c>
      <c r="J8" s="12">
        <v>0.75121007996251099</v>
      </c>
      <c r="K8" s="7">
        <v>0.117110600385067</v>
      </c>
      <c r="L8" s="13">
        <v>1.06699408860945</v>
      </c>
      <c r="M8" s="7">
        <v>2.22487716973371</v>
      </c>
      <c r="N8" s="12">
        <v>1.86894906369739</v>
      </c>
      <c r="O8" s="10">
        <f t="shared" si="0"/>
        <v>0.98395301727436402</v>
      </c>
      <c r="P8" s="22">
        <f t="shared" si="1"/>
        <v>0.40796427579181227</v>
      </c>
      <c r="Q8" s="22">
        <f t="shared" si="2"/>
        <v>0.55153627914779957</v>
      </c>
      <c r="R8" s="22">
        <f t="shared" si="3"/>
        <v>4.2763708366630154E-2</v>
      </c>
      <c r="S8" s="22">
        <f t="shared" si="4"/>
        <v>0.11229068357722267</v>
      </c>
    </row>
    <row r="9" spans="1:24" s="7" customFormat="1">
      <c r="A9" s="7" t="s">
        <v>44</v>
      </c>
      <c r="B9" s="7" t="s">
        <v>12</v>
      </c>
      <c r="C9" s="15">
        <v>0.214015613216611</v>
      </c>
      <c r="D9" s="12">
        <v>2.0478779099395998</v>
      </c>
      <c r="E9" s="12"/>
      <c r="H9" s="9"/>
      <c r="I9" s="7">
        <v>0.13504528409063399</v>
      </c>
      <c r="J9" s="12">
        <v>0.63611629108550705</v>
      </c>
      <c r="K9" s="7">
        <v>0.134714002142304</v>
      </c>
      <c r="L9" s="13">
        <v>1.07373995413796</v>
      </c>
      <c r="M9" s="7">
        <v>2.2233628275035602</v>
      </c>
      <c r="N9" s="12">
        <v>2.0626456516505298</v>
      </c>
      <c r="O9" s="10">
        <f>($U$4*$U$3*N9^$U$1+$U$2*J9*K9*N9)^(-1)</f>
        <v>0.94795345223167504</v>
      </c>
      <c r="P9" s="22">
        <f t="shared" si="1"/>
        <v>0.37072853365316655</v>
      </c>
      <c r="Q9" s="22">
        <f t="shared" si="2"/>
        <v>0.48716901912368576</v>
      </c>
      <c r="R9" s="22">
        <f t="shared" si="3"/>
        <v>0.12789986804717043</v>
      </c>
      <c r="S9" s="22">
        <f t="shared" si="4"/>
        <v>9.8759058354209533E-2</v>
      </c>
      <c r="W9" s="7" t="s">
        <v>74</v>
      </c>
      <c r="X9" s="7">
        <f>U1*D9-W1</f>
        <v>0.55823604757825596</v>
      </c>
    </row>
    <row r="10" spans="1:24" s="7" customFormat="1">
      <c r="A10" s="7" t="s">
        <v>45</v>
      </c>
      <c r="B10" s="7" t="s">
        <v>13</v>
      </c>
      <c r="C10" s="15">
        <v>0.20828202133756399</v>
      </c>
      <c r="D10" s="12">
        <v>1.76580677550167</v>
      </c>
      <c r="E10" s="12"/>
      <c r="H10" s="9"/>
      <c r="I10" s="7">
        <v>0.24941987979842001</v>
      </c>
      <c r="J10" s="12">
        <v>0.68901420832793603</v>
      </c>
      <c r="K10" s="7">
        <v>2.6986358020763601E-2</v>
      </c>
      <c r="L10" s="13">
        <v>1.0235253250585901</v>
      </c>
      <c r="M10" s="7">
        <v>1.9340628620337601</v>
      </c>
      <c r="N10" s="12">
        <v>2.4784946380395398</v>
      </c>
      <c r="O10" s="10">
        <f t="shared" si="0"/>
        <v>0.92139400375618241</v>
      </c>
      <c r="P10" s="22">
        <f t="shared" si="1"/>
        <v>0.37864256125051265</v>
      </c>
      <c r="Q10" s="22">
        <f t="shared" si="2"/>
        <v>0.46514365457112561</v>
      </c>
      <c r="R10" s="22">
        <f t="shared" si="3"/>
        <v>0.21367877117435005</v>
      </c>
      <c r="S10" s="22">
        <f t="shared" si="4"/>
        <v>7.6443240920268329E-2</v>
      </c>
    </row>
    <row r="11" spans="1:24" s="7" customFormat="1">
      <c r="A11" s="7" t="s">
        <v>47</v>
      </c>
      <c r="B11" s="7" t="s">
        <v>15</v>
      </c>
      <c r="C11" s="15">
        <v>0.22400011879608001</v>
      </c>
      <c r="D11" s="12">
        <v>1.91055087265025</v>
      </c>
      <c r="E11" s="12"/>
      <c r="H11" s="9"/>
      <c r="I11" s="7">
        <v>0.15898646277683401</v>
      </c>
      <c r="J11" s="12">
        <v>0.67798586468509003</v>
      </c>
      <c r="K11" s="7">
        <v>7.7561122931493406E-2</v>
      </c>
      <c r="L11" s="13">
        <v>1.0462346785079</v>
      </c>
      <c r="M11" s="7">
        <v>2.0951958911060502</v>
      </c>
      <c r="N11" s="12">
        <v>2.24004579310908</v>
      </c>
      <c r="O11" s="10">
        <f t="shared" si="0"/>
        <v>0.93639279434755796</v>
      </c>
      <c r="P11" s="22">
        <f t="shared" si="1"/>
        <v>0.37842804539479391</v>
      </c>
      <c r="Q11" s="22">
        <f t="shared" si="2"/>
        <v>0.4815095515599031</v>
      </c>
      <c r="R11" s="22">
        <f t="shared" si="3"/>
        <v>0.14417015588411503</v>
      </c>
      <c r="S11" s="22">
        <f t="shared" si="4"/>
        <v>8.9950247602190142E-2</v>
      </c>
    </row>
    <row r="12" spans="1:24" s="7" customFormat="1">
      <c r="A12" s="7" t="s">
        <v>50</v>
      </c>
      <c r="B12" s="7" t="s">
        <v>18</v>
      </c>
      <c r="C12" s="15">
        <v>0.22713118936785701</v>
      </c>
      <c r="D12" s="12">
        <v>2.02485983597008</v>
      </c>
      <c r="E12" s="12"/>
      <c r="H12" s="9"/>
      <c r="I12" s="7">
        <v>0.12725825562437301</v>
      </c>
      <c r="J12" s="12">
        <v>0.65886784332771697</v>
      </c>
      <c r="K12" s="7">
        <v>0.115963405128978</v>
      </c>
      <c r="L12" s="13">
        <v>1.07004604758278</v>
      </c>
      <c r="M12" s="7">
        <v>2.2052515031017599</v>
      </c>
      <c r="N12" s="12">
        <v>2.0921770827863502</v>
      </c>
      <c r="O12" s="10">
        <f t="shared" si="0"/>
        <v>0.94776485679958156</v>
      </c>
      <c r="P12" s="22">
        <f t="shared" si="1"/>
        <v>0.37590267157656776</v>
      </c>
      <c r="Q12" s="22">
        <f t="shared" si="2"/>
        <v>0.49134141691264099</v>
      </c>
      <c r="R12" s="22">
        <f t="shared" si="3"/>
        <v>0.11958155336076569</v>
      </c>
      <c r="S12" s="22">
        <f t="shared" si="4"/>
        <v>9.9144900740081462E-2</v>
      </c>
    </row>
    <row r="13" spans="1:24" s="7" customFormat="1">
      <c r="A13" s="7" t="s">
        <v>51</v>
      </c>
      <c r="B13" s="7" t="s">
        <v>19</v>
      </c>
      <c r="C13" s="15">
        <v>0.17386459662346401</v>
      </c>
      <c r="D13" s="12">
        <v>1.6856254983352701</v>
      </c>
      <c r="E13" s="12"/>
      <c r="H13" s="9"/>
      <c r="I13" s="7">
        <v>0.35681670126486897</v>
      </c>
      <c r="J13" s="12">
        <v>0.66805171732861302</v>
      </c>
      <c r="K13" s="7">
        <v>1.0042274355306E-2</v>
      </c>
      <c r="L13" s="13">
        <v>1.0064659169158701</v>
      </c>
      <c r="M13" s="7">
        <v>1.78657347489462</v>
      </c>
      <c r="N13" s="12">
        <v>2.6207341854939101</v>
      </c>
      <c r="O13" s="10">
        <f t="shared" si="0"/>
        <v>0.91013630357372777</v>
      </c>
      <c r="P13" s="22">
        <f t="shared" si="1"/>
        <v>0.37494827392908892</v>
      </c>
      <c r="Q13" s="22">
        <f t="shared" si="2"/>
        <v>0.45147821242506903</v>
      </c>
      <c r="R13" s="22">
        <f t="shared" si="3"/>
        <v>0.29675149766786796</v>
      </c>
      <c r="S13" s="22">
        <f t="shared" si="4"/>
        <v>6.9035229664343917E-2</v>
      </c>
    </row>
    <row r="14" spans="1:24" s="7" customFormat="1">
      <c r="A14" s="7" t="s">
        <v>57</v>
      </c>
      <c r="B14" s="7" t="s">
        <v>25</v>
      </c>
      <c r="C14" s="15">
        <v>0.27528335306107998</v>
      </c>
      <c r="D14" s="12">
        <v>2.2069984898005002</v>
      </c>
      <c r="E14" s="12"/>
      <c r="H14" s="9"/>
      <c r="I14" s="7">
        <v>5.7273101472496001E-2</v>
      </c>
      <c r="J14" s="12">
        <v>0.71306605264341405</v>
      </c>
      <c r="K14" s="7">
        <v>0.13693392100184901</v>
      </c>
      <c r="L14" s="13">
        <v>1.0826468807448499</v>
      </c>
      <c r="M14" s="7">
        <v>2.2779710874577201</v>
      </c>
      <c r="N14" s="12">
        <v>1.85026637142707</v>
      </c>
      <c r="O14" s="10">
        <f t="shared" si="0"/>
        <v>0.98274479330222664</v>
      </c>
      <c r="P14" s="22">
        <f t="shared" si="1"/>
        <v>0.39946590137646037</v>
      </c>
      <c r="Q14" s="22">
        <f t="shared" si="2"/>
        <v>0.54422978712252423</v>
      </c>
      <c r="R14" s="22">
        <f t="shared" si="3"/>
        <v>5.797645206394321E-2</v>
      </c>
      <c r="S14" s="22">
        <f t="shared" si="4"/>
        <v>0.11187433859025563</v>
      </c>
    </row>
    <row r="15" spans="1:24">
      <c r="A15" t="s">
        <v>35</v>
      </c>
      <c r="B15" t="s">
        <v>3</v>
      </c>
      <c r="C15" s="17">
        <v>0.19560777852560701</v>
      </c>
      <c r="D15" s="16">
        <v>1.6731350645160199</v>
      </c>
      <c r="H15" s="2"/>
      <c r="I15">
        <v>4.5083747749670097E-2</v>
      </c>
      <c r="J15" s="11">
        <v>0.766053482557152</v>
      </c>
      <c r="K15">
        <v>9.0464268704287906E-2</v>
      </c>
      <c r="L15" s="14">
        <v>1.03805785522857</v>
      </c>
      <c r="M15">
        <v>2.1483799089521902</v>
      </c>
      <c r="N15" s="11">
        <v>2.7345916164321502</v>
      </c>
      <c r="O15" s="3">
        <f>($V$4*$U$3*N15^$U$1+$V$2*J15*K15*N15)^(-1)</f>
        <v>0.97920097608745837</v>
      </c>
      <c r="P15" s="21">
        <f>((1-$V$5)*(1-0)*(1-$U$1)*D15/L15-K15)/(1+$U$6)</f>
        <v>0.33531534806268354</v>
      </c>
      <c r="Q15" s="21">
        <f>$U$6/(1+$U$6)*(1-$V$2)*(1-$W$1+$U$1*D15)*((1-$V$5)*(1-0)*(1-$U$1)*D15/L15-K15)</f>
        <v>0.42642078802399785</v>
      </c>
      <c r="R15" s="21">
        <f>(1-$V$5)*I15*(1-$U$1)*D15/L15</f>
        <v>3.7204837664638106E-2</v>
      </c>
      <c r="S15" s="21">
        <f>1/(M15*(1-J15))*($V$5*(1-$U$1)*D15+$V$2*($U$1*D15+M15*J15*K15)-N15^(-1))</f>
        <v>7.2181910534010352E-2</v>
      </c>
    </row>
    <row r="16" spans="1:24">
      <c r="A16" t="s">
        <v>48</v>
      </c>
      <c r="B16" t="s">
        <v>16</v>
      </c>
      <c r="C16" s="17">
        <v>0.107556170283525</v>
      </c>
      <c r="D16" s="16">
        <v>1.3781665417692499</v>
      </c>
      <c r="H16" s="5"/>
      <c r="I16">
        <v>0.324649303537212</v>
      </c>
      <c r="J16" s="11">
        <v>0.66554096397934903</v>
      </c>
      <c r="K16">
        <v>3.3029477359055197E-2</v>
      </c>
      <c r="L16" s="14">
        <v>1.0027728830365901</v>
      </c>
      <c r="M16">
        <v>1.8144793823171701</v>
      </c>
      <c r="N16" s="11">
        <v>3.5766939446766099</v>
      </c>
      <c r="O16" s="3">
        <f>($V$4*$U$3*N16^$U$1+$V$2*J16*K16*N16)^(-1)</f>
        <v>0.91546882427917031</v>
      </c>
      <c r="P16" s="21">
        <f t="shared" ref="P16:P18" si="5">((1-$V$5)*(1-0)*(1-$U$1)*D16/L16-K16)/(1+$U$6)</f>
        <v>0.3060479276522598</v>
      </c>
      <c r="Q16" s="21">
        <f t="shared" ref="Q16:Q18" si="6">$U$6/(1+$U$6)*(1-$V$2)*(1-$W$1+$U$1*D16)*((1-$V$5)*(1-0)*(1-$U$1)*D16/L16-K16)</f>
        <v>0.36016467929467483</v>
      </c>
      <c r="R16" s="21">
        <f t="shared" ref="R16:R18" si="7">(1-$V$5)*I16*(1-$U$1)*D16/L16</f>
        <v>0.22844599963001067</v>
      </c>
      <c r="S16" s="21">
        <f t="shared" ref="S16:S18" si="8">1/(M16*(1-J16))*($V$5*(1-$U$1)*D16+$V$2*($U$1*D16+M16*J16*K16)-N16^(-1))</f>
        <v>5.079215963815624E-2</v>
      </c>
    </row>
    <row r="17" spans="1:22">
      <c r="A17" t="s">
        <v>52</v>
      </c>
      <c r="B17" t="s">
        <v>20</v>
      </c>
      <c r="C17" s="17">
        <v>0.14050891746309199</v>
      </c>
      <c r="D17" s="16">
        <v>1.5006014809377799</v>
      </c>
      <c r="H17" s="5"/>
      <c r="I17">
        <v>0.17633900436769101</v>
      </c>
      <c r="J17" s="11">
        <v>0.68342802607970199</v>
      </c>
      <c r="K17">
        <v>6.9307301381246703E-2</v>
      </c>
      <c r="L17" s="14">
        <v>1.02266667823615</v>
      </c>
      <c r="M17">
        <v>2.02221907233139</v>
      </c>
      <c r="N17" s="11">
        <v>3.1934312553059501</v>
      </c>
      <c r="O17" s="3">
        <f>($V$4*$U$3*N17^$U$1+$V$2*J17*K17*N17)^(-1)</f>
        <v>0.93667366501398297</v>
      </c>
      <c r="P17" s="21">
        <f t="shared" si="5"/>
        <v>0.3112188758653005</v>
      </c>
      <c r="Q17" s="21">
        <f t="shared" si="6"/>
        <v>0.37850611298167702</v>
      </c>
      <c r="R17" s="21">
        <f t="shared" si="7"/>
        <v>0.13247978377227942</v>
      </c>
      <c r="S17" s="21">
        <f t="shared" si="8"/>
        <v>5.9256515507920035E-2</v>
      </c>
    </row>
    <row r="18" spans="1:22">
      <c r="A18" t="s">
        <v>54</v>
      </c>
      <c r="B18" t="s">
        <v>22</v>
      </c>
      <c r="C18" s="17">
        <v>0.150546088407297</v>
      </c>
      <c r="D18" s="16">
        <v>1.47034776051635</v>
      </c>
      <c r="H18" s="5"/>
      <c r="I18">
        <v>0.18327545298244299</v>
      </c>
      <c r="J18" s="11">
        <v>0.70822271223961597</v>
      </c>
      <c r="K18">
        <v>4.8007881203876203E-2</v>
      </c>
      <c r="L18" s="14">
        <v>1.0195094580414901</v>
      </c>
      <c r="M18">
        <v>1.99548297839212</v>
      </c>
      <c r="N18" s="11">
        <v>3.2865142245093999</v>
      </c>
      <c r="O18" s="3">
        <f>($V$4*$U$3*N18^$U$1+$V$2*J18*K18*N18)^(-1)</f>
        <v>0.93594872569519283</v>
      </c>
      <c r="P18" s="21">
        <f t="shared" si="5"/>
        <v>0.31506705875056967</v>
      </c>
      <c r="Q18" s="21">
        <f t="shared" si="6"/>
        <v>0.380120351473547</v>
      </c>
      <c r="R18" s="21">
        <f t="shared" si="7"/>
        <v>0.13533280016100316</v>
      </c>
      <c r="S18" s="21">
        <f t="shared" si="8"/>
        <v>5.7062376992513021E-2</v>
      </c>
    </row>
    <row r="19" spans="1:22" s="7" customFormat="1" ht="15">
      <c r="A19" s="7" t="s">
        <v>32</v>
      </c>
      <c r="B19" s="7" t="s">
        <v>0</v>
      </c>
      <c r="C19" s="15">
        <v>0.240031960594563</v>
      </c>
      <c r="D19" s="12">
        <v>2.0953444737205298</v>
      </c>
      <c r="E19" s="12"/>
      <c r="H19" s="9"/>
      <c r="I19" s="7">
        <v>0.144793787039046</v>
      </c>
      <c r="J19" s="12">
        <v>0.65914047118377805</v>
      </c>
      <c r="K19" s="7">
        <v>0.102273664336098</v>
      </c>
      <c r="L19" s="13">
        <v>1.0640061002185099</v>
      </c>
      <c r="M19" s="7">
        <v>2.1658639973107401</v>
      </c>
      <c r="N19" s="12">
        <v>1.9720622276374999</v>
      </c>
      <c r="O19" s="10">
        <f>($U$19*$U$3*N19^$U$1+$U$2*J19*K19*N19)^(-1)</f>
        <v>0.9377098266650542</v>
      </c>
      <c r="P19" s="22">
        <f t="shared" ref="P19:P24" si="9">((1-$U$20)*(1-0)*(1-$U$1)*D19/L19-K19)/(1+$U$6)</f>
        <v>0.39045107656702971</v>
      </c>
      <c r="Q19" s="22">
        <f>$U$6/(1+$U$6)*(1-$U$2)*(1-$W$1+$U$1*D19)*((1-$U$20)*(1-0)*(1-$U$1)*D19/L19-K19)</f>
        <v>0.51871274487650787</v>
      </c>
      <c r="R19" s="22">
        <f t="shared" ref="R19:R24" si="10">(1-$U$20)*I19*(1-$U$1)*D19/L19</f>
        <v>0.13869308437605971</v>
      </c>
      <c r="S19" s="22">
        <f>1/(M19*(1-J19))*($U$20*(1-$U$1)*D19+$U$2*($U$1*D19+M19*J19*K19)-N19^(-1))</f>
        <v>0.1053133404635206</v>
      </c>
      <c r="T19" s="18" t="s">
        <v>66</v>
      </c>
      <c r="U19" s="18">
        <f>$U$1*$U$2+(1-$U$1)*U20</f>
        <v>0.25875599999999999</v>
      </c>
      <c r="V19" s="18"/>
    </row>
    <row r="20" spans="1:22" s="7" customFormat="1" ht="15">
      <c r="A20" s="7" t="s">
        <v>37</v>
      </c>
      <c r="B20" s="7" t="s">
        <v>5</v>
      </c>
      <c r="C20" s="15">
        <v>0.260394576816945</v>
      </c>
      <c r="D20" s="12">
        <v>2.2757675487999198</v>
      </c>
      <c r="E20" s="12"/>
      <c r="H20" s="9"/>
      <c r="I20" s="7">
        <v>9.3131907377622405E-2</v>
      </c>
      <c r="J20" s="12">
        <v>0.66250993455236795</v>
      </c>
      <c r="K20" s="7">
        <v>0.148385038049068</v>
      </c>
      <c r="L20" s="13">
        <v>1.08778036867752</v>
      </c>
      <c r="M20" s="7">
        <v>2.2925673148669499</v>
      </c>
      <c r="N20" s="12">
        <v>1.7720133129328699</v>
      </c>
      <c r="O20" s="10">
        <f t="shared" ref="O20:O24" si="11">($U$19*$U$3*N20^$U$1+$U$2*J20*K20*N20)^(-1)</f>
        <v>0.96185079832697429</v>
      </c>
      <c r="P20" s="22">
        <f t="shared" si="9"/>
        <v>0.39667103194327985</v>
      </c>
      <c r="Q20" s="22">
        <f>$U$6/(1+$U$6)*(1-$U$2)*(1-$W$1+$U$1*D20)*((1-$U$20)*(1-0)*(1-$U$1)*D20/L20-K20)</f>
        <v>0.54870371722912381</v>
      </c>
      <c r="R20" s="22">
        <f t="shared" si="10"/>
        <v>9.4771716667701608E-2</v>
      </c>
      <c r="S20" s="22">
        <f>1/(M20*(1-J20))*($U$20*(1-$U$1)*D20+$U$2*($U$1*D20+M20*J20*K20)-N20^(-1))</f>
        <v>0.11680023756952931</v>
      </c>
      <c r="T20" s="18" t="s">
        <v>63</v>
      </c>
      <c r="U20" s="18">
        <v>0.24</v>
      </c>
      <c r="V20" s="18"/>
    </row>
    <row r="21" spans="1:22" s="7" customFormat="1">
      <c r="A21" s="7" t="s">
        <v>41</v>
      </c>
      <c r="B21" s="7" t="s">
        <v>9</v>
      </c>
      <c r="C21" s="15">
        <v>0.24240916414299099</v>
      </c>
      <c r="D21" s="12">
        <v>2.1084127447899101</v>
      </c>
      <c r="E21" s="12"/>
      <c r="H21" s="9"/>
      <c r="I21" s="7">
        <v>0.13934857361727199</v>
      </c>
      <c r="J21" s="12">
        <v>0.660087817630166</v>
      </c>
      <c r="K21" s="7">
        <v>0.10513619520275699</v>
      </c>
      <c r="L21" s="13">
        <v>1.0664502081451299</v>
      </c>
      <c r="M21" s="7">
        <v>2.1782243325216601</v>
      </c>
      <c r="N21" s="12">
        <v>1.9574830719574801</v>
      </c>
      <c r="O21" s="10">
        <f t="shared" si="11"/>
        <v>0.93937699697458643</v>
      </c>
      <c r="P21" s="22">
        <f t="shared" si="9"/>
        <v>0.39086295982466007</v>
      </c>
      <c r="Q21" s="22">
        <f t="shared" ref="Q21:Q24" si="12">$U$6/(1+$U$6)*(1-$U$2)*(1-$W$1+$U$1*D21)*((1-$U$20)*(1-0)*(1-$U$1)*D21/L21-K21)</f>
        <v>0.52081065792195946</v>
      </c>
      <c r="R21" s="22">
        <f t="shared" si="10"/>
        <v>0.13400195771287224</v>
      </c>
      <c r="S21" s="22">
        <f t="shared" ref="S21:S24" si="13">1/(M21*(1-J21))*($U$20*(1-$U$1)*D21+$U$2*($U$1*D21+M21*J21*K21)-N21^(-1))</f>
        <v>0.10650952791110978</v>
      </c>
    </row>
    <row r="22" spans="1:22" s="7" customFormat="1">
      <c r="A22" s="7" t="s">
        <v>46</v>
      </c>
      <c r="B22" s="7" t="s">
        <v>14</v>
      </c>
      <c r="C22" s="15">
        <v>0.222328069092495</v>
      </c>
      <c r="D22" s="12">
        <v>2.0518942616086</v>
      </c>
      <c r="E22" s="12"/>
      <c r="H22" s="9"/>
      <c r="I22" s="7">
        <v>0.17407531947263299</v>
      </c>
      <c r="J22" s="12">
        <v>0.64262976531986704</v>
      </c>
      <c r="K22" s="7">
        <v>9.9194292649429194E-2</v>
      </c>
      <c r="L22" s="13">
        <v>1.05732625146403</v>
      </c>
      <c r="M22" s="7">
        <v>2.1216429115161701</v>
      </c>
      <c r="N22" s="12">
        <v>2.0249064860971902</v>
      </c>
      <c r="O22" s="10">
        <f t="shared" si="11"/>
        <v>0.93012140748509586</v>
      </c>
      <c r="P22" s="22">
        <f t="shared" si="9"/>
        <v>0.38549625557607414</v>
      </c>
      <c r="Q22" s="22">
        <f t="shared" si="12"/>
        <v>0.50704512031335602</v>
      </c>
      <c r="R22" s="22">
        <f t="shared" si="10"/>
        <v>0.16431481757715102</v>
      </c>
      <c r="S22" s="22">
        <f t="shared" si="13"/>
        <v>0.10102045250247167</v>
      </c>
    </row>
    <row r="23" spans="1:22" s="7" customFormat="1">
      <c r="A23" s="7" t="s">
        <v>53</v>
      </c>
      <c r="B23" s="7" t="s">
        <v>21</v>
      </c>
      <c r="C23" s="15">
        <v>0.25937385549889602</v>
      </c>
      <c r="D23" s="12">
        <v>2.2009501871958701</v>
      </c>
      <c r="E23" s="12"/>
      <c r="H23" s="9"/>
      <c r="I23" s="7">
        <v>0.10237933676547099</v>
      </c>
      <c r="J23" s="12">
        <v>0.67261841733372596</v>
      </c>
      <c r="K23" s="7">
        <v>0.12564711421487099</v>
      </c>
      <c r="L23" s="13">
        <v>1.07568334042795</v>
      </c>
      <c r="M23" s="7">
        <v>2.24134428642627</v>
      </c>
      <c r="N23" s="12">
        <v>1.84626523387287</v>
      </c>
      <c r="O23" s="10">
        <f t="shared" si="11"/>
        <v>0.95322020388422402</v>
      </c>
      <c r="P23" s="22">
        <f t="shared" si="9"/>
        <v>0.39683125446889611</v>
      </c>
      <c r="Q23" s="22">
        <f t="shared" si="12"/>
        <v>0.53991168870030881</v>
      </c>
      <c r="R23" s="22">
        <f t="shared" si="10"/>
        <v>0.10189002035503741</v>
      </c>
      <c r="S23" s="22">
        <f t="shared" si="13"/>
        <v>0.11339333029677515</v>
      </c>
    </row>
    <row r="24" spans="1:22" s="7" customFormat="1">
      <c r="A24" s="7" t="s">
        <v>55</v>
      </c>
      <c r="B24" s="7" t="s">
        <v>23</v>
      </c>
      <c r="C24" s="15">
        <v>0.25133701276015602</v>
      </c>
      <c r="D24" s="12">
        <v>2.2590818618694999</v>
      </c>
      <c r="E24" s="12"/>
      <c r="H24" s="9"/>
      <c r="I24" s="7">
        <v>9.7519961489465595E-2</v>
      </c>
      <c r="J24" s="12">
        <v>0.65963150808601601</v>
      </c>
      <c r="K24" s="7">
        <v>0.15526060737878999</v>
      </c>
      <c r="L24" s="13">
        <v>1.0696812143465999</v>
      </c>
      <c r="M24" s="7">
        <v>2.2506935861039699</v>
      </c>
      <c r="N24" s="12">
        <v>1.76268121274694</v>
      </c>
      <c r="O24" s="10">
        <f t="shared" si="11"/>
        <v>0.96187903954085074</v>
      </c>
      <c r="P24" s="22">
        <f t="shared" si="9"/>
        <v>0.39792839837240418</v>
      </c>
      <c r="Q24" s="22">
        <f t="shared" si="12"/>
        <v>0.54842722191614657</v>
      </c>
      <c r="R24" s="22">
        <f t="shared" si="10"/>
        <v>0.10017623083626893</v>
      </c>
      <c r="S24" s="22">
        <f t="shared" si="13"/>
        <v>0.11038713054107493</v>
      </c>
    </row>
    <row r="25" spans="1:22" ht="15">
      <c r="A25" t="s">
        <v>49</v>
      </c>
      <c r="B25" t="s">
        <v>17</v>
      </c>
      <c r="C25" s="17">
        <v>0.220851599120088</v>
      </c>
      <c r="D25" s="16">
        <v>2.0933601841859302</v>
      </c>
      <c r="H25" s="2"/>
      <c r="I25">
        <v>0.243153681354499</v>
      </c>
      <c r="J25" s="11">
        <v>0.63337517213415795</v>
      </c>
      <c r="K25">
        <v>6.8622264216601295E-2</v>
      </c>
      <c r="L25" s="14">
        <v>1.03977920992837</v>
      </c>
      <c r="M25">
        <v>1.9921458714800899</v>
      </c>
      <c r="N25" s="11">
        <v>1.9300144054966599</v>
      </c>
      <c r="O25" s="20">
        <f>($U$25*$U$3*N25^$U$1+$U$2*J25*K25*N25)^(-1)</f>
        <v>0.91357898665076054</v>
      </c>
      <c r="P25" s="23">
        <f>((1-$U$26)*(1-0)*(1-$U$1)*D25/L25-K25)/(1+$U$6)</f>
        <v>0.40380920888854988</v>
      </c>
      <c r="Q25" s="23">
        <f>$U$6/(1+$U$6)*(1-$U$2)*(1-$W$1+$U$1*D25)*((1-$U$26)*(1-0)*(1-$U$1)*D25/L25-K25)</f>
        <v>0.5362157100552073</v>
      </c>
      <c r="R25" s="23">
        <f>(1-$U$26)*I25*(1-$U$1)*D25/L25</f>
        <v>0.2318437394036508</v>
      </c>
      <c r="S25" s="23">
        <f>1/(M25*(1-J25))*($U$26*(1-$U$1)*D25+$U$2*($U$1*D25+M25*J25*K25)-N25^(-1))</f>
        <v>0.10354395708936895</v>
      </c>
      <c r="T25" s="18" t="s">
        <v>66</v>
      </c>
      <c r="U25" s="18">
        <f>$U$1*$U$2+(1-$U$1)*U26</f>
        <v>0.27155600000000002</v>
      </c>
    </row>
    <row r="26" spans="1:22" ht="15">
      <c r="A26" t="s">
        <v>56</v>
      </c>
      <c r="B26" t="s">
        <v>24</v>
      </c>
      <c r="C26" s="17">
        <v>0.23998294002266499</v>
      </c>
      <c r="D26" s="16">
        <v>2.1499539619335502</v>
      </c>
      <c r="H26" s="2"/>
      <c r="I26">
        <v>0.201982114986962</v>
      </c>
      <c r="J26" s="11">
        <v>0.64432596900808503</v>
      </c>
      <c r="K26">
        <v>7.7731730924818401E-2</v>
      </c>
      <c r="L26" s="14">
        <v>1.05308290436087</v>
      </c>
      <c r="M26">
        <v>2.0706020392396902</v>
      </c>
      <c r="N26" s="11">
        <v>1.8749086274820701</v>
      </c>
      <c r="O26" s="20">
        <f>($U$25*$U$3*N26^$U$1+$U$2*J26*K26*N26)^(-1)</f>
        <v>0.92045328644901281</v>
      </c>
      <c r="P26" s="23">
        <f>((1-$U$26)*(1-0)*(1-$U$1)*D26/L26-K26)/(1+$U$6)</f>
        <v>0.4057700651267605</v>
      </c>
      <c r="Q26" s="23">
        <f>$U$6/(1+$U$6)*(1-$U$2)*(1-$W$1+$U$1*D26)*((1-$U$26)*(1-0)*(1-$U$1)*D26/L26-K26)</f>
        <v>0.54579126530511102</v>
      </c>
      <c r="R26" s="23">
        <f>(1-$U$26)*I26*(1-$U$1)*D26/L26</f>
        <v>0.19529503704762027</v>
      </c>
      <c r="S26" s="23">
        <f>1/(M26*(1-J26))*($U$26*(1-$U$1)*D26+$U$2*($U$1*D26+M26*J26*K26)-N26^(-1))</f>
        <v>0.10966778388993585</v>
      </c>
      <c r="T26" s="18" t="s">
        <v>63</v>
      </c>
      <c r="U26" s="18">
        <v>0.26</v>
      </c>
    </row>
    <row r="27" spans="1:22" s="7" customFormat="1" ht="15">
      <c r="A27" s="7" t="s">
        <v>42</v>
      </c>
      <c r="B27" s="7" t="s">
        <v>10</v>
      </c>
      <c r="C27" s="15">
        <v>0.25350590538834</v>
      </c>
      <c r="D27" s="12">
        <v>2.39660028857634</v>
      </c>
      <c r="E27" s="12"/>
      <c r="H27" s="9"/>
      <c r="I27" s="7">
        <v>0.17369235907906599</v>
      </c>
      <c r="J27" s="12">
        <v>0.62166503628821002</v>
      </c>
      <c r="K27" s="7">
        <v>0.12068220489102199</v>
      </c>
      <c r="L27" s="13">
        <v>1.06654759379661</v>
      </c>
      <c r="M27" s="7">
        <v>2.1583687363644</v>
      </c>
      <c r="N27" s="12">
        <v>1.60250802016218</v>
      </c>
      <c r="O27" s="10">
        <f>(U27*$U$3*N27^$U$1+$U$2*J27*K27*N27)^(-1)</f>
        <v>0.9232817592539887</v>
      </c>
      <c r="P27" s="22">
        <f>((1-$U$28)*(1-0)*(1-$U$1)*D27/L27-K27)/(1+$U$6)</f>
        <v>0.41745436259083024</v>
      </c>
      <c r="Q27" s="22">
        <f>$U$6/(1+$U$6)*(1-$U$2)*(1-$W$1+$U$1*D27)*((1-$U$28)*(1-0)*(1-$U$1)*D27/L27-K27)</f>
        <v>0.5927666308225662</v>
      </c>
      <c r="R27" s="22">
        <f>(1-$U$28)*I27*(1-$U$1)*D27/L27</f>
        <v>0.17984921692429889</v>
      </c>
      <c r="S27" s="22">
        <f>1/(M27*(1-J27))*($U$28*(1-$U$1)*D27+$U$2*($U$1*D27+M27*J27*K27)-N27^(-1))</f>
        <v>0.12829674222457874</v>
      </c>
      <c r="T27" s="18" t="s">
        <v>66</v>
      </c>
      <c r="U27" s="18">
        <f>$U$1*$U$2+(1-$U$1)*U28</f>
        <v>0.28435600000000005</v>
      </c>
    </row>
    <row r="28" spans="1:22" ht="15">
      <c r="T28" s="18" t="s">
        <v>63</v>
      </c>
      <c r="U28" s="18">
        <v>0.28000000000000003</v>
      </c>
    </row>
  </sheetData>
  <phoneticPr fontId="18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5" zoomScaleNormal="85" workbookViewId="0">
      <pane xSplit="2" topLeftCell="C1" activePane="topRight" state="frozen"/>
      <selection pane="topRight" activeCell="E1" sqref="E1:E1048576"/>
    </sheetView>
  </sheetViews>
  <sheetFormatPr defaultRowHeight="14.25"/>
  <cols>
    <col min="1" max="1" width="14.25" bestFit="1" customWidth="1"/>
    <col min="3" max="3" width="14.875" bestFit="1" customWidth="1"/>
    <col min="4" max="4" width="9" style="16"/>
    <col min="6" max="6" width="10.5" bestFit="1" customWidth="1"/>
    <col min="7" max="7" width="10.5" customWidth="1"/>
    <col min="8" max="8" width="9" style="11"/>
    <col min="9" max="9" width="9" customWidth="1"/>
    <col min="10" max="10" width="9" style="11" customWidth="1"/>
    <col min="11" max="11" width="6" style="6" bestFit="1" customWidth="1"/>
    <col min="12" max="12" width="9" style="11"/>
  </cols>
  <sheetData>
    <row r="1" spans="1:19">
      <c r="C1" s="11" t="s">
        <v>26</v>
      </c>
      <c r="D1" s="25" t="s">
        <v>27</v>
      </c>
      <c r="E1" s="26" t="s">
        <v>29</v>
      </c>
      <c r="F1" s="26" t="s">
        <v>31</v>
      </c>
      <c r="G1" s="26" t="s">
        <v>59</v>
      </c>
      <c r="H1" s="26" t="s">
        <v>60</v>
      </c>
      <c r="I1" s="26" t="s">
        <v>30</v>
      </c>
      <c r="J1" s="26" t="s">
        <v>72</v>
      </c>
      <c r="K1" s="27" t="s">
        <v>58</v>
      </c>
      <c r="L1" s="26" t="s">
        <v>61</v>
      </c>
      <c r="M1" s="26" t="s">
        <v>62</v>
      </c>
      <c r="N1" s="16" t="s">
        <v>68</v>
      </c>
      <c r="O1" s="16" t="s">
        <v>69</v>
      </c>
      <c r="P1" s="16" t="s">
        <v>70</v>
      </c>
      <c r="Q1" s="16" t="s">
        <v>71</v>
      </c>
    </row>
    <row r="2" spans="1:19" s="7" customFormat="1">
      <c r="A2" s="7" t="s">
        <v>33</v>
      </c>
      <c r="B2" s="7" t="s">
        <v>1</v>
      </c>
      <c r="C2" s="15">
        <f>(benchmark!C2-social_planner!C2+1)^(1/4)-1</f>
        <v>-3.7434542173920393E-2</v>
      </c>
      <c r="D2" s="12"/>
      <c r="F2" s="9"/>
      <c r="H2" s="13">
        <f>benchmark!J2-social_planner!J2</f>
        <v>-0.11011056699354393</v>
      </c>
      <c r="J2" s="13"/>
      <c r="L2" s="12"/>
      <c r="M2" s="10"/>
      <c r="N2" s="15">
        <f>benchmark!V2/social_planner!P2-1</f>
        <v>-0.28222570653859014</v>
      </c>
      <c r="O2" s="15">
        <f>benchmark!W2/social_planner!Q2-1</f>
        <v>-0.3783891847823998</v>
      </c>
      <c r="P2" s="15">
        <f>benchmark!X2/social_planner!R2-1</f>
        <v>-0.25823345690860866</v>
      </c>
      <c r="Q2" s="15">
        <f>benchmark!Y2/social_planner!S2-1</f>
        <v>9.273737930219017E-2</v>
      </c>
      <c r="S2" s="52">
        <f>H2/social_planner!J2</f>
        <v>-0.16323686323485881</v>
      </c>
    </row>
    <row r="3" spans="1:19" s="7" customFormat="1">
      <c r="A3" s="7" t="s">
        <v>34</v>
      </c>
      <c r="B3" s="7" t="s">
        <v>2</v>
      </c>
      <c r="C3" s="15">
        <f>(benchmark!C3-social_planner!C3+1)^(1/4)-1</f>
        <v>-5.2698867688690254E-2</v>
      </c>
      <c r="D3" s="12"/>
      <c r="F3" s="9"/>
      <c r="H3" s="13">
        <f>benchmark!J3-social_planner!J3</f>
        <v>-0.12665758271431105</v>
      </c>
      <c r="J3" s="13"/>
      <c r="L3" s="12"/>
      <c r="M3" s="10"/>
      <c r="N3" s="15">
        <f>benchmark!V3/social_planner!P3-1</f>
        <v>-0.36176541781795646</v>
      </c>
      <c r="O3" s="15">
        <f>benchmark!W3/social_planner!Q3-1</f>
        <v>-0.4763400406227366</v>
      </c>
      <c r="P3" s="15">
        <f>benchmark!X3/social_planner!R3-1</f>
        <v>-0.31319933202738348</v>
      </c>
      <c r="Q3" s="15">
        <f>benchmark!Y3/social_planner!S3-1</f>
        <v>5.1226565948323755E-2</v>
      </c>
      <c r="S3" s="52">
        <f>H3/social_planner!J3</f>
        <v>-0.18000163284014703</v>
      </c>
    </row>
    <row r="4" spans="1:19" s="7" customFormat="1">
      <c r="A4" s="7" t="s">
        <v>36</v>
      </c>
      <c r="B4" s="7" t="s">
        <v>4</v>
      </c>
      <c r="C4" s="15">
        <f>(benchmark!C4-social_planner!C4+1)^(1/4)-1</f>
        <v>-2.4623505196962547E-2</v>
      </c>
      <c r="D4" s="12"/>
      <c r="F4" s="9"/>
      <c r="H4" s="13">
        <f>benchmark!J4-social_planner!J4</f>
        <v>-9.4385322665213933E-2</v>
      </c>
      <c r="J4" s="13"/>
      <c r="L4" s="12"/>
      <c r="M4" s="10"/>
      <c r="N4" s="15">
        <f>benchmark!V4/social_planner!P4-1</f>
        <v>-0.1899907268316462</v>
      </c>
      <c r="O4" s="15">
        <f>benchmark!W4/social_planner!Q4-1</f>
        <v>-0.25883394531639037</v>
      </c>
      <c r="P4" s="15">
        <f>benchmark!X4/social_planner!R4-1</f>
        <v>-0.18572592538742827</v>
      </c>
      <c r="Q4" s="15">
        <f>benchmark!Y4/social_planner!S4-1</f>
        <v>0.22274270137121777</v>
      </c>
      <c r="S4" s="52">
        <f>H4/social_planner!J4</f>
        <v>-0.13704132089421883</v>
      </c>
    </row>
    <row r="5" spans="1:19" s="7" customFormat="1">
      <c r="A5" s="7" t="s">
        <v>38</v>
      </c>
      <c r="B5" s="7" t="s">
        <v>6</v>
      </c>
      <c r="C5" s="15">
        <f>(benchmark!C5-social_planner!C5+1)^(1/4)-1</f>
        <v>-4.3692004953258312E-2</v>
      </c>
      <c r="D5" s="12"/>
      <c r="F5" s="9"/>
      <c r="H5" s="13">
        <f>benchmark!J5-social_planner!J5</f>
        <v>-0.11156291817084496</v>
      </c>
      <c r="J5" s="13"/>
      <c r="L5" s="12"/>
      <c r="M5" s="10"/>
      <c r="N5" s="15">
        <f>benchmark!V5/social_planner!P5-1</f>
        <v>-0.31162991065937662</v>
      </c>
      <c r="O5" s="15">
        <f>benchmark!W5/social_planner!Q5-1</f>
        <v>-0.41635329293808743</v>
      </c>
      <c r="P5" s="15">
        <f>benchmark!X5/social_planner!R5-1</f>
        <v>-0.27733193735899253</v>
      </c>
      <c r="Q5" s="15">
        <f>benchmark!Y5/social_planner!S5-1</f>
        <v>9.3887544172416959E-2</v>
      </c>
      <c r="S5" s="52">
        <f>H5/social_planner!J5</f>
        <v>-0.15874595421281976</v>
      </c>
    </row>
    <row r="6" spans="1:19" s="7" customFormat="1">
      <c r="A6" s="7" t="s">
        <v>39</v>
      </c>
      <c r="B6" s="7" t="s">
        <v>7</v>
      </c>
      <c r="C6" s="15">
        <f>(benchmark!C6-social_planner!C6+1)^(1/4)-1</f>
        <v>-2.9601978156592268E-2</v>
      </c>
      <c r="D6" s="12"/>
      <c r="F6" s="9"/>
      <c r="H6" s="13">
        <f>benchmark!J6-social_planner!J6</f>
        <v>-0.11637054589477791</v>
      </c>
      <c r="J6" s="13"/>
      <c r="L6" s="12"/>
      <c r="M6" s="10"/>
      <c r="N6" s="15">
        <f>benchmark!V6/social_planner!P6-1</f>
        <v>-0.2333093043262463</v>
      </c>
      <c r="O6" s="15">
        <f>benchmark!W6/social_planner!Q6-1</f>
        <v>-0.31234603168772734</v>
      </c>
      <c r="P6" s="15">
        <f>benchmark!X6/social_planner!R6-1</f>
        <v>-0.22867829853191479</v>
      </c>
      <c r="Q6" s="15">
        <f>benchmark!Y6/social_planner!S6-1</f>
        <v>0.21778571365358701</v>
      </c>
      <c r="S6" s="52">
        <f>H6/social_planner!J6</f>
        <v>-0.17285539239962552</v>
      </c>
    </row>
    <row r="7" spans="1:19" s="7" customFormat="1">
      <c r="A7" s="7" t="s">
        <v>40</v>
      </c>
      <c r="B7" s="7" t="s">
        <v>8</v>
      </c>
      <c r="C7" s="15">
        <f>(benchmark!C7-social_planner!C7+1)^(1/4)-1</f>
        <v>-4.1854967655885145E-2</v>
      </c>
      <c r="D7" s="12"/>
      <c r="F7" s="9"/>
      <c r="H7" s="13">
        <f>benchmark!J7-social_planner!J7</f>
        <v>-0.11634329463566206</v>
      </c>
      <c r="J7" s="13"/>
      <c r="L7" s="12"/>
      <c r="M7" s="10"/>
      <c r="N7" s="15">
        <f>benchmark!V7/social_planner!P7-1</f>
        <v>-0.31036252720498636</v>
      </c>
      <c r="O7" s="15">
        <f>benchmark!W7/social_planner!Q7-1</f>
        <v>-0.41346426692646943</v>
      </c>
      <c r="P7" s="15">
        <f>benchmark!X7/social_planner!R7-1</f>
        <v>-0.27600613455888034</v>
      </c>
      <c r="Q7" s="15">
        <f>benchmark!Y7/social_planner!S7-1</f>
        <v>4.5547259076727409E-2</v>
      </c>
      <c r="S7" s="52">
        <f>H7/social_planner!J7</f>
        <v>-0.17441291918616347</v>
      </c>
    </row>
    <row r="8" spans="1:19" s="7" customFormat="1">
      <c r="A8" s="7" t="s">
        <v>43</v>
      </c>
      <c r="B8" s="7" t="s">
        <v>11</v>
      </c>
      <c r="C8" s="15">
        <f>(benchmark!C8-social_planner!C8+1)^(1/4)-1</f>
        <v>-5.064926514054624E-2</v>
      </c>
      <c r="D8" s="12"/>
      <c r="F8" s="9"/>
      <c r="H8" s="13">
        <f>benchmark!J8-social_planner!J8</f>
        <v>-0.11422754962147597</v>
      </c>
      <c r="J8" s="13"/>
      <c r="L8" s="12"/>
      <c r="M8" s="10"/>
      <c r="N8" s="15">
        <f>benchmark!V8/social_planner!P8-1</f>
        <v>-0.3433396998984215</v>
      </c>
      <c r="O8" s="15">
        <f>benchmark!W8/social_planner!Q8-1</f>
        <v>-0.45460163445563573</v>
      </c>
      <c r="P8" s="15">
        <f>benchmark!X8/social_planner!R8-1</f>
        <v>-0.3035716020805308</v>
      </c>
      <c r="Q8" s="15">
        <f>benchmark!Y8/social_planner!S8-1</f>
        <v>0.18904786760917491</v>
      </c>
      <c r="S8" s="52">
        <f>H8/social_planner!J8</f>
        <v>-0.15205806294182911</v>
      </c>
    </row>
    <row r="9" spans="1:19" s="7" customFormat="1">
      <c r="A9" s="7" t="s">
        <v>44</v>
      </c>
      <c r="B9" s="7" t="s">
        <v>12</v>
      </c>
      <c r="C9" s="15">
        <f>(benchmark!C9-social_planner!C9+1)^(1/4)-1</f>
        <v>-4.0696494307982833E-2</v>
      </c>
      <c r="D9" s="12"/>
      <c r="F9" s="9"/>
      <c r="H9" s="13">
        <f>benchmark!J9-social_planner!J9</f>
        <v>-0.11568869589673303</v>
      </c>
      <c r="J9" s="13"/>
      <c r="L9" s="12"/>
      <c r="M9" s="10"/>
      <c r="N9" s="15">
        <f>benchmark!V9/social_planner!P9-1</f>
        <v>-0.30710278823318549</v>
      </c>
      <c r="O9" s="15">
        <f>benchmark!W9/social_planner!Q9-1</f>
        <v>-0.41004170359923964</v>
      </c>
      <c r="P9" s="15">
        <f>benchmark!X9/social_planner!R9-1</f>
        <v>-0.26342045531760394</v>
      </c>
      <c r="Q9" s="15">
        <f>benchmark!Y9/social_planner!S9-1</f>
        <v>5.2868340077112386E-3</v>
      </c>
      <c r="S9" s="52">
        <f>H9/social_planner!J9</f>
        <v>-0.18186721125993313</v>
      </c>
    </row>
    <row r="10" spans="1:19" s="7" customFormat="1">
      <c r="A10" s="7" t="s">
        <v>45</v>
      </c>
      <c r="B10" s="7" t="s">
        <v>13</v>
      </c>
      <c r="C10" s="15">
        <f>(benchmark!C10-social_planner!C10+1)^(1/4)-1</f>
        <v>-3.0239723238668859E-2</v>
      </c>
      <c r="D10" s="12"/>
      <c r="F10" s="9"/>
      <c r="H10" s="13">
        <f>benchmark!J10-social_planner!J10</f>
        <v>-0.10611749462664799</v>
      </c>
      <c r="J10" s="13"/>
      <c r="L10" s="12"/>
      <c r="M10" s="10"/>
      <c r="N10" s="15">
        <f>benchmark!V10/social_planner!P10-1</f>
        <v>-0.23256008155610963</v>
      </c>
      <c r="O10" s="15">
        <f>benchmark!W10/social_planner!Q10-1</f>
        <v>-0.3139563017621565</v>
      </c>
      <c r="P10" s="15">
        <f>benchmark!X10/social_planner!R10-1</f>
        <v>-0.22523438143255514</v>
      </c>
      <c r="Q10" s="15">
        <f>benchmark!Y10/social_planner!S10-1</f>
        <v>0.19792997414858582</v>
      </c>
      <c r="S10" s="52">
        <f>H10/social_planner!J10</f>
        <v>-0.15401350704242867</v>
      </c>
    </row>
    <row r="11" spans="1:19" s="7" customFormat="1">
      <c r="A11" s="7" t="s">
        <v>47</v>
      </c>
      <c r="B11" s="7" t="s">
        <v>15</v>
      </c>
      <c r="C11" s="15">
        <f>(benchmark!C11-social_planner!C11+1)^(1/4)-1</f>
        <v>-3.482759505628108E-2</v>
      </c>
      <c r="D11" s="12"/>
      <c r="F11" s="9"/>
      <c r="H11" s="13">
        <f>benchmark!J11-social_planner!J11</f>
        <v>-0.10288963249836602</v>
      </c>
      <c r="J11" s="13"/>
      <c r="L11" s="12"/>
      <c r="M11" s="10"/>
      <c r="N11" s="15">
        <f>benchmark!V11/social_planner!P11-1</f>
        <v>-0.26252653886149202</v>
      </c>
      <c r="O11" s="15">
        <f>benchmark!W11/social_planner!Q11-1</f>
        <v>-0.35452463553088365</v>
      </c>
      <c r="P11" s="15">
        <f>benchmark!X11/social_planner!R11-1</f>
        <v>-0.24007210653747479</v>
      </c>
      <c r="Q11" s="15">
        <f>benchmark!Y11/social_planner!S11-1</f>
        <v>0.10956190837319602</v>
      </c>
      <c r="S11" s="52">
        <f>H11/social_planner!J11</f>
        <v>-0.15175778413338464</v>
      </c>
    </row>
    <row r="12" spans="1:19" s="7" customFormat="1">
      <c r="A12" s="7" t="s">
        <v>50</v>
      </c>
      <c r="B12" s="7" t="s">
        <v>18</v>
      </c>
      <c r="C12" s="15">
        <f>(benchmark!C12-social_planner!C12+1)^(1/4)-1</f>
        <v>-4.217689623576637E-2</v>
      </c>
      <c r="D12" s="12"/>
      <c r="F12" s="9"/>
      <c r="H12" s="13">
        <f>benchmark!J12-social_planner!J12</f>
        <v>-0.11668415660571096</v>
      </c>
      <c r="J12" s="13"/>
      <c r="L12" s="12"/>
      <c r="M12" s="10"/>
      <c r="N12" s="15">
        <f>benchmark!V12/social_planner!P12-1</f>
        <v>-0.31270320664409346</v>
      </c>
      <c r="O12" s="15">
        <f>benchmark!W12/social_planner!Q12-1</f>
        <v>-0.41666677484512837</v>
      </c>
      <c r="P12" s="15">
        <f>benchmark!X12/social_planner!R12-1</f>
        <v>-0.2741131807922409</v>
      </c>
      <c r="Q12" s="15">
        <f>benchmark!Y12/social_planner!S12-1</f>
        <v>2.9370043868857776E-2</v>
      </c>
      <c r="S12" s="52">
        <f>H12/social_planner!J12</f>
        <v>-0.17709796856434676</v>
      </c>
    </row>
    <row r="13" spans="1:19" s="7" customFormat="1">
      <c r="A13" s="7" t="s">
        <v>51</v>
      </c>
      <c r="B13" s="7" t="s">
        <v>19</v>
      </c>
      <c r="C13" s="15">
        <f>(benchmark!C13-social_planner!C13+1)^(1/4)-1</f>
        <v>-2.6392751896638256E-2</v>
      </c>
      <c r="D13" s="12"/>
      <c r="F13" s="9"/>
      <c r="H13" s="13">
        <f>benchmark!J13-social_planner!J13</f>
        <v>-0.11350691248048406</v>
      </c>
      <c r="J13" s="13"/>
      <c r="L13" s="12"/>
      <c r="M13" s="10"/>
      <c r="N13" s="15">
        <f>benchmark!V13/social_planner!P13-1</f>
        <v>-0.20927230889806503</v>
      </c>
      <c r="O13" s="15">
        <f>benchmark!W13/social_planner!Q13-1</f>
        <v>-0.280463557085468</v>
      </c>
      <c r="P13" s="15">
        <f>benchmark!X13/social_planner!R13-1</f>
        <v>-0.20674536207659799</v>
      </c>
      <c r="Q13" s="15">
        <f>benchmark!Y13/social_planner!S13-1</f>
        <v>0.24507232646102661</v>
      </c>
      <c r="S13" s="52">
        <f>H13/social_planner!J13</f>
        <v>-0.16990737324106045</v>
      </c>
    </row>
    <row r="14" spans="1:19" s="7" customFormat="1">
      <c r="A14" s="7" t="s">
        <v>57</v>
      </c>
      <c r="B14" s="7" t="s">
        <v>25</v>
      </c>
      <c r="C14" s="15">
        <f>(benchmark!C14-social_planner!C14+1)^(1/4)-1</f>
        <v>-5.2543981796387973E-2</v>
      </c>
      <c r="D14" s="12"/>
      <c r="F14" s="9"/>
      <c r="H14" s="13">
        <f>benchmark!J14-social_planner!J14</f>
        <v>-0.1243249437883861</v>
      </c>
      <c r="J14" s="13"/>
      <c r="L14" s="12"/>
      <c r="M14" s="10"/>
      <c r="N14" s="15">
        <f>benchmark!V14/social_planner!P14-1</f>
        <v>-0.35718451463296408</v>
      </c>
      <c r="O14" s="15">
        <f>benchmark!W14/social_planner!Q14-1</f>
        <v>-0.4715089955694387</v>
      </c>
      <c r="P14" s="15">
        <f>benchmark!X14/social_planner!R14-1</f>
        <v>-0.30886720620509844</v>
      </c>
      <c r="Q14" s="15">
        <f>benchmark!Y14/social_planner!S14-1</f>
        <v>8.460625320437809E-2</v>
      </c>
      <c r="S14" s="52">
        <f>H14/social_planner!J14</f>
        <v>-0.17435263300994333</v>
      </c>
    </row>
    <row r="15" spans="1:19">
      <c r="A15" t="s">
        <v>35</v>
      </c>
      <c r="B15" t="s">
        <v>3</v>
      </c>
      <c r="C15" s="24">
        <f>(benchmark!C15-social_planner!C15+1)^(1/4)-1</f>
        <v>-2.6892430969629677E-2</v>
      </c>
      <c r="D15" s="28"/>
      <c r="E15" s="29"/>
      <c r="F15" s="5"/>
      <c r="G15" s="29"/>
      <c r="H15" s="13">
        <f>benchmark!J15-social_planner!J15</f>
        <v>-7.7780247785426027E-2</v>
      </c>
      <c r="I15" s="29"/>
      <c r="J15" s="31"/>
      <c r="K15" s="29"/>
      <c r="L15" s="30"/>
      <c r="M15" s="32"/>
      <c r="N15" s="24">
        <f>benchmark!V15/social_planner!P15-1</f>
        <v>-0.23508736908005468</v>
      </c>
      <c r="O15" s="24">
        <f>benchmark!W15/social_planner!Q15-1</f>
        <v>-0.31222627685965376</v>
      </c>
      <c r="P15" s="24">
        <f>benchmark!X15/social_planner!R15-1</f>
        <v>-0.2093166243113328</v>
      </c>
      <c r="Q15" s="24">
        <f>benchmark!Y15/social_planner!S15-1</f>
        <v>0.306835404287225</v>
      </c>
      <c r="R15" s="29"/>
      <c r="S15" s="52">
        <f>H15/social_planner!J15</f>
        <v>-0.10153370431237896</v>
      </c>
    </row>
    <row r="16" spans="1:19">
      <c r="A16" t="s">
        <v>48</v>
      </c>
      <c r="B16" t="s">
        <v>16</v>
      </c>
      <c r="C16" s="24">
        <f>(benchmark!C16-social_planner!C16+1)^(1/4)-1</f>
        <v>-8.701971516049567E-3</v>
      </c>
      <c r="D16" s="28"/>
      <c r="E16" s="29"/>
      <c r="F16" s="5"/>
      <c r="G16" s="29"/>
      <c r="H16" s="13">
        <f>benchmark!J16-social_planner!J16</f>
        <v>-4.6338517126446988E-2</v>
      </c>
      <c r="I16" s="29"/>
      <c r="J16" s="31"/>
      <c r="K16" s="29"/>
      <c r="L16" s="30"/>
      <c r="M16" s="32"/>
      <c r="N16" s="24">
        <f>benchmark!V16/social_planner!P16-1</f>
        <v>-8.6143806021799274E-2</v>
      </c>
      <c r="O16" s="24">
        <f>benchmark!W16/social_planner!Q16-1</f>
        <v>-0.1152790134846633</v>
      </c>
      <c r="P16" s="24">
        <f>benchmark!X16/social_planner!R16-1</f>
        <v>-8.2100313206863618E-2</v>
      </c>
      <c r="Q16" s="24">
        <f>benchmark!Y16/social_planner!S16-1</f>
        <v>0.14288512062635639</v>
      </c>
      <c r="R16" s="29"/>
      <c r="S16" s="52">
        <f>H16/social_planner!J16</f>
        <v>-6.9625341841294708E-2</v>
      </c>
    </row>
    <row r="17" spans="1:19">
      <c r="A17" t="s">
        <v>52</v>
      </c>
      <c r="B17" t="s">
        <v>20</v>
      </c>
      <c r="C17" s="24">
        <f>(benchmark!C17-social_planner!C17+1)^(1/4)-1</f>
        <v>-1.6480165651963197E-2</v>
      </c>
      <c r="D17" s="28"/>
      <c r="E17" s="29"/>
      <c r="F17" s="5"/>
      <c r="G17" s="29"/>
      <c r="H17" s="13">
        <f>benchmark!J17-social_planner!J17</f>
        <v>-6.4908237732968943E-2</v>
      </c>
      <c r="I17" s="29"/>
      <c r="J17" s="31"/>
      <c r="K17" s="29"/>
      <c r="L17" s="30"/>
      <c r="M17" s="32"/>
      <c r="N17" s="24">
        <f>benchmark!V17/social_planner!P17-1</f>
        <v>-0.15779198113240012</v>
      </c>
      <c r="O17" s="24">
        <f>benchmark!W17/social_planner!Q17-1</f>
        <v>-0.21201422165097794</v>
      </c>
      <c r="P17" s="24">
        <f>benchmark!X17/social_planner!R17-1</f>
        <v>-0.1432352891748595</v>
      </c>
      <c r="Q17" s="24">
        <f>benchmark!Y17/social_planner!S17-1</f>
        <v>0.156581127083812</v>
      </c>
      <c r="R17" s="29"/>
      <c r="S17" s="52">
        <f>H17/social_planner!J17</f>
        <v>-9.4974503906866833E-2</v>
      </c>
    </row>
    <row r="18" spans="1:19">
      <c r="A18" t="s">
        <v>54</v>
      </c>
      <c r="B18" t="s">
        <v>22</v>
      </c>
      <c r="C18" s="24">
        <f>(benchmark!C18-social_planner!C18+1)^(1/4)-1</f>
        <v>-1.7147559883358032E-2</v>
      </c>
      <c r="D18" s="28"/>
      <c r="E18" s="29"/>
      <c r="F18" s="5"/>
      <c r="G18" s="29"/>
      <c r="H18" s="13">
        <f>benchmark!J18-social_planner!J18</f>
        <v>-6.8490448795332948E-2</v>
      </c>
      <c r="I18" s="29"/>
      <c r="J18" s="31"/>
      <c r="K18" s="29"/>
      <c r="L18" s="30"/>
      <c r="M18" s="32"/>
      <c r="N18" s="24">
        <f>benchmark!V18/social_planner!P18-1</f>
        <v>-0.16118298240105333</v>
      </c>
      <c r="O18" s="24">
        <f>benchmark!W18/social_planner!Q18-1</f>
        <v>-0.21608056368451123</v>
      </c>
      <c r="P18" s="24">
        <f>benchmark!X18/social_planner!R18-1</f>
        <v>-0.15070366583146588</v>
      </c>
      <c r="Q18" s="24">
        <f>benchmark!Y18/social_planner!S18-1</f>
        <v>0.19830235697073828</v>
      </c>
      <c r="R18" s="29"/>
      <c r="S18" s="52">
        <f>H18/social_planner!J18</f>
        <v>-9.6707501202192861E-2</v>
      </c>
    </row>
    <row r="19" spans="1:19" s="7" customFormat="1">
      <c r="A19" s="7" t="s">
        <v>32</v>
      </c>
      <c r="B19" s="7" t="s">
        <v>0</v>
      </c>
      <c r="C19" s="15">
        <f>(benchmark!C19-social_planner!C19+1)^(1/4)-1</f>
        <v>-4.2661134763911202E-2</v>
      </c>
      <c r="D19" s="12"/>
      <c r="F19" s="9"/>
      <c r="H19" s="13">
        <f>benchmark!J19-social_planner!J19</f>
        <v>-0.11625816911171705</v>
      </c>
      <c r="J19" s="13"/>
      <c r="L19" s="12"/>
      <c r="M19" s="10"/>
      <c r="N19" s="15">
        <f>benchmark!V19/social_planner!P19-1</f>
        <v>-0.30546452648186473</v>
      </c>
      <c r="O19" s="15">
        <f>benchmark!W19/social_planner!Q19-1</f>
        <v>-0.410753267698314</v>
      </c>
      <c r="P19" s="15">
        <f>benchmark!X19/social_planner!R19-1</f>
        <v>-0.27284935095921892</v>
      </c>
      <c r="Q19" s="15">
        <f>benchmark!Y19/social_planner!S19-1</f>
        <v>3.5858906809875801E-2</v>
      </c>
      <c r="S19" s="52">
        <f>H19/social_planner!J19</f>
        <v>-0.17637844161340013</v>
      </c>
    </row>
    <row r="20" spans="1:19" s="7" customFormat="1">
      <c r="A20" s="7" t="s">
        <v>37</v>
      </c>
      <c r="B20" s="7" t="s">
        <v>5</v>
      </c>
      <c r="C20" s="15">
        <f>(benchmark!C20-social_planner!C20+1)^(1/4)-1</f>
        <v>-5.023359739111477E-2</v>
      </c>
      <c r="D20" s="12"/>
      <c r="F20" s="9"/>
      <c r="H20" s="43">
        <f>benchmark!J20-social_planner!J20</f>
        <v>-0.12481542623979092</v>
      </c>
      <c r="J20" s="13"/>
      <c r="L20" s="12"/>
      <c r="M20" s="10"/>
      <c r="N20" s="15">
        <f>benchmark!V20/social_planner!P20-1</f>
        <v>-0.34296800992632226</v>
      </c>
      <c r="O20" s="15">
        <f>benchmark!W20/social_planner!Q20-1</f>
        <v>-0.4578321515485182</v>
      </c>
      <c r="P20" s="15">
        <f>benchmark!X20/social_planner!R20-1</f>
        <v>-0.29295724744137752</v>
      </c>
      <c r="Q20" s="45">
        <f>benchmark!Y20/social_planner!S20-1</f>
        <v>-6.0253312648465007E-3</v>
      </c>
      <c r="S20" s="52">
        <f>H20/social_planner!J20</f>
        <v>-0.18839781825177282</v>
      </c>
    </row>
    <row r="21" spans="1:19" s="7" customFormat="1">
      <c r="A21" s="7" t="s">
        <v>41</v>
      </c>
      <c r="B21" s="7" t="s">
        <v>9</v>
      </c>
      <c r="C21" s="15">
        <f>(benchmark!C21-social_planner!C21+1)^(1/4)-1</f>
        <v>-4.3653447007738322E-2</v>
      </c>
      <c r="D21" s="12"/>
      <c r="F21" s="9"/>
      <c r="H21" s="13">
        <f>benchmark!J21-social_planner!J21</f>
        <v>-0.11761708086289502</v>
      </c>
      <c r="J21" s="13"/>
      <c r="L21" s="12"/>
      <c r="M21" s="10"/>
      <c r="N21" s="15">
        <f>benchmark!V21/social_planner!P21-1</f>
        <v>-0.31112181093126434</v>
      </c>
      <c r="O21" s="15">
        <f>benchmark!W21/social_planner!Q21-1</f>
        <v>-0.41773072189661087</v>
      </c>
      <c r="P21" s="15">
        <f>benchmark!X21/social_planner!R21-1</f>
        <v>-0.27710652714905748</v>
      </c>
      <c r="Q21" s="15">
        <f>benchmark!Y21/social_planner!S21-1</f>
        <v>3.0170954758064195E-2</v>
      </c>
      <c r="S21" s="52">
        <f>H21/social_planner!J21</f>
        <v>-0.17818398964725859</v>
      </c>
    </row>
    <row r="22" spans="1:19" s="7" customFormat="1">
      <c r="A22" s="7" t="s">
        <v>46</v>
      </c>
      <c r="B22" s="7" t="s">
        <v>14</v>
      </c>
      <c r="C22" s="15">
        <f>(benchmark!C22-social_planner!C22+1)^(1/4)-1</f>
        <v>-3.889272447471992E-2</v>
      </c>
      <c r="D22" s="12"/>
      <c r="F22" s="9"/>
      <c r="H22" s="13">
        <f>benchmark!J22-social_planner!J22</f>
        <v>-0.11273973987046704</v>
      </c>
      <c r="J22" s="13"/>
      <c r="L22" s="12"/>
      <c r="M22" s="10"/>
      <c r="N22" s="15">
        <f>benchmark!V22/social_planner!P22-1</f>
        <v>-0.28679791166421043</v>
      </c>
      <c r="O22" s="15">
        <f>benchmark!W22/social_planner!Q22-1</f>
        <v>-0.38710571055402321</v>
      </c>
      <c r="P22" s="15">
        <f>benchmark!X22/social_planner!R22-1</f>
        <v>-0.25665930702723028</v>
      </c>
      <c r="Q22" s="15">
        <f>benchmark!Y22/social_planner!S22-1</f>
        <v>3.958575654208385E-2</v>
      </c>
      <c r="S22" s="52">
        <f>H22/social_planner!J22</f>
        <v>-0.17543497975751429</v>
      </c>
    </row>
    <row r="23" spans="1:19" s="7" customFormat="1">
      <c r="A23" s="7" t="s">
        <v>53</v>
      </c>
      <c r="B23" s="7" t="s">
        <v>21</v>
      </c>
      <c r="C23" s="15">
        <f>(benchmark!C23-social_planner!C23+1)^(1/4)-1</f>
        <v>-4.7149494827139038E-2</v>
      </c>
      <c r="D23" s="12"/>
      <c r="F23" s="9"/>
      <c r="H23" s="13">
        <f>benchmark!J23-social_planner!J23</f>
        <v>-0.11874168905808991</v>
      </c>
      <c r="J23" s="13"/>
      <c r="L23" s="12"/>
      <c r="M23" s="10"/>
      <c r="N23" s="15">
        <f>benchmark!V23/social_planner!P23-1</f>
        <v>-0.32559035152532945</v>
      </c>
      <c r="O23" s="15">
        <f>benchmark!W23/social_planner!Q23-1</f>
        <v>-0.43649005875179869</v>
      </c>
      <c r="P23" s="15">
        <f>benchmark!X23/social_planner!R23-1</f>
        <v>-0.28448439980404938</v>
      </c>
      <c r="Q23" s="15">
        <f>benchmark!Y23/social_planner!S23-1</f>
        <v>2.5369210289475141E-2</v>
      </c>
      <c r="S23" s="52">
        <f>H23/social_planner!J23</f>
        <v>-0.17653648190126067</v>
      </c>
    </row>
    <row r="24" spans="1:19" s="7" customFormat="1">
      <c r="A24" s="7" t="s">
        <v>55</v>
      </c>
      <c r="B24" s="7" t="s">
        <v>23</v>
      </c>
      <c r="C24" s="15">
        <f>(benchmark!C24-social_planner!C24+1)^(1/4)-1</f>
        <v>-4.0759197726091823E-2</v>
      </c>
      <c r="D24" s="12"/>
      <c r="F24" s="9"/>
      <c r="H24" s="13">
        <f>benchmark!J24-social_planner!J24</f>
        <v>-0.104851309789462</v>
      </c>
      <c r="J24" s="13"/>
      <c r="L24" s="12"/>
      <c r="M24" s="10"/>
      <c r="N24" s="15">
        <f>benchmark!V24/social_planner!P24-1</f>
        <v>-0.28403623602637307</v>
      </c>
      <c r="O24" s="15">
        <f>benchmark!W24/social_planner!Q24-1</f>
        <v>-0.38755296447512055</v>
      </c>
      <c r="P24" s="15">
        <f>benchmark!X24/social_planner!R24-1</f>
        <v>-0.2411059419379955</v>
      </c>
      <c r="Q24" s="15">
        <f>benchmark!Y24/social_planner!S24-1</f>
        <v>5.2340251496442836E-2</v>
      </c>
      <c r="S24" s="52">
        <f>H24/social_planner!J24</f>
        <v>-0.15895436846808322</v>
      </c>
    </row>
    <row r="25" spans="1:19">
      <c r="A25" t="s">
        <v>49</v>
      </c>
      <c r="B25" t="s">
        <v>17</v>
      </c>
      <c r="C25" s="24">
        <f>(benchmark!C25-social_planner!C25+1)^(1/4)-1</f>
        <v>-3.5788719193326379E-2</v>
      </c>
      <c r="D25" s="28"/>
      <c r="E25" s="29"/>
      <c r="F25" s="5"/>
      <c r="G25" s="29"/>
      <c r="H25" s="13">
        <f>benchmark!J25-social_planner!J25</f>
        <v>-0.11143557084959399</v>
      </c>
      <c r="I25" s="29"/>
      <c r="J25" s="31"/>
      <c r="K25" s="29"/>
      <c r="L25" s="30"/>
      <c r="M25" s="33"/>
      <c r="N25" s="24">
        <f>benchmark!V25/social_planner!P25-1</f>
        <v>-0.25789896412734714</v>
      </c>
      <c r="O25" s="24">
        <f>benchmark!W25/social_planner!Q25-1</f>
        <v>-0.35324048998190516</v>
      </c>
      <c r="P25" s="24">
        <f>benchmark!X25/social_planner!R25-1</f>
        <v>-0.23933801768015106</v>
      </c>
      <c r="Q25" s="24">
        <f>benchmark!Y25/social_planner!S25-1</f>
        <v>7.625953943442787E-2</v>
      </c>
      <c r="R25" s="29"/>
      <c r="S25" s="52">
        <f>H25/social_planner!J25</f>
        <v>-0.17593927857025368</v>
      </c>
    </row>
    <row r="26" spans="1:19">
      <c r="A26" t="s">
        <v>56</v>
      </c>
      <c r="B26" t="s">
        <v>24</v>
      </c>
      <c r="C26" s="24">
        <f>(benchmark!C26-social_planner!C26+1)^(1/4)-1</f>
        <v>-4.2077834252734481E-2</v>
      </c>
      <c r="D26" s="28"/>
      <c r="E26" s="29"/>
      <c r="F26" s="5"/>
      <c r="G26" s="29"/>
      <c r="H26" s="13">
        <f>benchmark!J26-social_planner!J26</f>
        <v>-0.11997599082324506</v>
      </c>
      <c r="I26" s="29"/>
      <c r="J26" s="31"/>
      <c r="K26" s="29"/>
      <c r="L26" s="30"/>
      <c r="M26" s="33"/>
      <c r="N26" s="24">
        <f>benchmark!V26/social_planner!P26-1</f>
        <v>-0.29491949142529938</v>
      </c>
      <c r="O26" s="24">
        <f>benchmark!W26/social_planner!Q26-1</f>
        <v>-0.40028269945757722</v>
      </c>
      <c r="P26" s="24">
        <f>benchmark!X26/social_planner!R26-1</f>
        <v>-0.27120992983746217</v>
      </c>
      <c r="Q26" s="24">
        <f>benchmark!Y26/social_planner!S26-1</f>
        <v>4.3288584918702133E-2</v>
      </c>
      <c r="R26" s="29"/>
      <c r="S26" s="52">
        <f>H26/social_planner!J26</f>
        <v>-0.18620387287500373</v>
      </c>
    </row>
    <row r="27" spans="1:19" s="7" customFormat="1">
      <c r="A27" s="7" t="s">
        <v>42</v>
      </c>
      <c r="B27" s="7" t="s">
        <v>10</v>
      </c>
      <c r="C27" s="15">
        <f>(benchmark!C27-social_planner!C27+1)^(1/4)-1</f>
        <v>-4.4396515742939457E-2</v>
      </c>
      <c r="D27" s="12"/>
      <c r="F27" s="9"/>
      <c r="H27" s="43">
        <f>benchmark!J27-social_planner!J27</f>
        <v>-0.117138855920629</v>
      </c>
      <c r="J27" s="13"/>
      <c r="L27" s="12"/>
      <c r="M27" s="10"/>
      <c r="N27" s="15">
        <f>benchmark!V27/social_planner!P27-1</f>
        <v>-0.2976110347354306</v>
      </c>
      <c r="O27" s="15">
        <f>benchmark!W27/social_planner!Q27-1</f>
        <v>-0.40879175214695773</v>
      </c>
      <c r="P27" s="15">
        <f>benchmark!X27/social_planner!R27-1</f>
        <v>-0.2629242193709973</v>
      </c>
      <c r="Q27" s="45">
        <f>benchmark!Y27/social_planner!S27-1</f>
        <v>-1.0823659634873639E-2</v>
      </c>
      <c r="S27" s="52">
        <f>H27/social_planner!J27</f>
        <v>-0.18842760825030905</v>
      </c>
    </row>
  </sheetData>
  <phoneticPr fontId="18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zoomScale="85" zoomScaleNormal="85" workbookViewId="0">
      <pane xSplit="2" topLeftCell="C1" activePane="topRight" state="frozen"/>
      <selection pane="topRight" activeCell="E1" sqref="E1:E1048576"/>
    </sheetView>
  </sheetViews>
  <sheetFormatPr defaultRowHeight="14.25"/>
  <cols>
    <col min="1" max="1" width="14.25" bestFit="1" customWidth="1"/>
    <col min="3" max="3" width="14.875" bestFit="1" customWidth="1"/>
    <col min="4" max="5" width="9" style="16"/>
    <col min="8" max="8" width="10.5" bestFit="1" customWidth="1"/>
    <col min="9" max="9" width="10.5" customWidth="1"/>
    <col min="10" max="10" width="9" style="11"/>
    <col min="11" max="11" width="9" customWidth="1"/>
    <col min="12" max="12" width="9" style="11" customWidth="1"/>
    <col min="13" max="13" width="6" style="6" bestFit="1" customWidth="1"/>
    <col min="14" max="14" width="9" style="11"/>
  </cols>
  <sheetData>
    <row r="1" spans="1:23">
      <c r="C1" s="11" t="s">
        <v>26</v>
      </c>
      <c r="D1" s="11" t="s">
        <v>27</v>
      </c>
      <c r="E1" s="11"/>
      <c r="F1" t="s">
        <v>28</v>
      </c>
      <c r="G1" t="s">
        <v>29</v>
      </c>
      <c r="H1" t="s">
        <v>31</v>
      </c>
      <c r="I1" t="s">
        <v>59</v>
      </c>
      <c r="J1" s="11" t="s">
        <v>60</v>
      </c>
      <c r="K1" t="s">
        <v>30</v>
      </c>
      <c r="L1" s="11" t="s">
        <v>72</v>
      </c>
      <c r="M1" s="6" t="s">
        <v>58</v>
      </c>
      <c r="N1" s="11" t="s">
        <v>61</v>
      </c>
      <c r="O1" t="s">
        <v>62</v>
      </c>
      <c r="P1" t="s">
        <v>68</v>
      </c>
      <c r="Q1" t="s">
        <v>69</v>
      </c>
      <c r="R1" t="s">
        <v>70</v>
      </c>
      <c r="S1" t="s">
        <v>71</v>
      </c>
      <c r="T1" t="s">
        <v>67</v>
      </c>
      <c r="U1">
        <v>0.36</v>
      </c>
      <c r="V1" t="s">
        <v>75</v>
      </c>
      <c r="W1">
        <v>0.17899999999999999</v>
      </c>
    </row>
    <row r="2" spans="1:23" s="7" customFormat="1" ht="15">
      <c r="A2" s="7" t="s">
        <v>33</v>
      </c>
      <c r="B2" s="7" t="s">
        <v>1</v>
      </c>
      <c r="C2" s="15">
        <v>9.5282966161043897E-2</v>
      </c>
      <c r="D2" s="12">
        <v>1.4053271698346901</v>
      </c>
      <c r="E2" s="12"/>
      <c r="H2" s="9"/>
      <c r="I2" s="7">
        <v>0.162385009567135</v>
      </c>
      <c r="J2" s="12">
        <v>0.57549234868250598</v>
      </c>
      <c r="K2" s="7">
        <v>7.6788294295846202E-2</v>
      </c>
      <c r="L2" s="13">
        <v>1.0062196340794201</v>
      </c>
      <c r="M2" s="7">
        <v>2.1014117551745599</v>
      </c>
      <c r="N2" s="12">
        <v>3.48119732302822</v>
      </c>
      <c r="O2" s="10">
        <f>($U$4*$U$3*N2^$U$1+$U$2*J2*K2*N2)^(-1)</f>
        <v>0.79603375630196926</v>
      </c>
      <c r="P2" s="22">
        <f>((1-$U$5)*(1-0)*(1-$U$1)*D2/L2-K2)/(1+$U$6)</f>
        <v>0.2814548187596434</v>
      </c>
      <c r="Q2" s="22">
        <f>$U$6/(1+$U$6)*(1-$U$2)*(1-$W$1+$U$1*D2)*((1-$U$5)*(1-0)*(1-$U$1)*D2/L2-K2)</f>
        <v>0.31495108162920815</v>
      </c>
      <c r="R2" s="22">
        <f>(1-$U$5)*I2*(1-$U$1)*D2/L2</f>
        <v>0.11262020576775092</v>
      </c>
      <c r="S2" s="22">
        <f>1/(M2*(1-J2))*($U$5*(1-$U$1)*D2+$U$2*($U$1*D2+M2*J2*K2)-N2^(-1))</f>
        <v>9.9997392090968099E-2</v>
      </c>
      <c r="T2" s="19" t="s">
        <v>64</v>
      </c>
      <c r="U2" s="19">
        <v>0.29210000000000003</v>
      </c>
      <c r="V2" s="18">
        <v>0.25</v>
      </c>
    </row>
    <row r="3" spans="1:23" s="7" customFormat="1">
      <c r="A3" s="7" t="s">
        <v>34</v>
      </c>
      <c r="B3" s="7" t="s">
        <v>2</v>
      </c>
      <c r="C3" s="15">
        <v>9.94463749817351E-2</v>
      </c>
      <c r="D3" s="12">
        <v>1.4859014486327899</v>
      </c>
      <c r="E3" s="12"/>
      <c r="H3" s="9"/>
      <c r="I3" s="7">
        <v>6.4732172424414702E-2</v>
      </c>
      <c r="J3" s="12">
        <v>0.59539706233184198</v>
      </c>
      <c r="K3" s="7">
        <v>0.13399927480846099</v>
      </c>
      <c r="L3" s="13">
        <v>1.01467343469659</v>
      </c>
      <c r="M3" s="7">
        <v>2.2835567018627398</v>
      </c>
      <c r="N3" s="12">
        <v>3.2175848880483402</v>
      </c>
      <c r="O3" s="10">
        <f t="shared" ref="O3:O14" si="0">($U$4*$U$3*N3^$U$1+$U$2*J3*K3*N3)^(-1)</f>
        <v>0.79845384484294668</v>
      </c>
      <c r="P3" s="22">
        <f t="shared" ref="P3:P14" si="1">((1-$U$5)*(1-0)*(1-$U$1)*D3/L3-K3)/(1+$U$6)</f>
        <v>0.27070473214694118</v>
      </c>
      <c r="Q3" s="22">
        <f t="shared" ref="Q3:Q14" si="2">$U$6/(1+$U$6)*(1-$U$2)*(1-$W$1+$U$1*D3)*((1-$U$5)*(1-0)*(1-$U$1)*D3/L3-K3)</f>
        <v>0.30954355382034682</v>
      </c>
      <c r="R3" s="22">
        <f t="shared" ref="R3:R14" si="3">(1-$U$5)*I3*(1-$U$1)*D3/L3</f>
        <v>4.7072755788306553E-2</v>
      </c>
      <c r="S3" s="22">
        <f>1/(M3*(1-J3))*($U$5*(1-$U$1)*D3+$U$2*($U$1*D3+M3*J3*K3)-N3^(-1))</f>
        <v>0.12099409597007982</v>
      </c>
      <c r="T3" s="7" t="s">
        <v>65</v>
      </c>
      <c r="U3" s="7">
        <v>3.11</v>
      </c>
    </row>
    <row r="4" spans="1:23" s="7" customFormat="1" ht="15">
      <c r="A4" s="7" t="s">
        <v>36</v>
      </c>
      <c r="B4" s="7" t="s">
        <v>4</v>
      </c>
      <c r="C4" s="15">
        <v>9.9791239136925697E-2</v>
      </c>
      <c r="D4" s="12">
        <v>1.3734191980427699</v>
      </c>
      <c r="E4" s="12"/>
      <c r="H4" s="9"/>
      <c r="I4" s="7">
        <v>0.280948167866511</v>
      </c>
      <c r="J4" s="12">
        <v>0.58964669028942296</v>
      </c>
      <c r="K4" s="7">
        <v>1.9065050727455599E-2</v>
      </c>
      <c r="L4" s="13">
        <v>0.99887587883292395</v>
      </c>
      <c r="M4" s="7">
        <v>1.8807924546582899</v>
      </c>
      <c r="N4" s="12">
        <v>3.5820551523624</v>
      </c>
      <c r="O4" s="10">
        <f t="shared" si="0"/>
        <v>0.80934117086693369</v>
      </c>
      <c r="P4" s="22">
        <f t="shared" si="1"/>
        <v>0.30288490206857116</v>
      </c>
      <c r="Q4" s="22">
        <f t="shared" si="2"/>
        <v>0.33599751891175528</v>
      </c>
      <c r="R4" s="22">
        <f t="shared" si="3"/>
        <v>0.19182425411006102</v>
      </c>
      <c r="S4" s="22">
        <f t="shared" ref="S4:S14" si="4">1/(M4*(1-J4))*($U$5*(1-$U$1)*D4+$U$2*($U$1*D4+M4*J4*K4)-N4^(-1))</f>
        <v>8.8639626812229533E-2</v>
      </c>
      <c r="T4" s="18" t="s">
        <v>66</v>
      </c>
      <c r="U4" s="18">
        <f>$U$1*$U$2+(1-$U$1)*U5</f>
        <v>0.24858</v>
      </c>
      <c r="V4" s="18">
        <f>U1*V2+(1-U1)*V5</f>
        <v>0.218</v>
      </c>
    </row>
    <row r="5" spans="1:23" s="7" customFormat="1" ht="15">
      <c r="A5" s="7" t="s">
        <v>38</v>
      </c>
      <c r="B5" s="7" t="s">
        <v>6</v>
      </c>
      <c r="C5" s="15">
        <v>0.111997391465031</v>
      </c>
      <c r="D5" s="12">
        <v>1.4759314971161599</v>
      </c>
      <c r="E5" s="12"/>
      <c r="H5" s="9"/>
      <c r="I5" s="7">
        <v>9.0151558376122404E-2</v>
      </c>
      <c r="J5" s="12">
        <v>0.60602474142076002</v>
      </c>
      <c r="K5" s="7">
        <v>0.105313833802496</v>
      </c>
      <c r="L5" s="13">
        <v>1.0101691744628301</v>
      </c>
      <c r="M5" s="7">
        <v>2.20604675742281</v>
      </c>
      <c r="N5" s="12">
        <v>3.2371757674093899</v>
      </c>
      <c r="O5" s="10">
        <f t="shared" si="0"/>
        <v>0.80621656270781195</v>
      </c>
      <c r="P5" s="22">
        <f t="shared" si="1"/>
        <v>0.28303851684048126</v>
      </c>
      <c r="Q5" s="22">
        <f t="shared" si="2"/>
        <v>0.32279019831069805</v>
      </c>
      <c r="R5" s="22">
        <f t="shared" si="3"/>
        <v>6.5408027652285539E-2</v>
      </c>
      <c r="S5" s="22">
        <f t="shared" si="4"/>
        <v>0.11402503619165816</v>
      </c>
      <c r="T5" s="18" t="s">
        <v>63</v>
      </c>
      <c r="U5" s="18">
        <v>0.22409999999999999</v>
      </c>
      <c r="V5" s="18">
        <v>0.2</v>
      </c>
    </row>
    <row r="6" spans="1:23" s="7" customFormat="1">
      <c r="A6" s="7" t="s">
        <v>39</v>
      </c>
      <c r="B6" s="7" t="s">
        <v>7</v>
      </c>
      <c r="C6" s="15">
        <v>8.5073141100705393E-2</v>
      </c>
      <c r="D6" s="12">
        <v>1.3514632890699001</v>
      </c>
      <c r="E6" s="12"/>
      <c r="H6" s="9"/>
      <c r="I6" s="7">
        <v>0.31487277704670602</v>
      </c>
      <c r="J6" s="12">
        <v>0.568817377264771</v>
      </c>
      <c r="K6" s="7">
        <v>1.6658683336147399E-2</v>
      </c>
      <c r="L6" s="13">
        <v>1.0027024898314301</v>
      </c>
      <c r="M6" s="7">
        <v>1.84724925173401</v>
      </c>
      <c r="N6" s="12">
        <v>3.6874705096229401</v>
      </c>
      <c r="O6" s="10">
        <f t="shared" si="0"/>
        <v>0.80201320398787179</v>
      </c>
      <c r="P6" s="22">
        <f t="shared" si="1"/>
        <v>0.29783185943038476</v>
      </c>
      <c r="Q6" s="22">
        <f t="shared" si="2"/>
        <v>0.32840680573136882</v>
      </c>
      <c r="R6" s="22">
        <f t="shared" si="3"/>
        <v>0.21074292331350222</v>
      </c>
      <c r="S6" s="22">
        <f t="shared" si="4"/>
        <v>8.7722432770261066E-2</v>
      </c>
      <c r="T6" s="7" t="s">
        <v>73</v>
      </c>
      <c r="U6" s="7">
        <f>1.011^16</f>
        <v>1.1912927245031464</v>
      </c>
    </row>
    <row r="7" spans="1:23" s="7" customFormat="1">
      <c r="A7" s="7" t="s">
        <v>40</v>
      </c>
      <c r="B7" s="7" t="s">
        <v>8</v>
      </c>
      <c r="C7" s="15">
        <v>8.2826294512685694E-2</v>
      </c>
      <c r="D7" s="12">
        <v>1.3998629610375399</v>
      </c>
      <c r="E7" s="12"/>
      <c r="H7" s="9"/>
      <c r="I7" s="7">
        <v>0.13274732015562399</v>
      </c>
      <c r="J7" s="12">
        <v>0.55939585998738495</v>
      </c>
      <c r="K7" s="7">
        <v>0.102842184646854</v>
      </c>
      <c r="L7" s="13">
        <v>1.0059092949664801</v>
      </c>
      <c r="M7" s="7">
        <v>2.18001543665163</v>
      </c>
      <c r="N7" s="12">
        <v>3.50137236620672</v>
      </c>
      <c r="O7" s="10">
        <f t="shared" si="0"/>
        <v>0.78576017220807493</v>
      </c>
      <c r="P7" s="22">
        <f t="shared" si="1"/>
        <v>0.26843174005645659</v>
      </c>
      <c r="Q7" s="22">
        <f t="shared" si="2"/>
        <v>0.29993280990207899</v>
      </c>
      <c r="R7" s="22">
        <f t="shared" si="3"/>
        <v>9.1735659991576513E-2</v>
      </c>
      <c r="S7" s="22">
        <f t="shared" si="4"/>
        <v>0.10307855655464661</v>
      </c>
    </row>
    <row r="8" spans="1:23" s="7" customFormat="1">
      <c r="A8" s="7" t="s">
        <v>43</v>
      </c>
      <c r="B8" s="7" t="s">
        <v>11</v>
      </c>
      <c r="C8" s="15">
        <v>0.14468681199809699</v>
      </c>
      <c r="D8" s="12">
        <v>1.59762615484385</v>
      </c>
      <c r="E8" s="12"/>
      <c r="H8" s="9"/>
      <c r="I8" s="7">
        <v>4.2295089359399698E-2</v>
      </c>
      <c r="J8" s="12">
        <v>0.66578489715630995</v>
      </c>
      <c r="K8" s="7">
        <v>0.117110600385067</v>
      </c>
      <c r="L8" s="13">
        <v>1.0196295915854099</v>
      </c>
      <c r="M8" s="7">
        <v>2.22487716973371</v>
      </c>
      <c r="N8" s="12">
        <v>2.8870253586719099</v>
      </c>
      <c r="O8" s="10">
        <f t="shared" si="0"/>
        <v>0.83463840570707626</v>
      </c>
      <c r="P8" s="22">
        <f t="shared" si="1"/>
        <v>0.30162972244264546</v>
      </c>
      <c r="Q8" s="22">
        <f t="shared" si="2"/>
        <v>0.35513640241191002</v>
      </c>
      <c r="R8" s="22">
        <f t="shared" si="3"/>
        <v>3.2908523964787453E-2</v>
      </c>
      <c r="S8" s="22">
        <f t="shared" si="4"/>
        <v>0.13640974873348397</v>
      </c>
    </row>
    <row r="9" spans="1:23" s="7" customFormat="1">
      <c r="A9" s="7" t="s">
        <v>44</v>
      </c>
      <c r="B9" s="7" t="s">
        <v>12</v>
      </c>
      <c r="C9" s="15">
        <v>4.1102177037843399E-2</v>
      </c>
      <c r="D9" s="12">
        <v>1.31814015844904</v>
      </c>
      <c r="E9" s="12"/>
      <c r="H9" s="9"/>
      <c r="I9" s="7">
        <v>0.13504528409063399</v>
      </c>
      <c r="J9" s="12">
        <v>0.50327319072453802</v>
      </c>
      <c r="K9" s="7">
        <v>0.134714002142304</v>
      </c>
      <c r="L9" s="13">
        <v>0.98653243697377702</v>
      </c>
      <c r="M9" s="7">
        <v>2.2233628275035602</v>
      </c>
      <c r="N9" s="12">
        <v>3.7723283769092899</v>
      </c>
      <c r="O9" s="10">
        <f>($U$4*$U$3*N9^$U$1+$U$2*J9*K9*N9)^(-1)</f>
        <v>0.75669709414603226</v>
      </c>
      <c r="P9" s="22">
        <f>((1-$U$5)*(1-0)*(1-$U$1)*D9/L9-K9)/(1+$U$6)</f>
        <v>0.24130887894904088</v>
      </c>
      <c r="Q9" s="22">
        <f t="shared" si="2"/>
        <v>0.26364001716457613</v>
      </c>
      <c r="R9" s="22">
        <f t="shared" si="3"/>
        <v>8.9601518696738852E-2</v>
      </c>
      <c r="S9" s="22">
        <f t="shared" si="4"/>
        <v>9.6528088486139724E-2</v>
      </c>
    </row>
    <row r="10" spans="1:23" s="7" customFormat="1">
      <c r="A10" s="7" t="s">
        <v>45</v>
      </c>
      <c r="B10" s="7" t="s">
        <v>13</v>
      </c>
      <c r="C10" s="15">
        <v>0.106771477661446</v>
      </c>
      <c r="D10" s="12">
        <v>1.39173932578634</v>
      </c>
      <c r="E10" s="12"/>
      <c r="H10" s="9"/>
      <c r="I10" s="7">
        <v>0.24941987979842001</v>
      </c>
      <c r="J10" s="12">
        <v>0.59536556291063203</v>
      </c>
      <c r="K10" s="7">
        <v>2.6986358020763601E-2</v>
      </c>
      <c r="L10" s="13">
        <v>1.00389342922856</v>
      </c>
      <c r="M10" s="7">
        <v>1.9340628620337601</v>
      </c>
      <c r="N10" s="12">
        <v>3.52627763096014</v>
      </c>
      <c r="O10" s="10">
        <f t="shared" si="0"/>
        <v>0.81072431463138606</v>
      </c>
      <c r="P10" s="22">
        <f t="shared" si="1"/>
        <v>0.30184815193071923</v>
      </c>
      <c r="Q10" s="22">
        <f t="shared" si="2"/>
        <v>0.33652626937722258</v>
      </c>
      <c r="R10" s="22">
        <f t="shared" si="3"/>
        <v>0.17170663563315691</v>
      </c>
      <c r="S10" s="22">
        <f t="shared" si="4"/>
        <v>9.12997750267973E-2</v>
      </c>
    </row>
    <row r="11" spans="1:23" s="7" customFormat="1">
      <c r="A11" s="7" t="s">
        <v>47</v>
      </c>
      <c r="B11" s="7" t="s">
        <v>15</v>
      </c>
      <c r="C11" s="15">
        <v>9.60766597582281E-2</v>
      </c>
      <c r="D11" s="12">
        <v>1.40517662860477</v>
      </c>
      <c r="E11" s="12"/>
      <c r="H11" s="9"/>
      <c r="I11" s="7">
        <v>0.15898646277683401</v>
      </c>
      <c r="J11" s="12">
        <v>0.57853161434384304</v>
      </c>
      <c r="K11" s="7">
        <v>7.7561122931493406E-2</v>
      </c>
      <c r="L11" s="13">
        <v>1.00190165575252</v>
      </c>
      <c r="M11" s="7">
        <v>2.0951958911060502</v>
      </c>
      <c r="N11" s="12">
        <v>3.4668387570458701</v>
      </c>
      <c r="O11" s="10">
        <f t="shared" si="0"/>
        <v>0.79685661270740871</v>
      </c>
      <c r="P11" s="22">
        <f t="shared" si="1"/>
        <v>0.28243212174514948</v>
      </c>
      <c r="Q11" s="22">
        <f t="shared" si="2"/>
        <v>0.31603178646728114</v>
      </c>
      <c r="R11" s="22">
        <f t="shared" si="3"/>
        <v>0.11072653162599028</v>
      </c>
      <c r="S11" s="22">
        <f t="shared" si="4"/>
        <v>0.10000838120205625</v>
      </c>
    </row>
    <row r="12" spans="1:23" s="7" customFormat="1">
      <c r="A12" s="7" t="s">
        <v>50</v>
      </c>
      <c r="B12" s="7" t="s">
        <v>18</v>
      </c>
      <c r="C12" s="15">
        <v>7.0097921476695302E-2</v>
      </c>
      <c r="D12" s="12">
        <v>1.37911359949574</v>
      </c>
      <c r="E12" s="12"/>
      <c r="H12" s="9"/>
      <c r="I12" s="7">
        <v>0.12725825562437301</v>
      </c>
      <c r="J12" s="12">
        <v>0.54324276748330702</v>
      </c>
      <c r="K12" s="7">
        <v>0.115963405128978</v>
      </c>
      <c r="L12" s="13">
        <v>1.00077079495083</v>
      </c>
      <c r="M12" s="7">
        <v>2.2052515031017599</v>
      </c>
      <c r="N12" s="12">
        <v>3.5657235281925699</v>
      </c>
      <c r="O12" s="10">
        <f t="shared" si="0"/>
        <v>0.77675178856082316</v>
      </c>
      <c r="P12" s="22">
        <f t="shared" si="1"/>
        <v>0.25936464020649086</v>
      </c>
      <c r="Q12" s="22">
        <f t="shared" si="2"/>
        <v>0.28816782964384813</v>
      </c>
      <c r="R12" s="22">
        <f t="shared" si="3"/>
        <v>8.708374748146655E-2</v>
      </c>
      <c r="S12" s="22">
        <f t="shared" si="4"/>
        <v>0.10220886791727093</v>
      </c>
    </row>
    <row r="13" spans="1:23" s="7" customFormat="1" ht="15">
      <c r="A13" s="35" t="s">
        <v>51</v>
      </c>
      <c r="B13" s="35" t="s">
        <v>19</v>
      </c>
      <c r="C13" s="15">
        <v>7.2405567346780303E-2</v>
      </c>
      <c r="D13" s="12">
        <v>1.3285542946548199</v>
      </c>
      <c r="E13" s="12"/>
      <c r="H13" s="9"/>
      <c r="I13" s="7">
        <v>0.35681670126486897</v>
      </c>
      <c r="J13" s="12">
        <v>0.55455649007036201</v>
      </c>
      <c r="K13" s="7">
        <v>1.0042274355306E-2</v>
      </c>
      <c r="L13" s="13">
        <v>1.00000185018845</v>
      </c>
      <c r="M13" s="7">
        <v>1.78657347489462</v>
      </c>
      <c r="N13" s="12">
        <v>3.7771022624724799</v>
      </c>
      <c r="O13" s="10">
        <f t="shared" si="0"/>
        <v>0.79774179101609799</v>
      </c>
      <c r="P13" s="22">
        <f t="shared" si="1"/>
        <v>0.29648466185425765</v>
      </c>
      <c r="Q13" s="22">
        <f t="shared" si="2"/>
        <v>0.32485924764489871</v>
      </c>
      <c r="R13" s="22">
        <f t="shared" si="3"/>
        <v>0.23540159646207001</v>
      </c>
      <c r="S13" s="22">
        <f t="shared" si="4"/>
        <v>8.5955674561563084E-2</v>
      </c>
    </row>
    <row r="14" spans="1:23" s="7" customFormat="1">
      <c r="A14" s="7" t="s">
        <v>57</v>
      </c>
      <c r="B14" s="7" t="s">
        <v>25</v>
      </c>
      <c r="C14" s="15">
        <v>0.102719993424555</v>
      </c>
      <c r="D14" s="12">
        <v>1.4996532517049901</v>
      </c>
      <c r="E14" s="12"/>
      <c r="H14" s="9"/>
      <c r="I14" s="7">
        <v>5.7273101472496001E-2</v>
      </c>
      <c r="J14" s="12">
        <v>0.604355257805263</v>
      </c>
      <c r="K14" s="7">
        <v>0.13693392100184901</v>
      </c>
      <c r="L14" s="13">
        <v>1.0123130846494199</v>
      </c>
      <c r="M14" s="7">
        <v>2.2779710874577201</v>
      </c>
      <c r="N14" s="12">
        <v>3.1642242135627301</v>
      </c>
      <c r="O14" s="10">
        <f t="shared" si="0"/>
        <v>0.80201563540366894</v>
      </c>
      <c r="P14" s="22">
        <f t="shared" si="1"/>
        <v>0.27321770526334405</v>
      </c>
      <c r="Q14" s="22">
        <f t="shared" si="2"/>
        <v>0.31355774433407579</v>
      </c>
      <c r="R14" s="22">
        <f t="shared" si="3"/>
        <v>4.213203447158103E-2</v>
      </c>
      <c r="S14" s="22">
        <f t="shared" si="4"/>
        <v>0.1240658837135918</v>
      </c>
    </row>
    <row r="15" spans="1:23">
      <c r="A15" t="s">
        <v>35</v>
      </c>
      <c r="B15" t="s">
        <v>3</v>
      </c>
      <c r="C15" s="17">
        <v>9.0291101876503202E-2</v>
      </c>
      <c r="D15" s="16">
        <v>1.2666054776428799</v>
      </c>
      <c r="H15" s="2"/>
      <c r="I15">
        <v>4.5083747749670097E-2</v>
      </c>
      <c r="J15" s="11">
        <v>0.68673443666455902</v>
      </c>
      <c r="K15">
        <v>9.0464268704287906E-2</v>
      </c>
      <c r="L15" s="14">
        <v>0.99911595534915698</v>
      </c>
      <c r="M15">
        <v>2.1483799089521902</v>
      </c>
      <c r="N15" s="11">
        <v>4.0660889439008603</v>
      </c>
      <c r="O15" s="3">
        <f>($V$4*$U$3*N15^$U$1+$V$2*J15*K15*N15)^(-1)</f>
        <v>0.84280398178028082</v>
      </c>
      <c r="P15" s="21">
        <f>((1-$V$5)*(1-0)*(1-$U$1)*D15/L15-K15)/(1+$U$6)</f>
        <v>0.25492328870810488</v>
      </c>
      <c r="Q15" s="21">
        <f>$U$6/(1+$U$6)*(1-$V$2)*(1-$W$1+$U$1*D15)*((1-$V$5)*(1-0)*(1-$U$1)*D15/L15-K15)</f>
        <v>0.29085241295073999</v>
      </c>
      <c r="R15" s="21">
        <f>(1-$V$5)*I15*(1-$U$1)*D15/L15</f>
        <v>2.92627703840567E-2</v>
      </c>
      <c r="S15" s="21">
        <f>1/(M15*(1-J15))*($V$5*(1-$U$1)*D15+$V$2*($U$1*D15+M15*J15*K15)-N15^(-1))</f>
        <v>9.4426647981810705E-2</v>
      </c>
    </row>
    <row r="16" spans="1:23">
      <c r="A16" t="s">
        <v>48</v>
      </c>
      <c r="B16" t="s">
        <v>16</v>
      </c>
      <c r="C16" s="17">
        <v>1.6799743995981602E-2</v>
      </c>
      <c r="D16" s="16">
        <v>1.05045139185915</v>
      </c>
      <c r="H16" s="5"/>
      <c r="I16">
        <v>0.324649303537212</v>
      </c>
      <c r="J16" s="11">
        <v>0.54830564424380901</v>
      </c>
      <c r="K16">
        <v>3.3029477359055197E-2</v>
      </c>
      <c r="L16" s="14">
        <v>0.98821693498241003</v>
      </c>
      <c r="M16">
        <v>1.8144793823171701</v>
      </c>
      <c r="N16" s="11">
        <v>5.3875394230653697</v>
      </c>
      <c r="O16" s="3">
        <f>($V$4*$U$3*N16^$U$1+$V$2*J16*K16*N16)^(-1)</f>
        <v>0.78893907414692732</v>
      </c>
      <c r="P16" s="21">
        <f t="shared" ref="P16:P18" si="5">((1-$V$5)*(1-0)*(1-$U$1)*D16/L16-K16)/(1+$U$6)</f>
        <v>0.23329356762634859</v>
      </c>
      <c r="Q16" s="21">
        <f t="shared" ref="Q16:Q18" si="6">$U$6/(1+$U$6)*(1-$V$2)*(1-$W$1+$U$1*D16)*((1-$V$5)*(1-0)*(1-$U$1)*D16/L16-K16)</f>
        <v>0.2499542679468488</v>
      </c>
      <c r="R16" s="21">
        <f t="shared" ref="R16:R18" si="7">(1-$V$5)*I16*(1-$U$1)*D16/L16</f>
        <v>0.17668842736407184</v>
      </c>
      <c r="S16" s="21">
        <f t="shared" ref="S16:S18" si="8">1/(M16*(1-J16))*($V$5*(1-$U$1)*D16+$V$2*($U$1*D16+M16*J16*K16)-N16^(-1))</f>
        <v>6.295839961076892E-2</v>
      </c>
    </row>
    <row r="17" spans="1:22">
      <c r="A17" t="s">
        <v>52</v>
      </c>
      <c r="B17" t="s">
        <v>20</v>
      </c>
      <c r="C17" s="17">
        <v>3.4937226346364397E-2</v>
      </c>
      <c r="D17" s="16">
        <v>1.0949105200746401</v>
      </c>
      <c r="H17" s="5"/>
      <c r="I17">
        <v>0.17633900436769101</v>
      </c>
      <c r="J17" s="11">
        <v>0.57692277867213304</v>
      </c>
      <c r="K17">
        <v>6.9307301381246703E-2</v>
      </c>
      <c r="L17" s="14">
        <v>0.98099434264896102</v>
      </c>
      <c r="M17">
        <v>2.02221907233139</v>
      </c>
      <c r="N17" s="11">
        <v>5.0127437429345196</v>
      </c>
      <c r="O17" s="3">
        <f>($V$4*$U$3*N17^$U$1+$V$2*J17*K17*N17)^(-1)</f>
        <v>0.79277795467529355</v>
      </c>
      <c r="P17" s="21">
        <f t="shared" si="5"/>
        <v>0.22915594911043288</v>
      </c>
      <c r="Q17" s="21">
        <f t="shared" si="6"/>
        <v>0.24879814477958515</v>
      </c>
      <c r="R17" s="21">
        <f t="shared" si="7"/>
        <v>0.10076981728118956</v>
      </c>
      <c r="S17" s="21">
        <f t="shared" si="8"/>
        <v>6.9444450544479383E-2</v>
      </c>
    </row>
    <row r="18" spans="1:22">
      <c r="A18" t="s">
        <v>54</v>
      </c>
      <c r="B18" t="s">
        <v>22</v>
      </c>
      <c r="C18" s="17">
        <v>5.8997048770292403E-2</v>
      </c>
      <c r="D18" s="16">
        <v>1.1307053890285299</v>
      </c>
      <c r="H18" s="5"/>
      <c r="I18">
        <v>0.18327545298244299</v>
      </c>
      <c r="J18" s="11">
        <v>0.61537164095778896</v>
      </c>
      <c r="K18">
        <v>4.8007881203876203E-2</v>
      </c>
      <c r="L18" s="14">
        <v>0.990804091556028</v>
      </c>
      <c r="M18">
        <v>1.99548297839212</v>
      </c>
      <c r="N18" s="11">
        <v>4.8146793016947402</v>
      </c>
      <c r="O18" s="3">
        <f>($V$4*$U$3*N18^$U$1+$V$2*J18*K18*N18)^(-1)</f>
        <v>0.81341422862687973</v>
      </c>
      <c r="P18" s="21">
        <f t="shared" si="5"/>
        <v>0.24473516871889425</v>
      </c>
      <c r="Q18" s="21">
        <f t="shared" si="6"/>
        <v>0.26853047379264122</v>
      </c>
      <c r="R18" s="21">
        <f t="shared" si="7"/>
        <v>0.10708679808102457</v>
      </c>
      <c r="S18" s="21">
        <f t="shared" si="8"/>
        <v>6.9748866887347633E-2</v>
      </c>
    </row>
    <row r="19" spans="1:22" s="7" customFormat="1" ht="15">
      <c r="A19" s="7" t="s">
        <v>32</v>
      </c>
      <c r="B19" s="7" t="s">
        <v>0</v>
      </c>
      <c r="C19" s="15">
        <v>9.2050101723986796E-2</v>
      </c>
      <c r="D19" s="12">
        <v>1.48353838243765</v>
      </c>
      <c r="E19" s="12"/>
      <c r="H19" s="9"/>
      <c r="I19" s="7">
        <v>0.144793787039046</v>
      </c>
      <c r="J19" s="12">
        <v>0.55233244797724601</v>
      </c>
      <c r="K19" s="7">
        <v>0.102273664336098</v>
      </c>
      <c r="L19" s="13">
        <v>1.0062958500225301</v>
      </c>
      <c r="M19" s="7">
        <v>2.1658639973107401</v>
      </c>
      <c r="N19" s="12">
        <v>3.1989646052296399</v>
      </c>
      <c r="O19" s="10">
        <f>($U$19*$U$3*N19^$U$1+$U$2*J19*K19*N19)^(-1)</f>
        <v>0.7837834930977241</v>
      </c>
      <c r="P19" s="22">
        <f t="shared" ref="P19:P24" si="9">((1-$U$20)*(1-0)*(1-$U$1)*D19/L19-K19)/(1+$U$6)</f>
        <v>0.28056716459007963</v>
      </c>
      <c r="Q19" s="22">
        <f>$U$6/(1+$U$6)*(1-$U$2)*(1-$W$1+$U$1*D19)*((1-$U$20)*(1-0)*(1-$U$1)*D19/L19-K19)</f>
        <v>0.32061969677137914</v>
      </c>
      <c r="R19" s="22">
        <f t="shared" ref="R19:R24" si="10">(1-$U$20)*I19*(1-$U$1)*D19/L19</f>
        <v>0.10382850450075498</v>
      </c>
      <c r="S19" s="22">
        <f>1/(M19*(1-J19))*($U$20*(1-$U$1)*D19+$U$2*($U$1*D19+M19*J19*K19)-N19^(-1))</f>
        <v>0.11036766251338413</v>
      </c>
      <c r="T19" s="18" t="s">
        <v>66</v>
      </c>
      <c r="U19" s="18">
        <f>$U$1*$U$2+(1-$U$1)*U20</f>
        <v>0.25875599999999999</v>
      </c>
      <c r="V19" s="18"/>
    </row>
    <row r="20" spans="1:22" s="7" customFormat="1" ht="15">
      <c r="A20" s="35" t="s">
        <v>37</v>
      </c>
      <c r="B20" s="35" t="s">
        <v>5</v>
      </c>
      <c r="C20" s="15">
        <v>7.4108854806387695E-2</v>
      </c>
      <c r="D20" s="12">
        <v>1.47926136731515</v>
      </c>
      <c r="E20" s="12"/>
      <c r="H20" s="9"/>
      <c r="I20" s="7">
        <v>9.3131907377622405E-2</v>
      </c>
      <c r="J20" s="12">
        <v>0.53771239420338701</v>
      </c>
      <c r="K20" s="7">
        <v>0.148385038049068</v>
      </c>
      <c r="L20" s="13">
        <v>1.0000151371094701</v>
      </c>
      <c r="M20" s="7">
        <v>2.2925673148669499</v>
      </c>
      <c r="N20" s="12">
        <v>3.19337191646175</v>
      </c>
      <c r="O20" s="10">
        <f t="shared" ref="O20:O24" si="11">($U$19*$U$3*N20^$U$1+$U$2*J20*K20*N20)^(-1)</f>
        <v>0.77116855988013833</v>
      </c>
      <c r="P20" s="22">
        <f t="shared" si="9"/>
        <v>0.26063008079599775</v>
      </c>
      <c r="Q20" s="22">
        <f>$U$6/(1+$U$6)*(1-$U$2)*(1-$W$1+$U$1*D20)*((1-$U$20)*(1-0)*(1-$U$1)*D20/L20-K20)</f>
        <v>0.29749806102273879</v>
      </c>
      <c r="R20" s="22">
        <f t="shared" si="10"/>
        <v>6.7008578523842233E-2</v>
      </c>
      <c r="S20" s="22">
        <f t="shared" ref="S20:S24" si="12">1/(M20*(1-J20))*($U$20*(1-$U$1)*D20+$U$2*($U$1*D20+M20*J20*K20)-N20^(-1))</f>
        <v>0.11610421254760096</v>
      </c>
      <c r="T20" s="18" t="s">
        <v>63</v>
      </c>
      <c r="U20" s="18">
        <v>0.24</v>
      </c>
      <c r="V20" s="18"/>
    </row>
    <row r="21" spans="1:22" s="7" customFormat="1">
      <c r="A21" s="7" t="s">
        <v>41</v>
      </c>
      <c r="B21" s="7" t="s">
        <v>9</v>
      </c>
      <c r="C21" s="15">
        <v>9.2455284324759995E-2</v>
      </c>
      <c r="D21" s="12">
        <v>1.4872875711962901</v>
      </c>
      <c r="E21" s="12"/>
      <c r="H21" s="9"/>
      <c r="I21" s="7">
        <v>0.13934857361727199</v>
      </c>
      <c r="J21" s="12">
        <v>0.55303481317050196</v>
      </c>
      <c r="K21" s="7">
        <v>0.10513619520275699</v>
      </c>
      <c r="L21" s="13">
        <v>1.00720008901793</v>
      </c>
      <c r="M21" s="7">
        <v>2.1782243325216601</v>
      </c>
      <c r="N21" s="12">
        <v>3.18923672156154</v>
      </c>
      <c r="O21" s="10">
        <f t="shared" si="11"/>
        <v>0.78375836625487949</v>
      </c>
      <c r="P21" s="22">
        <f t="shared" si="9"/>
        <v>0.27979331235443972</v>
      </c>
      <c r="Q21" s="22">
        <f t="shared" ref="Q21:Q24" si="13">$U$6/(1+$U$6)*(1-$U$2)*(1-$W$1+$U$1*D21)*((1-$U$20)*(1-0)*(1-$U$1)*D21/L21-K21)</f>
        <v>0.32005384207479121</v>
      </c>
      <c r="R21" s="22">
        <f t="shared" si="10"/>
        <v>0.10008645038833862</v>
      </c>
      <c r="S21" s="22">
        <f t="shared" si="12"/>
        <v>0.11122190199607523</v>
      </c>
    </row>
    <row r="22" spans="1:22" s="7" customFormat="1" ht="15">
      <c r="A22" s="35" t="s">
        <v>46</v>
      </c>
      <c r="B22" s="35" t="s">
        <v>14</v>
      </c>
      <c r="C22" s="15">
        <v>7.56008427413844E-2</v>
      </c>
      <c r="D22" s="12">
        <v>1.4425629539343201</v>
      </c>
      <c r="E22" s="12"/>
      <c r="H22" s="9"/>
      <c r="I22" s="7">
        <v>0.17407531947263299</v>
      </c>
      <c r="J22" s="12">
        <v>0.52989163657569405</v>
      </c>
      <c r="K22" s="7">
        <v>9.9194292649429194E-2</v>
      </c>
      <c r="L22" s="13">
        <v>1.0000010116697999</v>
      </c>
      <c r="M22" s="7">
        <v>2.1216429115161701</v>
      </c>
      <c r="N22" s="12">
        <v>3.3211650673341699</v>
      </c>
      <c r="O22" s="10">
        <f t="shared" si="11"/>
        <v>0.77478070913100727</v>
      </c>
      <c r="P22" s="22">
        <f t="shared" si="9"/>
        <v>0.27493707780673732</v>
      </c>
      <c r="Q22" s="22">
        <f t="shared" si="13"/>
        <v>0.31076569765368739</v>
      </c>
      <c r="R22" s="22">
        <f t="shared" si="10"/>
        <v>0.12214202130926587</v>
      </c>
      <c r="S22" s="22">
        <f t="shared" si="12"/>
        <v>0.10501998510467249</v>
      </c>
    </row>
    <row r="23" spans="1:22" s="7" customFormat="1">
      <c r="A23" s="7" t="s">
        <v>53</v>
      </c>
      <c r="B23" s="7" t="s">
        <v>21</v>
      </c>
      <c r="C23" s="15">
        <v>9.4935626775489904E-2</v>
      </c>
      <c r="D23" s="12">
        <v>1.51244783690086</v>
      </c>
      <c r="E23" s="12"/>
      <c r="H23" s="9"/>
      <c r="I23" s="7">
        <v>0.10237933676547099</v>
      </c>
      <c r="J23" s="12">
        <v>0.56231158523478197</v>
      </c>
      <c r="K23" s="7">
        <v>0.12564711421487099</v>
      </c>
      <c r="L23" s="13">
        <v>1.0064188907192699</v>
      </c>
      <c r="M23" s="7">
        <v>2.24134428642627</v>
      </c>
      <c r="N23" s="12">
        <v>3.1043183698278001</v>
      </c>
      <c r="O23" s="10">
        <f t="shared" si="11"/>
        <v>0.78493454749996461</v>
      </c>
      <c r="P23" s="22">
        <f t="shared" si="9"/>
        <v>0.27623673344077593</v>
      </c>
      <c r="Q23" s="22">
        <f t="shared" si="13"/>
        <v>0.31809552791598811</v>
      </c>
      <c r="R23" s="22">
        <f t="shared" si="10"/>
        <v>7.4835472171838419E-2</v>
      </c>
      <c r="S23" s="22">
        <f t="shared" si="12"/>
        <v>0.11771456448756591</v>
      </c>
    </row>
    <row r="24" spans="1:22" s="7" customFormat="1">
      <c r="A24" s="7" t="s">
        <v>55</v>
      </c>
      <c r="B24" s="7" t="s">
        <v>23</v>
      </c>
      <c r="C24" s="15">
        <v>6.0185106964537702E-2</v>
      </c>
      <c r="D24" s="12">
        <v>1.43506850963995</v>
      </c>
      <c r="E24" s="12"/>
      <c r="H24" s="9"/>
      <c r="I24" s="7">
        <v>9.7519961489465595E-2</v>
      </c>
      <c r="J24" s="12">
        <v>0.52508635580428098</v>
      </c>
      <c r="K24" s="7">
        <v>0.15526060737878999</v>
      </c>
      <c r="L24" s="13">
        <v>0.97577036822595298</v>
      </c>
      <c r="M24" s="7">
        <v>2.2506935861039699</v>
      </c>
      <c r="N24" s="12">
        <v>3.2671738302614801</v>
      </c>
      <c r="O24" s="10">
        <f t="shared" si="11"/>
        <v>0.76323868399202155</v>
      </c>
      <c r="P24" s="22">
        <f t="shared" si="9"/>
        <v>0.25559770097934259</v>
      </c>
      <c r="Q24" s="22">
        <f t="shared" si="13"/>
        <v>0.28832454327520984</v>
      </c>
      <c r="R24" s="22">
        <f t="shared" si="10"/>
        <v>6.976090346990732E-2</v>
      </c>
      <c r="S24" s="22">
        <f t="shared" si="12"/>
        <v>0.11119491910099003</v>
      </c>
    </row>
    <row r="25" spans="1:22" ht="15">
      <c r="A25" t="s">
        <v>49</v>
      </c>
      <c r="B25" t="s">
        <v>17</v>
      </c>
      <c r="C25" s="17">
        <v>8.7419020399316302E-2</v>
      </c>
      <c r="D25" s="16">
        <v>1.54111990910838</v>
      </c>
      <c r="H25" s="2"/>
      <c r="I25">
        <v>0.243153681354499</v>
      </c>
      <c r="J25" s="11">
        <v>0.52381664301669895</v>
      </c>
      <c r="K25">
        <v>6.8622264216601295E-2</v>
      </c>
      <c r="L25" s="14">
        <v>1.00087488627767</v>
      </c>
      <c r="M25">
        <v>1.9921458714800899</v>
      </c>
      <c r="N25" s="11">
        <v>2.9979437270344098</v>
      </c>
      <c r="O25" s="20">
        <f>($U$25*$U$3*N25^$U$1+$U$2*J25*K25*N25)^(-1)</f>
        <v>0.77795829020562712</v>
      </c>
      <c r="P25" s="23">
        <f>((1-$U$26)*(1-0)*(1-$U$1)*D25/L25-K25)/(1+$U$6)</f>
        <v>0.30147233112184452</v>
      </c>
      <c r="Q25" s="23">
        <f>$U$6/(1+$U$6)*(1-$U$2)*(1-$W$1+$U$1*D25)*((1-$U$26)*(1-0)*(1-$U$1)*D25/L25-K25)</f>
        <v>0.34977934956705109</v>
      </c>
      <c r="R25" s="23">
        <f>(1-$U$26)*I25*(1-$U$1)*D25/L25</f>
        <v>0.1773165128165971</v>
      </c>
      <c r="S25" s="23">
        <f>1/(M25*(1-J25))*($U$26*(1-$U$1)*D25+$U$2*($U$1*D25+M25*J25*K25)-N25^(-1))</f>
        <v>0.11158791782553129</v>
      </c>
      <c r="T25" s="18" t="s">
        <v>66</v>
      </c>
      <c r="U25" s="18">
        <f>$U$1*$U$2+(1-$U$1)*U26</f>
        <v>0.27155600000000002</v>
      </c>
    </row>
    <row r="26" spans="1:22" ht="15">
      <c r="A26" t="s">
        <v>56</v>
      </c>
      <c r="B26" t="s">
        <v>24</v>
      </c>
      <c r="C26" s="17">
        <v>0.102978095588882</v>
      </c>
      <c r="D26" s="16">
        <v>1.5794627577574401</v>
      </c>
      <c r="H26" s="2"/>
      <c r="I26">
        <v>0.201982114986962</v>
      </c>
      <c r="J26" s="11">
        <v>0.541064767764739</v>
      </c>
      <c r="K26">
        <v>7.7731730924818401E-2</v>
      </c>
      <c r="L26" s="14">
        <v>1.00918231112527</v>
      </c>
      <c r="M26">
        <v>2.0706020392396902</v>
      </c>
      <c r="N26" s="11">
        <v>2.9089537437617099</v>
      </c>
      <c r="O26" s="20">
        <f>($U$25*$U$3*N26^$U$1+$U$2*J26*K26*N26)^(-1)</f>
        <v>0.7836092663646862</v>
      </c>
      <c r="P26" s="23">
        <f>((1-$U$26)*(1-0)*(1-$U$1)*D26/L26-K26)/(1+$U$6)</f>
        <v>0.30278731969356043</v>
      </c>
      <c r="Q26" s="23">
        <f>$U$6/(1+$U$6)*(1-$U$2)*(1-$W$1+$U$1*D26)*((1-$U$26)*(1-0)*(1-$U$1)*D26/L26-K26)</f>
        <v>0.35482968953654609</v>
      </c>
      <c r="R26" s="23">
        <f>(1-$U$26)*I26*(1-$U$1)*D26/L26</f>
        <v>0.14971467423012258</v>
      </c>
      <c r="S26" s="23">
        <f>1/(M26*(1-J26))*($U$26*(1-$U$1)*D26+$U$2*($U$1*D26+M26*J26*K26)-N26^(-1))</f>
        <v>0.11637082131857274</v>
      </c>
      <c r="T26" s="18" t="s">
        <v>63</v>
      </c>
      <c r="U26" s="18">
        <v>0.26</v>
      </c>
    </row>
    <row r="27" spans="1:22" s="7" customFormat="1" ht="15">
      <c r="A27" s="7" t="s">
        <v>42</v>
      </c>
      <c r="B27" s="7" t="s">
        <v>10</v>
      </c>
      <c r="C27" s="15">
        <v>8.7847589458703496E-2</v>
      </c>
      <c r="D27" s="12">
        <v>1.6583408436448599</v>
      </c>
      <c r="E27" s="12"/>
      <c r="H27" s="9"/>
      <c r="I27" s="7">
        <v>0.17369235907906599</v>
      </c>
      <c r="J27" s="12">
        <v>0.504873093184947</v>
      </c>
      <c r="K27" s="7">
        <v>0.12068220489102199</v>
      </c>
      <c r="L27" s="13">
        <v>1.0002408088144601</v>
      </c>
      <c r="M27" s="7">
        <v>2.1583687363644</v>
      </c>
      <c r="N27" s="12">
        <v>2.6717903016699101</v>
      </c>
      <c r="O27" s="10">
        <f>(U27*$U$3*N27^$U$1+$U$2*J27*K27*N27)^(-1)</f>
        <v>0.76495639913786706</v>
      </c>
      <c r="P27" s="22">
        <f>((1-$U$28)*(1-0)*(1-$U$1)*D27/L27-K27)/(1+$U$6)</f>
        <v>0.29356976166279752</v>
      </c>
      <c r="Q27" s="22">
        <f>$U$6/(1+$U$6)*(1-$U$2)*(1-$W$1+$U$1*D27)*((1-$U$28)*(1-0)*(1-$U$1)*D27/L27-K27)</f>
        <v>0.35105792454785933</v>
      </c>
      <c r="R27" s="22">
        <f>(1-$U$28)*I27*(1-$U$1)*D27/L27</f>
        <v>0.13269739951650072</v>
      </c>
      <c r="S27" s="22">
        <f>1/(M27*(1-J27))*($U$28*(1-$U$1)*D27+$U$2*($U$1*D27+M27*J27*K27)-N27^(-1))</f>
        <v>0.12697291319097972</v>
      </c>
      <c r="T27" s="18" t="s">
        <v>66</v>
      </c>
      <c r="U27" s="18">
        <f>$U$1*$U$2+(1-$U$1)*U28</f>
        <v>0.28435600000000005</v>
      </c>
    </row>
    <row r="28" spans="1:22" ht="15">
      <c r="T28" s="18" t="s">
        <v>63</v>
      </c>
      <c r="U28" s="18">
        <v>0.28000000000000003</v>
      </c>
    </row>
    <row r="29" spans="1:22">
      <c r="Q29">
        <f>($U$1*D3+M3*J3*K3)/((1-$U$5)*J3*(1-J3/2)*(1-$U$1)*D3/L3-M3*J3*K3)</f>
        <v>5.883482648855562</v>
      </c>
    </row>
    <row r="30" spans="1:22">
      <c r="Q30">
        <f>(1-$U$5)*(1-0)*(1-$U$1)*D3/L3-K3</f>
        <v>0.59319331004216513</v>
      </c>
    </row>
    <row r="31" spans="1:22">
      <c r="Q31">
        <f>($U$1*D3+M3*J3*K3)</f>
        <v>0.71711301108301684</v>
      </c>
    </row>
    <row r="32" spans="1:22">
      <c r="Q32">
        <f>1/((1-$U$5)*J3*(I441-J3/2)*(1-$U$1)*D3/L3-M3*J3*K3)</f>
        <v>-3.2145810816811085</v>
      </c>
    </row>
  </sheetData>
  <phoneticPr fontId="18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85" zoomScaleNormal="85" workbookViewId="0">
      <pane xSplit="2" topLeftCell="C1" activePane="topRight" state="frozen"/>
      <selection pane="topRight" activeCell="E25" sqref="E25"/>
    </sheetView>
  </sheetViews>
  <sheetFormatPr defaultRowHeight="14.25"/>
  <cols>
    <col min="1" max="1" width="14.25" bestFit="1" customWidth="1"/>
    <col min="3" max="3" width="14.875" bestFit="1" customWidth="1"/>
    <col min="4" max="5" width="9" style="16"/>
    <col min="8" max="8" width="10.5" bestFit="1" customWidth="1"/>
    <col min="9" max="9" width="10.5" customWidth="1"/>
    <col min="10" max="10" width="9" style="11"/>
    <col min="11" max="11" width="9" customWidth="1"/>
    <col min="12" max="12" width="9" style="11" customWidth="1"/>
    <col min="13" max="13" width="6" style="6" bestFit="1" customWidth="1"/>
    <col min="14" max="14" width="9" style="11"/>
    <col min="16" max="16" width="10" bestFit="1" customWidth="1"/>
    <col min="17" max="17" width="9.375" bestFit="1" customWidth="1"/>
    <col min="18" max="19" width="10" bestFit="1" customWidth="1"/>
  </cols>
  <sheetData>
    <row r="1" spans="1:22">
      <c r="C1" s="11" t="s">
        <v>26</v>
      </c>
      <c r="D1" s="25" t="s">
        <v>27</v>
      </c>
      <c r="E1" s="25"/>
      <c r="F1" s="26" t="s">
        <v>28</v>
      </c>
      <c r="G1" s="26" t="s">
        <v>29</v>
      </c>
      <c r="H1" s="26" t="s">
        <v>31</v>
      </c>
      <c r="I1" s="26" t="s">
        <v>59</v>
      </c>
      <c r="J1" s="26" t="s">
        <v>60</v>
      </c>
      <c r="K1" s="26" t="s">
        <v>30</v>
      </c>
      <c r="L1" s="26" t="s">
        <v>72</v>
      </c>
      <c r="M1" s="27" t="s">
        <v>58</v>
      </c>
      <c r="N1" s="26" t="s">
        <v>61</v>
      </c>
      <c r="O1" s="26" t="s">
        <v>62</v>
      </c>
      <c r="P1" s="16" t="s">
        <v>68</v>
      </c>
      <c r="Q1" s="16" t="s">
        <v>69</v>
      </c>
      <c r="R1" s="16" t="s">
        <v>70</v>
      </c>
      <c r="S1" s="16" t="s">
        <v>71</v>
      </c>
    </row>
    <row r="2" spans="1:22" s="7" customFormat="1" ht="15">
      <c r="A2" s="7" t="s">
        <v>33</v>
      </c>
      <c r="B2" s="7" t="s">
        <v>1</v>
      </c>
      <c r="C2" s="15">
        <f>(benchmark!C2-no_bias!C2+1)^(1/4)-1</f>
        <v>-3.4384351778574684E-3</v>
      </c>
      <c r="D2" s="12"/>
      <c r="E2" s="12"/>
      <c r="H2" s="9">
        <f>benchmark!H2-1</f>
        <v>-0.10755813953488369</v>
      </c>
      <c r="J2" s="13">
        <f>benchmark!J2-no_bias!J2</f>
        <v>-1.105817858978797E-2</v>
      </c>
      <c r="L2" s="13"/>
      <c r="N2" s="12"/>
      <c r="O2" s="10"/>
      <c r="P2" s="22">
        <f>benchmark!V2/no_bias!P2-1</f>
        <v>-3.8132228806310509E-2</v>
      </c>
      <c r="Q2" s="22">
        <f>benchmark!W2/no_bias!Q2-1</f>
        <v>-5.2758254726201215E-2</v>
      </c>
      <c r="R2" s="22">
        <f>benchmark!X2/no_bias!R2-1</f>
        <v>-3.391024240949736E-2</v>
      </c>
      <c r="S2" s="40">
        <f>benchmark!Y2/no_bias!S2-1</f>
        <v>-8.2497449049647731E-3</v>
      </c>
      <c r="T2" s="19" t="b">
        <f>IF(P2&lt;0&amp;Q2&lt;0,1)</f>
        <v>0</v>
      </c>
      <c r="U2" s="19"/>
      <c r="V2" s="18"/>
    </row>
    <row r="3" spans="1:22" s="7" customFormat="1">
      <c r="A3" s="7" t="s">
        <v>34</v>
      </c>
      <c r="B3" s="7" t="s">
        <v>2</v>
      </c>
      <c r="C3" s="15">
        <f>(benchmark!C3-no_bias!C3+1)^(1/4)-1</f>
        <v>-6.3212794154705598E-3</v>
      </c>
      <c r="D3" s="12"/>
      <c r="E3" s="12"/>
      <c r="H3" s="9">
        <f>benchmark!H3-1</f>
        <v>-0.16000000000000003</v>
      </c>
      <c r="J3" s="13">
        <f>benchmark!J3-no_bias!J3</f>
        <v>-1.8407790760163967E-2</v>
      </c>
      <c r="L3" s="13"/>
      <c r="N3" s="12"/>
      <c r="O3" s="10"/>
      <c r="P3" s="22">
        <f>benchmark!V3/no_bias!P3-1</f>
        <v>-7.0232716215819613E-2</v>
      </c>
      <c r="Q3" s="22">
        <f>benchmark!W3/no_bias!Q3-1</f>
        <v>-9.6247652867733846E-2</v>
      </c>
      <c r="R3" s="22">
        <f>benchmark!X3/no_bias!R3-1</f>
        <v>-5.7290982159659776E-2</v>
      </c>
      <c r="S3" s="40">
        <f>benchmark!Y3/no_bias!S3-1</f>
        <v>-2.7774110997821677E-2</v>
      </c>
    </row>
    <row r="4" spans="1:22" s="7" customFormat="1" ht="15">
      <c r="A4" s="7" t="s">
        <v>36</v>
      </c>
      <c r="B4" s="7" t="s">
        <v>4</v>
      </c>
      <c r="C4" s="15">
        <f>(benchmark!C4-no_bias!C4+1)^(1/4)-1</f>
        <v>1.2498450936224703E-3</v>
      </c>
      <c r="D4" s="12"/>
      <c r="E4" s="12"/>
      <c r="H4" s="36">
        <f>benchmark!H4-1</f>
        <v>4.5845272206303855E-2</v>
      </c>
      <c r="J4" s="13">
        <f>benchmark!J4-no_bias!J4</f>
        <v>4.7042167411440738E-3</v>
      </c>
      <c r="L4" s="13"/>
      <c r="N4" s="12"/>
      <c r="O4" s="10"/>
      <c r="P4" s="22">
        <f>benchmark!V4/no_bias!P4-1</f>
        <v>1.3266414706337937E-2</v>
      </c>
      <c r="Q4" s="22">
        <f>benchmark!W4/no_bias!Q4-1</f>
        <v>1.8612067823075673E-2</v>
      </c>
      <c r="R4" s="22">
        <f>benchmark!X4/no_bias!R4-1</f>
        <v>1.2895977823990767E-2</v>
      </c>
      <c r="S4" s="37">
        <f>benchmark!Y4/no_bias!S4-1</f>
        <v>-2.9637988527234649E-3</v>
      </c>
      <c r="T4" s="18"/>
      <c r="U4" s="18"/>
      <c r="V4" s="18"/>
    </row>
    <row r="5" spans="1:22" s="7" customFormat="1" ht="15">
      <c r="A5" s="7" t="s">
        <v>38</v>
      </c>
      <c r="B5" s="7" t="s">
        <v>6</v>
      </c>
      <c r="C5" s="15">
        <f>(benchmark!C5-no_bias!C5+1)^(1/4)-1</f>
        <v>-5.1134351638291164E-3</v>
      </c>
      <c r="D5" s="12"/>
      <c r="E5" s="12"/>
      <c r="H5" s="9">
        <f>benchmark!H5-1</f>
        <v>-0.13879003558718872</v>
      </c>
      <c r="J5" s="13">
        <f>benchmark!J5-no_bias!J5</f>
        <v>-1.4811209482645027E-2</v>
      </c>
      <c r="L5" s="13"/>
      <c r="N5" s="12"/>
      <c r="O5" s="10"/>
      <c r="P5" s="22">
        <f>benchmark!V5/no_bias!P5-1</f>
        <v>-5.486704758321137E-2</v>
      </c>
      <c r="Q5" s="22">
        <f>benchmark!W5/no_bias!Q5-1</f>
        <v>-7.5847109746831731E-2</v>
      </c>
      <c r="R5" s="22">
        <f>benchmark!X5/no_bias!R5-1</f>
        <v>-4.6902901835277344E-2</v>
      </c>
      <c r="S5" s="40">
        <f>benchmark!Y5/no_bias!S5-1</f>
        <v>-1.4535010149797745E-2</v>
      </c>
      <c r="T5" s="18"/>
      <c r="U5" s="18"/>
      <c r="V5" s="18"/>
    </row>
    <row r="6" spans="1:22" s="7" customFormat="1">
      <c r="A6" s="7" t="s">
        <v>39</v>
      </c>
      <c r="B6" s="7" t="s">
        <v>7</v>
      </c>
      <c r="C6" s="15">
        <f>(benchmark!C6-no_bias!C6+1)^(1/4)-1</f>
        <v>-3.0572771360509732E-3</v>
      </c>
      <c r="D6" s="12"/>
      <c r="E6" s="12"/>
      <c r="H6" s="42">
        <f>benchmark!H6-1</f>
        <v>-0.11186440677966092</v>
      </c>
      <c r="J6" s="13">
        <f>benchmark!J6-no_bias!J6</f>
        <v>-1.1963071569497941E-2</v>
      </c>
      <c r="L6" s="13"/>
      <c r="N6" s="12"/>
      <c r="O6" s="10"/>
      <c r="P6" s="22">
        <f>benchmark!V6/no_bias!P6-1</f>
        <v>-3.3640003106248373E-2</v>
      </c>
      <c r="Q6" s="22">
        <f>benchmark!W6/no_bias!Q6-1</f>
        <v>-4.6372539933024925E-2</v>
      </c>
      <c r="R6" s="22">
        <f>benchmark!X6/no_bias!R6-1</f>
        <v>-3.2802707495764083E-2</v>
      </c>
      <c r="S6" s="41">
        <f>benchmark!Y6/no_bias!S6-1</f>
        <v>3.0552993187904498E-3</v>
      </c>
    </row>
    <row r="7" spans="1:22" s="7" customFormat="1">
      <c r="A7" s="7" t="s">
        <v>40</v>
      </c>
      <c r="B7" s="7" t="s">
        <v>8</v>
      </c>
      <c r="C7" s="15">
        <f>(benchmark!C7-no_bias!C7+1)^(1/4)-1</f>
        <v>-2.7176318550248268E-3</v>
      </c>
      <c r="D7" s="12"/>
      <c r="E7" s="12"/>
      <c r="H7" s="9">
        <f>benchmark!H7-1</f>
        <v>-8.2191780821917693E-2</v>
      </c>
      <c r="J7" s="13">
        <f>benchmark!J7-no_bias!J7</f>
        <v>-8.6825215563159919E-3</v>
      </c>
      <c r="L7" s="13"/>
      <c r="N7" s="12"/>
      <c r="O7" s="10"/>
      <c r="P7" s="22">
        <f>benchmark!V7/no_bias!P7-1</f>
        <v>-3.1345145472459368E-2</v>
      </c>
      <c r="Q7" s="22">
        <f>benchmark!W7/no_bias!Q7-1</f>
        <v>-4.3281691499139296E-2</v>
      </c>
      <c r="R7" s="22">
        <f>benchmark!X7/no_bias!R7-1</f>
        <v>-2.6680387065641353E-2</v>
      </c>
      <c r="S7" s="40">
        <f>benchmark!Y7/no_bias!S7-1</f>
        <v>-1.0609526357271304E-2</v>
      </c>
    </row>
    <row r="8" spans="1:22" s="7" customFormat="1">
      <c r="A8" s="7" t="s">
        <v>43</v>
      </c>
      <c r="B8" s="7" t="s">
        <v>11</v>
      </c>
      <c r="C8" s="15">
        <f>(benchmark!C8-no_bias!C8+1)^(1/4)-1</f>
        <v>-1.1234613809173566E-2</v>
      </c>
      <c r="D8" s="12"/>
      <c r="E8" s="12"/>
      <c r="H8" s="9">
        <f>benchmark!H8-1</f>
        <v>-0.26101694915254237</v>
      </c>
      <c r="J8" s="13">
        <f>benchmark!J8-no_bias!J8</f>
        <v>-2.8802366815274927E-2</v>
      </c>
      <c r="L8" s="13"/>
      <c r="N8" s="12"/>
      <c r="O8" s="10"/>
      <c r="P8" s="22">
        <f>benchmark!V8/no_bias!P8-1</f>
        <v>-0.11184500783700357</v>
      </c>
      <c r="Q8" s="22">
        <f>benchmark!W8/no_bias!Q8-1</f>
        <v>-0.15298183136761401</v>
      </c>
      <c r="R8" s="22">
        <f>benchmark!X8/no_bias!R8-1</f>
        <v>-9.5010735251006229E-2</v>
      </c>
      <c r="S8" s="40">
        <f>benchmark!Y8/no_bias!S8-1</f>
        <v>-2.1191673619006979E-2</v>
      </c>
    </row>
    <row r="9" spans="1:22" s="7" customFormat="1">
      <c r="A9" s="7" t="s">
        <v>44</v>
      </c>
      <c r="B9" s="7" t="s">
        <v>12</v>
      </c>
      <c r="C9" s="15">
        <f>(benchmark!C9-no_bias!C9+1)^(1/4)-1</f>
        <v>4.9131287465484785E-3</v>
      </c>
      <c r="D9" s="12"/>
      <c r="E9" s="12"/>
      <c r="H9" s="38">
        <f>benchmark!H9-1</f>
        <v>0.16349809885931554</v>
      </c>
      <c r="I9" s="7">
        <f>benchmark!I9-no_bias!I9</f>
        <v>0</v>
      </c>
      <c r="J9" s="43">
        <f>benchmark!J9-no_bias!J9</f>
        <v>1.7154404464235995E-2</v>
      </c>
      <c r="K9" s="7">
        <f>benchmark!K9-no_bias!K9</f>
        <v>0</v>
      </c>
      <c r="L9" s="13">
        <f>benchmark!L9-no_bias!L9</f>
        <v>1.3467563026222984E-2</v>
      </c>
      <c r="M9" s="7">
        <f>benchmark!M9-no_bias!M9</f>
        <v>0</v>
      </c>
      <c r="N9" s="12">
        <f>benchmark!N9-no_bias!N9</f>
        <v>-0.31074602886637992</v>
      </c>
      <c r="O9" s="10"/>
      <c r="P9" s="22">
        <f>benchmark!V9/no_bias!P9-1</f>
        <v>6.4514361881087279E-2</v>
      </c>
      <c r="Q9" s="22">
        <f>benchmark!W9/no_bias!Q9-1</f>
        <v>9.0158495938896133E-2</v>
      </c>
      <c r="R9" s="22">
        <f>benchmark!X9/no_bias!R9-1</f>
        <v>5.1415511047048446E-2</v>
      </c>
      <c r="S9" s="39">
        <f>benchmark!Y9/no_bias!S9-1</f>
        <v>2.8521155443181456E-2</v>
      </c>
    </row>
    <row r="10" spans="1:22" s="7" customFormat="1">
      <c r="A10" s="7" t="s">
        <v>45</v>
      </c>
      <c r="B10" s="7" t="s">
        <v>13</v>
      </c>
      <c r="C10" s="15">
        <f>(benchmark!C10-no_bias!C10+1)^(1/4)-1</f>
        <v>-3.5365863857124147E-3</v>
      </c>
      <c r="D10" s="12"/>
      <c r="E10" s="12"/>
      <c r="H10" s="42">
        <f>benchmark!H10-1</f>
        <v>-0.12091503267973847</v>
      </c>
      <c r="J10" s="13">
        <f>benchmark!J10-no_bias!J10</f>
        <v>-1.2468849209343991E-2</v>
      </c>
      <c r="L10" s="13"/>
      <c r="N10" s="12"/>
      <c r="O10" s="10"/>
      <c r="P10" s="22">
        <f>benchmark!V10/no_bias!P10-1</f>
        <v>-3.7312587581536993E-2</v>
      </c>
      <c r="Q10" s="22">
        <f>benchmark!W10/no_bias!Q10-1</f>
        <v>-5.17564242922679E-2</v>
      </c>
      <c r="R10" s="22">
        <f>benchmark!X10/no_bias!R10-1</f>
        <v>-3.5849926747626659E-2</v>
      </c>
      <c r="S10" s="41">
        <f>benchmark!Y10/no_bias!S10-1</f>
        <v>2.9997291074757015E-3</v>
      </c>
    </row>
    <row r="11" spans="1:22" s="7" customFormat="1">
      <c r="A11" s="7" t="s">
        <v>47</v>
      </c>
      <c r="B11" s="7" t="s">
        <v>15</v>
      </c>
      <c r="C11" s="15">
        <f>(benchmark!C11-no_bias!C11+1)^(1/4)-1</f>
        <v>-1.0708839002961934E-3</v>
      </c>
      <c r="D11" s="12"/>
      <c r="E11" s="12"/>
      <c r="H11" s="9">
        <f>benchmark!H11-1</f>
        <v>-3.4013605442176909E-2</v>
      </c>
      <c r="J11" s="13">
        <f>benchmark!J11-no_bias!J11</f>
        <v>-3.4353821571190268E-3</v>
      </c>
      <c r="L11" s="13"/>
      <c r="N11" s="12"/>
      <c r="O11" s="10"/>
      <c r="P11" s="22">
        <f>benchmark!V11/no_bias!P11-1</f>
        <v>-1.1866501923582851E-2</v>
      </c>
      <c r="Q11" s="22">
        <f>benchmark!W11/no_bias!Q11-1</f>
        <v>-1.6546541843927121E-2</v>
      </c>
      <c r="R11" s="22">
        <f>benchmark!X11/no_bias!R11-1</f>
        <v>-1.0544977320835702E-2</v>
      </c>
      <c r="S11" s="40">
        <f>benchmark!Y11/no_bias!S11-1</f>
        <v>-2.0299580044046417E-3</v>
      </c>
    </row>
    <row r="12" spans="1:22" s="7" customFormat="1">
      <c r="A12" s="7" t="s">
        <v>50</v>
      </c>
      <c r="B12" s="7" t="s">
        <v>18</v>
      </c>
      <c r="C12" s="15">
        <f>(benchmark!C12-no_bias!C12+1)^(1/4)-1</f>
        <v>-3.2463842011865029E-4</v>
      </c>
      <c r="D12" s="12"/>
      <c r="E12" s="12"/>
      <c r="H12" s="9">
        <f>benchmark!H12-1</f>
        <v>-9.966777408637828E-3</v>
      </c>
      <c r="J12" s="13">
        <f>benchmark!J12-no_bias!J12</f>
        <v>-1.0590807613010123E-3</v>
      </c>
      <c r="L12" s="13"/>
      <c r="N12" s="12"/>
      <c r="O12" s="10"/>
      <c r="P12" s="22">
        <f>benchmark!V12/no_bias!P12-1</f>
        <v>-3.8861867107055081E-3</v>
      </c>
      <c r="Q12" s="22">
        <f>benchmark!W12/no_bias!Q12-1</f>
        <v>-5.3859456343585688E-3</v>
      </c>
      <c r="R12" s="22">
        <f>benchmark!X12/no_bias!R12-1</f>
        <v>-3.2276295477206007E-3</v>
      </c>
      <c r="S12" s="40">
        <f>benchmark!Y12/no_bias!S12-1</f>
        <v>-1.4879050730004506E-3</v>
      </c>
    </row>
    <row r="13" spans="1:22" s="7" customFormat="1">
      <c r="A13" s="7" t="s">
        <v>51</v>
      </c>
      <c r="B13" s="7" t="s">
        <v>19</v>
      </c>
      <c r="C13" s="15">
        <f>(benchmark!C13-no_bias!C13+1)^(1/4)-1</f>
        <v>-1.391839600906053E-6</v>
      </c>
      <c r="D13" s="12"/>
      <c r="E13" s="12"/>
      <c r="H13" s="9">
        <f>benchmark!H13-1</f>
        <v>0</v>
      </c>
      <c r="J13" s="13">
        <f>benchmark!J13-no_bias!J13</f>
        <v>-1.1685222233048798E-5</v>
      </c>
      <c r="L13" s="13"/>
      <c r="N13" s="12"/>
      <c r="O13" s="10"/>
      <c r="P13" s="22">
        <f>benchmark!V13/no_bias!P13-1</f>
        <v>-9.0356365707311426E-6</v>
      </c>
      <c r="Q13" s="22">
        <f>benchmark!W13/no_bias!Q13-1</f>
        <v>-1.2992159477365206E-5</v>
      </c>
      <c r="R13" s="22">
        <f>benchmark!X13/no_bias!R13-1</f>
        <v>-8.8980973350638592E-6</v>
      </c>
      <c r="S13" s="22">
        <f>benchmark!Y13/no_bias!S13-1</f>
        <v>-2.1180167759871082E-5</v>
      </c>
    </row>
    <row r="14" spans="1:22" s="7" customFormat="1">
      <c r="A14" s="7" t="s">
        <v>57</v>
      </c>
      <c r="B14" s="7" t="s">
        <v>25</v>
      </c>
      <c r="C14" s="15">
        <f>(benchmark!C14-no_bias!C14+1)^(1/4)-1</f>
        <v>-5.4493803728522527E-3</v>
      </c>
      <c r="D14" s="12"/>
      <c r="E14" s="12"/>
      <c r="H14" s="9">
        <f>benchmark!H14-1</f>
        <v>-0.1362126245847175</v>
      </c>
      <c r="I14" s="7">
        <f>benchmark!I14-no_bias!I14</f>
        <v>0</v>
      </c>
      <c r="J14" s="13">
        <f>benchmark!J14-no_bias!J14</f>
        <v>-1.5614148950235052E-2</v>
      </c>
      <c r="L14" s="13"/>
      <c r="N14" s="12"/>
      <c r="O14" s="10"/>
      <c r="P14" s="22">
        <f>benchmark!V14/no_bias!P14-1</f>
        <v>-6.015290248709626E-2</v>
      </c>
      <c r="Q14" s="22">
        <f>benchmark!W14/no_bias!Q14-1</f>
        <v>-8.2719046061984547E-2</v>
      </c>
      <c r="R14" s="22">
        <f>benchmark!X14/no_bias!R14-1</f>
        <v>-4.8955793570876427E-2</v>
      </c>
      <c r="S14" s="40">
        <f>benchmark!Y14/no_bias!S14-1</f>
        <v>-2.1974425393126995E-2</v>
      </c>
    </row>
    <row r="15" spans="1:22">
      <c r="A15" t="s">
        <v>35</v>
      </c>
      <c r="B15" t="s">
        <v>3</v>
      </c>
      <c r="C15" s="17">
        <f>(benchmark!C15-no_bias!C15+1)^(1/4)-1</f>
        <v>5.018466294091084E-4</v>
      </c>
      <c r="H15" s="36">
        <f>benchmark!H15-1</f>
        <v>1.6891891891891886E-2</v>
      </c>
      <c r="J15" s="44">
        <f>benchmark!J15-no_bias!J15</f>
        <v>1.5387981071669499E-3</v>
      </c>
      <c r="L15" s="14"/>
      <c r="M15"/>
      <c r="O15" s="3"/>
      <c r="P15" s="21">
        <f>benchmark!V15/no_bias!P15-1</f>
        <v>6.1338309821901138E-3</v>
      </c>
      <c r="Q15" s="21">
        <f>benchmark!W15/no_bias!Q15-1</f>
        <v>8.3499395048054481E-3</v>
      </c>
      <c r="R15" s="21">
        <f>benchmark!X15/no_bias!R15-1</f>
        <v>5.2789346511221691E-3</v>
      </c>
      <c r="S15" s="37">
        <f>benchmark!Y15/no_bias!S15-1</f>
        <v>-1.0248351386107357E-3</v>
      </c>
    </row>
    <row r="16" spans="1:22">
      <c r="A16" t="s">
        <v>48</v>
      </c>
      <c r="B16" t="s">
        <v>16</v>
      </c>
      <c r="C16" s="17">
        <f>(benchmark!C16-no_bias!C16+1)^(1/4)-1</f>
        <v>1.3811292667704533E-2</v>
      </c>
      <c r="H16" s="36">
        <f>benchmark!H16-1</f>
        <v>0.76666666666666683</v>
      </c>
      <c r="J16" s="44">
        <f>benchmark!J16-no_bias!J16</f>
        <v>7.0896802609093035E-2</v>
      </c>
      <c r="L16" s="14"/>
      <c r="M16"/>
      <c r="O16" s="3"/>
      <c r="P16" s="21">
        <f>benchmark!V16/no_bias!P16-1</f>
        <v>0.19884914609888238</v>
      </c>
      <c r="Q16" s="21">
        <f>benchmark!W16/no_bias!Q16-1</f>
        <v>0.27481420097744635</v>
      </c>
      <c r="R16" s="21">
        <f>benchmark!X16/no_bias!R16-1</f>
        <v>0.18678124333212898</v>
      </c>
      <c r="S16" s="37">
        <f>benchmark!Y16/no_bias!S16-1</f>
        <v>-7.7968883360909569E-2</v>
      </c>
    </row>
    <row r="17" spans="1:22">
      <c r="A17" t="s">
        <v>52</v>
      </c>
      <c r="B17" t="s">
        <v>20</v>
      </c>
      <c r="C17" s="17">
        <f>(benchmark!C17-no_bias!C17+1)^(1/4)-1</f>
        <v>1.0159809444711732E-2</v>
      </c>
      <c r="H17" s="36">
        <f>benchmark!H17-1</f>
        <v>0.46524064171123003</v>
      </c>
      <c r="J17" s="44">
        <f>benchmark!J17-no_bias!J17</f>
        <v>4.1597009674600005E-2</v>
      </c>
      <c r="L17" s="14"/>
      <c r="M17"/>
      <c r="O17" s="3"/>
      <c r="P17" s="21">
        <f>benchmark!V17/no_bias!P17-1</f>
        <v>0.14381072756004221</v>
      </c>
      <c r="Q17" s="21">
        <f>benchmark!W17/no_bias!Q17-1</f>
        <v>0.19879283791268376</v>
      </c>
      <c r="R17" s="21">
        <f>benchmark!X17/no_bias!R17-1</f>
        <v>0.12636905272052745</v>
      </c>
      <c r="S17" s="37">
        <f>benchmark!Y17/no_bias!S17-1</f>
        <v>-1.3096554787877746E-2</v>
      </c>
    </row>
    <row r="18" spans="1:22">
      <c r="A18" t="s">
        <v>54</v>
      </c>
      <c r="B18" t="s">
        <v>22</v>
      </c>
      <c r="C18" s="17">
        <f>(benchmark!C18-no_bias!C18+1)^(1/4)-1</f>
        <v>6.1193388483127276E-3</v>
      </c>
      <c r="H18" s="36">
        <f>benchmark!H18-1</f>
        <v>0.27</v>
      </c>
      <c r="J18" s="44">
        <f>benchmark!J18-no_bias!J18</f>
        <v>2.4360622486494066E-2</v>
      </c>
      <c r="L18" s="14"/>
      <c r="M18"/>
      <c r="O18" s="3"/>
      <c r="P18" s="21">
        <f>benchmark!V18/no_bias!P18-1</f>
        <v>7.9875899929953587E-2</v>
      </c>
      <c r="Q18" s="21">
        <f>benchmark!W18/no_bias!Q18-1</f>
        <v>0.10968311138232667</v>
      </c>
      <c r="R18" s="21">
        <f>benchmark!X18/no_bias!R18-1</f>
        <v>7.3312986560099214E-2</v>
      </c>
      <c r="S18" s="37">
        <f>benchmark!Y18/no_bias!S18-1</f>
        <v>-1.9654599480169122E-2</v>
      </c>
    </row>
    <row r="19" spans="1:22" s="7" customFormat="1" ht="15">
      <c r="A19" s="7" t="s">
        <v>32</v>
      </c>
      <c r="B19" s="7" t="s">
        <v>0</v>
      </c>
      <c r="C19" s="15">
        <f>(benchmark!C19-no_bias!C19+1)^(1/4)-1</f>
        <v>-3.0262348837676312E-3</v>
      </c>
      <c r="D19" s="12"/>
      <c r="E19" s="12"/>
      <c r="H19" s="9">
        <f>benchmark!H19-1</f>
        <v>-9.0909090909090939E-2</v>
      </c>
      <c r="J19" s="13">
        <f>benchmark!J19-no_bias!J19</f>
        <v>-9.4501459051850034E-3</v>
      </c>
      <c r="L19" s="13"/>
      <c r="N19" s="12"/>
      <c r="O19" s="10"/>
      <c r="P19" s="22">
        <f>benchmark!V19/no_bias!P19-1</f>
        <v>-3.3450248016883677E-2</v>
      </c>
      <c r="Q19" s="22">
        <f>benchmark!W19/no_bias!Q19-1</f>
        <v>-4.6690540226956734E-2</v>
      </c>
      <c r="R19" s="22">
        <f>benchmark!X19/no_bias!R19-1</f>
        <v>-2.8679390053371168E-2</v>
      </c>
      <c r="S19" s="40">
        <f>benchmark!Y19/no_bias!S19-1</f>
        <v>-1.1578579805388567E-2</v>
      </c>
      <c r="T19" s="18"/>
      <c r="U19" s="18"/>
      <c r="V19" s="18"/>
    </row>
    <row r="20" spans="1:22" s="7" customFormat="1" ht="15">
      <c r="A20" s="7" t="s">
        <v>37</v>
      </c>
      <c r="B20" s="7" t="s">
        <v>5</v>
      </c>
      <c r="C20" s="15">
        <f>(benchmark!C20-no_bias!C20+1)^(1/4)-1</f>
        <v>-2.2137089477070049E-6</v>
      </c>
      <c r="D20" s="12"/>
      <c r="E20" s="12"/>
      <c r="H20" s="9">
        <f>benchmark!H20-1</f>
        <v>0</v>
      </c>
      <c r="J20" s="13">
        <f>benchmark!J20-no_bias!J20</f>
        <v>-1.7885890809976601E-5</v>
      </c>
      <c r="L20" s="13"/>
      <c r="N20" s="12"/>
      <c r="O20" s="10"/>
      <c r="P20" s="22">
        <f>benchmark!V20/no_bias!P20-1</f>
        <v>-1.7355148382636187E-5</v>
      </c>
      <c r="Q20" s="22">
        <f>benchmark!W20/no_bias!Q20-1</f>
        <v>-2.8730322695569299E-5</v>
      </c>
      <c r="R20" s="22">
        <f>benchmark!X20/no_bias!R20-1</f>
        <v>-1.3775943691674009E-5</v>
      </c>
      <c r="S20" s="22">
        <f>benchmark!Y20/no_bias!S20-1</f>
        <v>-6.6622055058140894E-5</v>
      </c>
      <c r="T20" s="18"/>
      <c r="U20" s="18"/>
      <c r="V20" s="18"/>
    </row>
    <row r="21" spans="1:22" s="7" customFormat="1">
      <c r="A21" s="7" t="s">
        <v>41</v>
      </c>
      <c r="B21" s="7" t="s">
        <v>9</v>
      </c>
      <c r="C21" s="15">
        <f>(benchmark!C21-no_bias!C21+1)^(1/4)-1</f>
        <v>-3.4061847376657406E-3</v>
      </c>
      <c r="D21" s="12"/>
      <c r="E21" s="12"/>
      <c r="H21" s="9">
        <f>benchmark!H21-1</f>
        <v>-0.10126582278481022</v>
      </c>
      <c r="J21" s="13">
        <f>benchmark!J21-no_bias!J21</f>
        <v>-1.0564076403230982E-2</v>
      </c>
      <c r="L21" s="13"/>
      <c r="N21" s="12"/>
      <c r="O21" s="10"/>
      <c r="P21" s="22">
        <f>benchmark!V21/no_bias!P21-1</f>
        <v>-3.7657599203209546E-2</v>
      </c>
      <c r="Q21" s="22">
        <f>benchmark!W21/no_bias!Q21-1</f>
        <v>-5.249678038264094E-2</v>
      </c>
      <c r="R21" s="22">
        <f>benchmark!X21/no_bias!R21-1</f>
        <v>-3.2145308340659429E-2</v>
      </c>
      <c r="S21" s="40">
        <f>benchmark!Y21/no_bias!S21-1</f>
        <v>-1.3476481791414474E-2</v>
      </c>
    </row>
    <row r="22" spans="1:22" s="7" customFormat="1">
      <c r="A22" s="7" t="s">
        <v>46</v>
      </c>
      <c r="B22" s="7" t="s">
        <v>14</v>
      </c>
      <c r="C22" s="15">
        <f>(benchmark!C22-no_bias!C22+1)^(1/4)-1</f>
        <v>-2.1068541267155183E-7</v>
      </c>
      <c r="D22" s="12"/>
      <c r="E22" s="12"/>
      <c r="H22" s="9">
        <f>benchmark!H22-1</f>
        <v>0</v>
      </c>
      <c r="J22" s="13">
        <f>benchmark!J22-no_bias!J22</f>
        <v>-1.6111262940432525E-6</v>
      </c>
      <c r="L22" s="13"/>
      <c r="N22" s="12"/>
      <c r="O22" s="10"/>
      <c r="P22" s="22">
        <f>benchmark!V22/no_bias!P22-1</f>
        <v>-1.2485920658500405E-6</v>
      </c>
      <c r="Q22" s="22">
        <f>benchmark!W22/no_bias!Q22-1</f>
        <v>-2.0559610923731597E-6</v>
      </c>
      <c r="R22" s="22">
        <f>benchmark!X22/no_bias!R22-1</f>
        <v>-1.0720779857198437E-6</v>
      </c>
      <c r="S22" s="22">
        <f>benchmark!Y22/no_bias!S22-1</f>
        <v>-5.3472076412264258E-6</v>
      </c>
    </row>
    <row r="23" spans="1:22" s="7" customFormat="1">
      <c r="A23" s="7" t="s">
        <v>53</v>
      </c>
      <c r="B23" s="7" t="s">
        <v>21</v>
      </c>
      <c r="C23" s="15">
        <f>(benchmark!C23-no_bias!C23+1)^(1/4)-1</f>
        <v>-2.820819800892882E-3</v>
      </c>
      <c r="D23" s="12"/>
      <c r="E23" s="12"/>
      <c r="H23" s="9">
        <f>benchmark!H23-1</f>
        <v>-7.8616352201257955E-2</v>
      </c>
      <c r="J23" s="13">
        <f>benchmark!J23-no_bias!J23</f>
        <v>-8.4348569591459199E-3</v>
      </c>
      <c r="L23" s="13"/>
      <c r="N23" s="12"/>
      <c r="O23" s="10"/>
      <c r="P23" s="22">
        <f>benchmark!V23/no_bias!P23-1</f>
        <v>-3.1168579585347134E-2</v>
      </c>
      <c r="Q23" s="22">
        <f>benchmark!W23/no_bias!Q23-1</f>
        <v>-4.354014037229037E-2</v>
      </c>
      <c r="R23" s="22">
        <f>benchmark!X23/no_bias!R23-1</f>
        <v>-2.5810929596206567E-2</v>
      </c>
      <c r="S23" s="40">
        <f>benchmark!Y23/no_bias!S23-1</f>
        <v>-1.2271505699879226E-2</v>
      </c>
    </row>
    <row r="24" spans="1:22" s="7" customFormat="1">
      <c r="A24" s="7" t="s">
        <v>55</v>
      </c>
      <c r="B24" s="7" t="s">
        <v>23</v>
      </c>
      <c r="C24" s="15">
        <f>(benchmark!C24-no_bias!C24+1)^(1/4)-1</f>
        <v>9.3225463437434097E-3</v>
      </c>
      <c r="D24" s="12"/>
      <c r="E24" s="12"/>
      <c r="H24" s="38">
        <f>benchmark!H24-1</f>
        <v>0.28837209302325584</v>
      </c>
      <c r="I24" s="7">
        <f>benchmark!I24-no_bias!I24</f>
        <v>0</v>
      </c>
      <c r="J24" s="43">
        <f>benchmark!J24-no_bias!J24</f>
        <v>2.9693842492273026E-2</v>
      </c>
      <c r="L24" s="13"/>
      <c r="N24" s="12"/>
      <c r="O24" s="10"/>
      <c r="P24" s="22">
        <f>benchmark!V24/no_bias!P24-1</f>
        <v>0.11465131649884897</v>
      </c>
      <c r="Q24" s="22">
        <f>benchmark!W24/no_bias!Q24-1</f>
        <v>0.16494635679725822</v>
      </c>
      <c r="R24" s="22">
        <f>benchmark!X24/no_bias!R24-1</f>
        <v>8.9767227190316712E-2</v>
      </c>
      <c r="S24" s="39">
        <f>benchmark!Y24/no_bias!S24-1</f>
        <v>4.4695402044959032E-2</v>
      </c>
    </row>
    <row r="25" spans="1:22" ht="15">
      <c r="A25" t="s">
        <v>49</v>
      </c>
      <c r="B25" t="s">
        <v>17</v>
      </c>
      <c r="C25" s="17">
        <f>(benchmark!C25-no_bias!C25+1)^(1/4)-1</f>
        <v>-5.5521732812024993E-4</v>
      </c>
      <c r="H25" s="2">
        <f>benchmark!H25-1</f>
        <v>-1.8867924528301883E-2</v>
      </c>
      <c r="J25" s="44">
        <f>benchmark!J25-no_bias!J25</f>
        <v>-1.8770417321349875E-3</v>
      </c>
      <c r="L25" s="14"/>
      <c r="M25"/>
      <c r="O25" s="20"/>
      <c r="P25" s="23">
        <f>benchmark!V25/no_bias!P25-1</f>
        <v>-5.9876105512504108E-3</v>
      </c>
      <c r="Q25" s="23">
        <f>benchmark!W25/no_bias!Q25-1</f>
        <v>-8.5103356485308757E-3</v>
      </c>
      <c r="R25" s="23">
        <f>benchmark!X25/no_bias!R25-1</f>
        <v>-5.4241672029970989E-3</v>
      </c>
      <c r="S25" s="40">
        <f>benchmark!Y25/no_bias!S25-1</f>
        <v>-1.3240345387564023E-3</v>
      </c>
      <c r="T25" s="18"/>
      <c r="U25" s="18"/>
    </row>
    <row r="26" spans="1:22" ht="15">
      <c r="A26" t="s">
        <v>56</v>
      </c>
      <c r="B26" t="s">
        <v>24</v>
      </c>
      <c r="C26" s="17">
        <f>(benchmark!C26-no_bias!C26+1)^(1/4)-1</f>
        <v>-5.2862937194257942E-3</v>
      </c>
      <c r="H26" s="2">
        <f>benchmark!H26-1</f>
        <v>-0.16393442622950816</v>
      </c>
      <c r="J26" s="44">
        <f>benchmark!J26-no_bias!J26</f>
        <v>-1.6714789579899025E-2</v>
      </c>
      <c r="L26" s="14"/>
      <c r="M26"/>
      <c r="O26" s="20"/>
      <c r="P26" s="23">
        <f>benchmark!V26/no_bias!P26-1</f>
        <v>-5.5110484238516833E-2</v>
      </c>
      <c r="Q26" s="23">
        <f>benchmark!W26/no_bias!Q26-1</f>
        <v>-7.7527969218309289E-2</v>
      </c>
      <c r="R26" s="23">
        <f>benchmark!X26/no_bias!R26-1</f>
        <v>-4.9331106090774846E-2</v>
      </c>
      <c r="S26" s="40">
        <f>benchmark!Y26/no_bias!S26-1</f>
        <v>-1.6805537940801751E-2</v>
      </c>
      <c r="T26" s="18"/>
      <c r="U26" s="18"/>
    </row>
    <row r="27" spans="1:22" s="7" customFormat="1" ht="15">
      <c r="A27" s="7" t="s">
        <v>42</v>
      </c>
      <c r="B27" s="7" t="s">
        <v>10</v>
      </c>
      <c r="C27" s="15">
        <f>(benchmark!C27-no_bias!C27+1)^(1/4)-1</f>
        <v>-1.1191615111150188E-4</v>
      </c>
      <c r="D27" s="12"/>
      <c r="E27" s="12"/>
      <c r="H27" s="9">
        <f>benchmark!H27-1</f>
        <v>-3.5211267605633756E-3</v>
      </c>
      <c r="J27" s="13">
        <f>benchmark!J27-no_bias!J27</f>
        <v>-3.4691281736598523E-4</v>
      </c>
      <c r="L27" s="13"/>
      <c r="N27" s="12"/>
      <c r="O27" s="10"/>
      <c r="P27" s="22">
        <f>benchmark!V27/no_bias!P27-1</f>
        <v>-1.207290135865513E-3</v>
      </c>
      <c r="Q27" s="22">
        <f>benchmark!W27/no_bias!Q27-1</f>
        <v>-1.7359054186959488E-3</v>
      </c>
      <c r="R27" s="22">
        <f>benchmark!X27/no_bias!R27-1</f>
        <v>-1.0165802570344384E-3</v>
      </c>
      <c r="S27" s="40">
        <f>benchmark!Y27/no_bias!S27-1</f>
        <v>-5.104335631448409E-4</v>
      </c>
      <c r="T27" s="18"/>
      <c r="U27" s="18"/>
    </row>
    <row r="28" spans="1:22" ht="15">
      <c r="T28" s="18"/>
      <c r="U28" s="18"/>
    </row>
  </sheetData>
  <phoneticPr fontId="18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17" sqref="A17"/>
    </sheetView>
  </sheetViews>
  <sheetFormatPr defaultRowHeight="14.25"/>
  <sheetData>
    <row r="1" spans="1:8">
      <c r="B1" t="s">
        <v>91</v>
      </c>
      <c r="C1" t="s">
        <v>77</v>
      </c>
      <c r="D1" t="s">
        <v>78</v>
      </c>
      <c r="E1" t="s">
        <v>79</v>
      </c>
      <c r="F1" t="s">
        <v>76</v>
      </c>
      <c r="G1" t="s">
        <v>80</v>
      </c>
      <c r="H1" t="s">
        <v>81</v>
      </c>
    </row>
    <row r="2" spans="1:8" ht="15.75" customHeight="1">
      <c r="A2" s="46" t="s">
        <v>82</v>
      </c>
      <c r="B2" s="46"/>
    </row>
    <row r="3" spans="1:8">
      <c r="A3" s="7" t="s">
        <v>1</v>
      </c>
      <c r="B3" s="22">
        <f>benchmark!E2</f>
        <v>6.9171484833741248E-2</v>
      </c>
      <c r="C3" s="47">
        <v>0.29210000000000003</v>
      </c>
      <c r="D3" s="47">
        <v>0.22409999999999999</v>
      </c>
      <c r="E3" s="48">
        <v>7.6788294295846202E-2</v>
      </c>
      <c r="F3" s="47">
        <v>0.89244186046511631</v>
      </c>
      <c r="G3" s="48">
        <v>0.162385009567135</v>
      </c>
      <c r="H3" s="48">
        <v>2.1014117551745599</v>
      </c>
    </row>
    <row r="4" spans="1:8">
      <c r="A4" s="7" t="s">
        <v>2</v>
      </c>
      <c r="B4" s="22">
        <f>benchmark!E3</f>
        <v>7.1464220498122399E-2</v>
      </c>
      <c r="C4" s="47">
        <v>0.29210000000000003</v>
      </c>
      <c r="D4" s="47">
        <v>0.22409999999999999</v>
      </c>
      <c r="E4" s="48">
        <v>0.13399927480846099</v>
      </c>
      <c r="F4" s="47">
        <v>0.84</v>
      </c>
      <c r="G4" s="48">
        <v>6.4732172424414702E-2</v>
      </c>
      <c r="H4" s="48">
        <v>2.2835567018627398</v>
      </c>
    </row>
    <row r="5" spans="1:8">
      <c r="A5" s="7" t="s">
        <v>4</v>
      </c>
      <c r="B5" s="22">
        <f>benchmark!E4</f>
        <v>7.2354313526329372E-2</v>
      </c>
      <c r="C5" s="47">
        <v>0.29210000000000003</v>
      </c>
      <c r="D5" s="47">
        <v>0.22409999999999999</v>
      </c>
      <c r="E5" s="48">
        <v>1.9065050727455599E-2</v>
      </c>
      <c r="F5" s="47">
        <v>1.0458452722063039</v>
      </c>
      <c r="G5" s="48">
        <v>0.280948167866511</v>
      </c>
      <c r="H5" s="48">
        <v>1.8807924546582899</v>
      </c>
    </row>
    <row r="6" spans="1:8">
      <c r="A6" s="7" t="s">
        <v>6</v>
      </c>
      <c r="B6" s="22">
        <f>benchmark!E5</f>
        <v>7.2343267447775084E-2</v>
      </c>
      <c r="C6" s="47">
        <v>0.29210000000000003</v>
      </c>
      <c r="D6" s="47">
        <v>0.22409999999999999</v>
      </c>
      <c r="E6" s="48">
        <v>0.105313833802496</v>
      </c>
      <c r="F6" s="47">
        <v>0.86120996441281128</v>
      </c>
      <c r="G6" s="48">
        <v>9.0151558376122404E-2</v>
      </c>
      <c r="H6" s="48">
        <v>2.20604675742281</v>
      </c>
    </row>
    <row r="7" spans="1:8">
      <c r="A7" s="7" t="s">
        <v>7</v>
      </c>
      <c r="B7" s="22">
        <f>benchmark!E6</f>
        <v>6.5792352351882188E-2</v>
      </c>
      <c r="C7" s="47">
        <v>0.29210000000000003</v>
      </c>
      <c r="D7" s="47">
        <v>0.22409999999999999</v>
      </c>
      <c r="E7" s="48">
        <v>1.6658683336147399E-2</v>
      </c>
      <c r="F7" s="47">
        <v>0.88813559322033908</v>
      </c>
      <c r="G7" s="48">
        <v>0.31487277704670602</v>
      </c>
      <c r="H7" s="48">
        <v>1.84724925173401</v>
      </c>
    </row>
    <row r="8" spans="1:8">
      <c r="A8" s="7" t="s">
        <v>8</v>
      </c>
      <c r="B8" s="22">
        <f>benchmark!E7</f>
        <v>6.9556381738272055E-2</v>
      </c>
      <c r="C8" s="47">
        <v>0.29210000000000003</v>
      </c>
      <c r="D8" s="47">
        <v>0.22409999999999999</v>
      </c>
      <c r="E8" s="48">
        <v>0.102842184646854</v>
      </c>
      <c r="F8" s="47">
        <v>0.91780821917808231</v>
      </c>
      <c r="G8" s="48">
        <v>0.13274732015562399</v>
      </c>
      <c r="H8" s="48">
        <v>2.18001543665163</v>
      </c>
    </row>
    <row r="9" spans="1:8">
      <c r="A9" s="7" t="s">
        <v>11</v>
      </c>
      <c r="B9" s="22">
        <f>benchmark!E8</f>
        <v>7.4196306764331643E-2</v>
      </c>
      <c r="C9" s="47">
        <v>0.29210000000000003</v>
      </c>
      <c r="D9" s="47">
        <v>0.22409999999999999</v>
      </c>
      <c r="E9" s="48">
        <v>0.117110600385067</v>
      </c>
      <c r="F9" s="47">
        <v>0.73898305084745763</v>
      </c>
      <c r="G9" s="48">
        <v>4.2295089359399698E-2</v>
      </c>
      <c r="H9" s="48">
        <v>2.22487716973371</v>
      </c>
    </row>
    <row r="10" spans="1:8">
      <c r="A10" s="7" t="s">
        <v>12</v>
      </c>
      <c r="B10" s="22">
        <f>benchmark!E9</f>
        <v>7.3238976702378888E-2</v>
      </c>
      <c r="C10" s="47">
        <v>0.29210000000000003</v>
      </c>
      <c r="D10" s="47">
        <v>0.22409999999999999</v>
      </c>
      <c r="E10" s="48">
        <v>0.134714002142304</v>
      </c>
      <c r="F10" s="47">
        <v>1.1634980988593155</v>
      </c>
      <c r="G10" s="48">
        <v>0.13504528409063399</v>
      </c>
      <c r="H10" s="48">
        <v>2.2233628275035602</v>
      </c>
    </row>
    <row r="11" spans="1:8">
      <c r="A11" s="7" t="s">
        <v>13</v>
      </c>
      <c r="B11" s="22">
        <f>benchmark!E10</f>
        <v>6.8239581797072679E-2</v>
      </c>
      <c r="C11" s="47">
        <v>0.29210000000000003</v>
      </c>
      <c r="D11" s="47">
        <v>0.22409999999999999</v>
      </c>
      <c r="E11" s="48">
        <v>2.6986358020763601E-2</v>
      </c>
      <c r="F11" s="47">
        <v>0.87908496732026153</v>
      </c>
      <c r="G11" s="48">
        <v>0.24941987979842001</v>
      </c>
      <c r="H11" s="48">
        <v>1.9340628620337601</v>
      </c>
    </row>
    <row r="12" spans="1:8">
      <c r="A12" s="7" t="s">
        <v>15</v>
      </c>
      <c r="B12" s="22">
        <f>benchmark!E11</f>
        <v>7.1990943463978052E-2</v>
      </c>
      <c r="C12" s="47">
        <v>0.29210000000000003</v>
      </c>
      <c r="D12" s="47">
        <v>0.22409999999999999</v>
      </c>
      <c r="E12" s="48">
        <v>7.7561122931493406E-2</v>
      </c>
      <c r="F12" s="47">
        <v>0.96598639455782309</v>
      </c>
      <c r="G12" s="48">
        <v>0.15898646277683401</v>
      </c>
      <c r="H12" s="48">
        <v>2.0951958911060502</v>
      </c>
    </row>
    <row r="13" spans="1:8">
      <c r="A13" s="7" t="s">
        <v>18</v>
      </c>
      <c r="B13" s="22">
        <f>benchmark!E12</f>
        <v>7.0958122192093631E-2</v>
      </c>
      <c r="C13" s="47">
        <v>0.29210000000000003</v>
      </c>
      <c r="D13" s="47">
        <v>0.22409999999999999</v>
      </c>
      <c r="E13" s="48">
        <v>0.115963405128978</v>
      </c>
      <c r="F13" s="47">
        <v>0.99003322259136217</v>
      </c>
      <c r="G13" s="48">
        <v>0.12725825562437301</v>
      </c>
      <c r="H13" s="48">
        <v>2.2052515031017599</v>
      </c>
    </row>
    <row r="14" spans="1:8" ht="15">
      <c r="A14" s="35" t="s">
        <v>19</v>
      </c>
      <c r="B14" s="22">
        <f>benchmark!E13</f>
        <v>6.7640944515235724E-2</v>
      </c>
      <c r="C14" s="47">
        <v>0.29210000000000003</v>
      </c>
      <c r="D14" s="47">
        <v>0.22409999999999999</v>
      </c>
      <c r="E14" s="48">
        <v>1.0042274355306E-2</v>
      </c>
      <c r="F14" s="47">
        <v>1</v>
      </c>
      <c r="G14" s="48">
        <v>0.35681670126486897</v>
      </c>
      <c r="H14" s="48">
        <v>1.78657347489462</v>
      </c>
    </row>
    <row r="15" spans="1:8">
      <c r="A15" s="7" t="s">
        <v>25</v>
      </c>
      <c r="B15" s="22">
        <f>benchmark!E14</f>
        <v>7.3534153020848869E-2</v>
      </c>
      <c r="C15" s="47">
        <v>0.29210000000000003</v>
      </c>
      <c r="D15" s="47">
        <v>0.22409999999999999</v>
      </c>
      <c r="E15" s="48">
        <v>0.13693392100184901</v>
      </c>
      <c r="F15" s="47">
        <v>0.8637873754152825</v>
      </c>
      <c r="G15" s="48">
        <v>5.7273101472496001E-2</v>
      </c>
      <c r="H15" s="48">
        <v>2.2779710874577201</v>
      </c>
    </row>
    <row r="16" spans="1:8" ht="15">
      <c r="A16" s="46" t="s">
        <v>83</v>
      </c>
      <c r="B16" s="22"/>
      <c r="C16" s="47"/>
      <c r="D16" s="47"/>
      <c r="E16" s="48"/>
      <c r="F16" s="47"/>
      <c r="G16" s="48"/>
      <c r="H16" s="48"/>
    </row>
    <row r="17" spans="1:8">
      <c r="A17" t="s">
        <v>3</v>
      </c>
      <c r="B17" s="22">
        <f>benchmark!E15</f>
        <v>6.3615683298332115E-2</v>
      </c>
      <c r="C17" s="47">
        <v>0.25</v>
      </c>
      <c r="D17" s="47">
        <v>0.2</v>
      </c>
      <c r="E17" s="47">
        <v>9.0464268704287906E-2</v>
      </c>
      <c r="F17" s="47">
        <v>1.0168918918918919</v>
      </c>
      <c r="G17" s="47">
        <v>4.5083747749670097E-2</v>
      </c>
      <c r="H17" s="47">
        <v>2.1483799089521902</v>
      </c>
    </row>
    <row r="18" spans="1:8">
      <c r="A18" t="s">
        <v>16</v>
      </c>
      <c r="B18" s="22">
        <f>benchmark!E16</f>
        <v>6.2649637541019931E-2</v>
      </c>
      <c r="C18" s="47">
        <v>0.25</v>
      </c>
      <c r="D18" s="47">
        <v>0.2</v>
      </c>
      <c r="E18" s="47">
        <v>3.3029477359055197E-2</v>
      </c>
      <c r="F18" s="47">
        <v>1.7666666666666668</v>
      </c>
      <c r="G18" s="47">
        <v>0.324649303537212</v>
      </c>
      <c r="H18" s="47">
        <v>1.8144793823171701</v>
      </c>
    </row>
    <row r="19" spans="1:8">
      <c r="A19" t="s">
        <v>20</v>
      </c>
      <c r="B19" s="22">
        <f>benchmark!E17</f>
        <v>6.2322929795181281E-2</v>
      </c>
      <c r="C19" s="47">
        <v>0.25</v>
      </c>
      <c r="D19" s="47">
        <v>0.2</v>
      </c>
      <c r="E19" s="47">
        <v>6.9307301381246703E-2</v>
      </c>
      <c r="F19" s="47">
        <v>1.46524064171123</v>
      </c>
      <c r="G19" s="47">
        <v>0.17633900436769101</v>
      </c>
      <c r="H19" s="47">
        <v>2.02221907233139</v>
      </c>
    </row>
    <row r="20" spans="1:8">
      <c r="A20" t="s">
        <v>22</v>
      </c>
      <c r="B20" s="22">
        <f>benchmark!E18</f>
        <v>5.9889628913682769E-2</v>
      </c>
      <c r="C20" s="47">
        <v>0.25</v>
      </c>
      <c r="D20" s="47">
        <v>0.2</v>
      </c>
      <c r="E20" s="47">
        <v>4.8007881203876203E-2</v>
      </c>
      <c r="F20" s="47">
        <v>1.27</v>
      </c>
      <c r="G20" s="47">
        <v>0.18327545298244299</v>
      </c>
      <c r="H20" s="47">
        <v>1.99548297839212</v>
      </c>
    </row>
    <row r="21" spans="1:8" ht="15">
      <c r="A21" s="46" t="s">
        <v>84</v>
      </c>
      <c r="B21" s="22"/>
      <c r="C21" s="47"/>
      <c r="D21" s="47"/>
      <c r="E21" s="47"/>
      <c r="F21" s="47"/>
      <c r="G21" s="47"/>
      <c r="H21" s="47"/>
    </row>
    <row r="22" spans="1:8">
      <c r="A22" s="7" t="s">
        <v>0</v>
      </c>
      <c r="B22" s="22">
        <f>benchmark!E19</f>
        <v>7.5209667854853279E-2</v>
      </c>
      <c r="C22" s="47">
        <v>0.29210000000000003</v>
      </c>
      <c r="D22" s="47">
        <v>0.24</v>
      </c>
      <c r="E22" s="48">
        <v>0.102273664336098</v>
      </c>
      <c r="F22" s="47">
        <v>0.90909090909090906</v>
      </c>
      <c r="G22" s="48">
        <v>0.144793787039046</v>
      </c>
      <c r="H22" s="48">
        <v>2.1658639973107401</v>
      </c>
    </row>
    <row r="23" spans="1:8" ht="15">
      <c r="A23" s="35" t="s">
        <v>5</v>
      </c>
      <c r="B23" s="22">
        <f>benchmark!E20</f>
        <v>7.8614029128135643E-2</v>
      </c>
      <c r="C23" s="47">
        <v>0.29210000000000003</v>
      </c>
      <c r="D23" s="47">
        <v>0.24</v>
      </c>
      <c r="E23" s="48">
        <v>0.148385038049068</v>
      </c>
      <c r="F23" s="47">
        <v>1</v>
      </c>
      <c r="G23" s="48">
        <v>9.3131907377622405E-2</v>
      </c>
      <c r="H23" s="48">
        <v>2.2925673148669499</v>
      </c>
    </row>
    <row r="24" spans="1:8">
      <c r="A24" s="7" t="s">
        <v>9</v>
      </c>
      <c r="B24" s="22">
        <f>benchmark!E21</f>
        <v>7.5007753629370955E-2</v>
      </c>
      <c r="C24" s="47">
        <v>0.29210000000000003</v>
      </c>
      <c r="D24" s="47">
        <v>0.24</v>
      </c>
      <c r="E24" s="48">
        <v>0.10513619520275699</v>
      </c>
      <c r="F24" s="47">
        <v>0.89873417721518978</v>
      </c>
      <c r="G24" s="48">
        <v>0.13934857361727199</v>
      </c>
      <c r="H24" s="48">
        <v>2.1782243325216601</v>
      </c>
    </row>
    <row r="25" spans="1:8" ht="15">
      <c r="A25" s="35" t="s">
        <v>14</v>
      </c>
      <c r="B25" s="22">
        <f>benchmark!E22</f>
        <v>7.5975178107476227E-2</v>
      </c>
      <c r="C25" s="47">
        <v>0.29210000000000003</v>
      </c>
      <c r="D25" s="47">
        <v>0.24</v>
      </c>
      <c r="E25" s="48">
        <v>9.9194292649429194E-2</v>
      </c>
      <c r="F25" s="47">
        <v>1</v>
      </c>
      <c r="G25" s="48">
        <v>0.17407531947263299</v>
      </c>
      <c r="H25" s="48">
        <v>2.1216429115161701</v>
      </c>
    </row>
    <row r="26" spans="1:8">
      <c r="A26" s="7" t="s">
        <v>21</v>
      </c>
      <c r="B26" s="22">
        <f>benchmark!E23</f>
        <v>7.752180227109684E-2</v>
      </c>
      <c r="C26" s="47">
        <v>0.29210000000000003</v>
      </c>
      <c r="D26" s="47">
        <v>0.24</v>
      </c>
      <c r="E26" s="48">
        <v>0.12564711421487099</v>
      </c>
      <c r="F26" s="47">
        <v>0.92138364779874204</v>
      </c>
      <c r="G26" s="48">
        <v>0.10237933676547099</v>
      </c>
      <c r="H26" s="48">
        <v>2.24134428642627</v>
      </c>
    </row>
    <row r="27" spans="1:8">
      <c r="A27" s="7" t="s">
        <v>23</v>
      </c>
      <c r="B27" s="22">
        <f>benchmark!E24</f>
        <v>8.736485138872041E-2</v>
      </c>
      <c r="C27" s="47">
        <v>0.29210000000000003</v>
      </c>
      <c r="D27" s="47">
        <v>0.24</v>
      </c>
      <c r="E27" s="48">
        <v>0.15526060737878999</v>
      </c>
      <c r="F27" s="47">
        <v>1.2883720930232558</v>
      </c>
      <c r="G27" s="48">
        <v>9.7519961489465595E-2</v>
      </c>
      <c r="H27" s="48">
        <v>2.2506935861039699</v>
      </c>
    </row>
    <row r="28" spans="1:8" ht="15">
      <c r="A28" s="46" t="s">
        <v>86</v>
      </c>
      <c r="B28" s="22"/>
      <c r="C28" s="47"/>
      <c r="D28" s="47"/>
      <c r="E28" s="48"/>
      <c r="F28" s="47"/>
      <c r="G28" s="48"/>
      <c r="H28" s="48"/>
    </row>
    <row r="29" spans="1:8">
      <c r="A29" t="s">
        <v>17</v>
      </c>
      <c r="B29" s="22">
        <f>benchmark!E25</f>
        <v>8.2338668511319657E-2</v>
      </c>
      <c r="C29" s="47">
        <v>0.29210000000000003</v>
      </c>
      <c r="D29" s="47">
        <v>0.26</v>
      </c>
      <c r="E29" s="47">
        <v>6.8622264216601295E-2</v>
      </c>
      <c r="F29" s="47">
        <v>0.98113207547169812</v>
      </c>
      <c r="G29" s="47">
        <v>0.243153681354499</v>
      </c>
      <c r="H29" s="47">
        <v>1.9921458714800899</v>
      </c>
    </row>
    <row r="30" spans="1:8">
      <c r="A30" t="s">
        <v>24</v>
      </c>
      <c r="B30" s="22">
        <f>benchmark!E26</f>
        <v>7.9234973949666054E-2</v>
      </c>
      <c r="C30" s="47">
        <v>0.29210000000000003</v>
      </c>
      <c r="D30" s="47">
        <v>0.26</v>
      </c>
      <c r="E30" s="47">
        <v>7.7731730924818401E-2</v>
      </c>
      <c r="F30" s="47">
        <v>0.83606557377049184</v>
      </c>
      <c r="G30" s="47">
        <v>0.201982114986962</v>
      </c>
      <c r="H30" s="47">
        <v>2.0706020392396902</v>
      </c>
    </row>
    <row r="31" spans="1:8" ht="15">
      <c r="A31" s="46" t="s">
        <v>85</v>
      </c>
      <c r="B31" s="22"/>
      <c r="C31" s="47"/>
      <c r="D31" s="47"/>
      <c r="E31" s="47"/>
      <c r="F31" s="47"/>
      <c r="G31" s="47"/>
      <c r="H31" s="47"/>
    </row>
    <row r="32" spans="1:8">
      <c r="A32" s="7" t="s">
        <v>10</v>
      </c>
      <c r="B32" s="22">
        <f>benchmark!E27</f>
        <v>9.1093042554803993E-2</v>
      </c>
      <c r="C32" s="47">
        <v>0.29210000000000003</v>
      </c>
      <c r="D32" s="47">
        <v>0.28000000000000003</v>
      </c>
      <c r="E32" s="48">
        <v>0.12068220489102199</v>
      </c>
      <c r="F32" s="47">
        <v>0.99647887323943662</v>
      </c>
      <c r="G32" s="48">
        <v>0.17369235907906599</v>
      </c>
      <c r="H32" s="48">
        <v>2.1583687363644</v>
      </c>
    </row>
    <row r="33" spans="2:8">
      <c r="B33" s="7">
        <f>benchmark!E28</f>
        <v>0</v>
      </c>
      <c r="H33" s="6"/>
    </row>
    <row r="34" spans="2:8">
      <c r="B34" s="7">
        <f>benchmark!E29</f>
        <v>0</v>
      </c>
    </row>
    <row r="35" spans="2:8">
      <c r="B35" s="7">
        <f>benchmark!E30</f>
        <v>0</v>
      </c>
    </row>
    <row r="36" spans="2:8">
      <c r="B36" s="7">
        <f>benchmark!E31</f>
        <v>0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G32" sqref="G32"/>
    </sheetView>
  </sheetViews>
  <sheetFormatPr defaultRowHeight="14.25"/>
  <cols>
    <col min="1" max="1" width="14.25" bestFit="1" customWidth="1"/>
    <col min="2" max="2" width="4.5" bestFit="1" customWidth="1"/>
  </cols>
  <sheetData>
    <row r="1" spans="1:5">
      <c r="A1" s="64"/>
      <c r="B1" s="64"/>
      <c r="C1" s="54" t="s">
        <v>77</v>
      </c>
      <c r="D1" s="54" t="s">
        <v>63</v>
      </c>
      <c r="E1" s="64" t="s">
        <v>91</v>
      </c>
    </row>
    <row r="2" spans="1:5" ht="15">
      <c r="A2" s="55" t="s">
        <v>82</v>
      </c>
      <c r="B2" s="65"/>
      <c r="C2" s="56"/>
      <c r="D2" s="56"/>
      <c r="E2" s="65"/>
    </row>
    <row r="3" spans="1:5">
      <c r="A3" s="66" t="s">
        <v>33</v>
      </c>
      <c r="B3" s="67" t="s">
        <v>1</v>
      </c>
      <c r="C3" s="57">
        <v>0.29210000000000003</v>
      </c>
      <c r="D3" s="57">
        <v>0.22409999999999999</v>
      </c>
      <c r="E3" s="68">
        <f>benchmark!E2</f>
        <v>6.9171484833741248E-2</v>
      </c>
    </row>
    <row r="4" spans="1:5">
      <c r="A4" s="66" t="s">
        <v>34</v>
      </c>
      <c r="B4" s="67" t="s">
        <v>2</v>
      </c>
      <c r="C4" s="57">
        <v>0.29210000000000003</v>
      </c>
      <c r="D4" s="57">
        <v>0.22409999999999999</v>
      </c>
      <c r="E4" s="68">
        <f>benchmark!E3</f>
        <v>7.1464220498122399E-2</v>
      </c>
    </row>
    <row r="5" spans="1:5">
      <c r="A5" s="66" t="s">
        <v>36</v>
      </c>
      <c r="B5" s="67" t="s">
        <v>4</v>
      </c>
      <c r="C5" s="57">
        <v>0.29210000000000003</v>
      </c>
      <c r="D5" s="57">
        <v>0.22409999999999999</v>
      </c>
      <c r="E5" s="68">
        <f>benchmark!E4</f>
        <v>7.2354313526329372E-2</v>
      </c>
    </row>
    <row r="6" spans="1:5">
      <c r="A6" s="66" t="s">
        <v>38</v>
      </c>
      <c r="B6" s="67" t="s">
        <v>6</v>
      </c>
      <c r="C6" s="57">
        <v>0.29210000000000003</v>
      </c>
      <c r="D6" s="57">
        <v>0.22409999999999999</v>
      </c>
      <c r="E6" s="68">
        <f>benchmark!E5</f>
        <v>7.2343267447775084E-2</v>
      </c>
    </row>
    <row r="7" spans="1:5">
      <c r="A7" s="66" t="s">
        <v>39</v>
      </c>
      <c r="B7" s="67" t="s">
        <v>7</v>
      </c>
      <c r="C7" s="57">
        <v>0.29210000000000003</v>
      </c>
      <c r="D7" s="57">
        <v>0.22409999999999999</v>
      </c>
      <c r="E7" s="68">
        <f>benchmark!E6</f>
        <v>6.5792352351882188E-2</v>
      </c>
    </row>
    <row r="8" spans="1:5">
      <c r="A8" s="66" t="s">
        <v>40</v>
      </c>
      <c r="B8" s="67" t="s">
        <v>8</v>
      </c>
      <c r="C8" s="57">
        <v>0.29210000000000003</v>
      </c>
      <c r="D8" s="57">
        <v>0.22409999999999999</v>
      </c>
      <c r="E8" s="68">
        <f>benchmark!E7</f>
        <v>6.9556381738272055E-2</v>
      </c>
    </row>
    <row r="9" spans="1:5">
      <c r="A9" s="66" t="s">
        <v>43</v>
      </c>
      <c r="B9" s="67" t="s">
        <v>11</v>
      </c>
      <c r="C9" s="57">
        <v>0.29210000000000003</v>
      </c>
      <c r="D9" s="57">
        <v>0.22409999999999999</v>
      </c>
      <c r="E9" s="68">
        <f>benchmark!E8</f>
        <v>7.4196306764331643E-2</v>
      </c>
    </row>
    <row r="10" spans="1:5">
      <c r="A10" s="66" t="s">
        <v>44</v>
      </c>
      <c r="B10" s="67" t="s">
        <v>12</v>
      </c>
      <c r="C10" s="57">
        <v>0.29210000000000003</v>
      </c>
      <c r="D10" s="57">
        <v>0.22409999999999999</v>
      </c>
      <c r="E10" s="68">
        <f>benchmark!E9</f>
        <v>7.3238976702378888E-2</v>
      </c>
    </row>
    <row r="11" spans="1:5">
      <c r="A11" s="66" t="s">
        <v>45</v>
      </c>
      <c r="B11" s="67" t="s">
        <v>13</v>
      </c>
      <c r="C11" s="57">
        <v>0.29210000000000003</v>
      </c>
      <c r="D11" s="57">
        <v>0.22409999999999999</v>
      </c>
      <c r="E11" s="68">
        <f>benchmark!E10</f>
        <v>6.8239581797072679E-2</v>
      </c>
    </row>
    <row r="12" spans="1:5">
      <c r="A12" s="66" t="s">
        <v>47</v>
      </c>
      <c r="B12" s="67" t="s">
        <v>15</v>
      </c>
      <c r="C12" s="57">
        <v>0.29210000000000003</v>
      </c>
      <c r="D12" s="57">
        <v>0.22409999999999999</v>
      </c>
      <c r="E12" s="68">
        <f>benchmark!E11</f>
        <v>7.1990943463978052E-2</v>
      </c>
    </row>
    <row r="13" spans="1:5">
      <c r="A13" s="66" t="s">
        <v>50</v>
      </c>
      <c r="B13" s="67" t="s">
        <v>18</v>
      </c>
      <c r="C13" s="57">
        <v>0.29210000000000003</v>
      </c>
      <c r="D13" s="57">
        <v>0.22409999999999999</v>
      </c>
      <c r="E13" s="68">
        <f>benchmark!E12</f>
        <v>7.0958122192093631E-2</v>
      </c>
    </row>
    <row r="14" spans="1:5">
      <c r="A14" s="69" t="s">
        <v>51</v>
      </c>
      <c r="B14" s="70" t="s">
        <v>19</v>
      </c>
      <c r="C14" s="57">
        <v>0.29210000000000003</v>
      </c>
      <c r="D14" s="57">
        <v>0.22409999999999999</v>
      </c>
      <c r="E14" s="68">
        <f>benchmark!E13</f>
        <v>6.7640944515235724E-2</v>
      </c>
    </row>
    <row r="15" spans="1:5">
      <c r="A15" s="66" t="s">
        <v>57</v>
      </c>
      <c r="B15" s="71" t="s">
        <v>25</v>
      </c>
      <c r="C15" s="59">
        <v>0.29210000000000003</v>
      </c>
      <c r="D15" s="59">
        <v>0.22409999999999999</v>
      </c>
      <c r="E15" s="72">
        <f>benchmark!E14</f>
        <v>7.3534153020848869E-2</v>
      </c>
    </row>
    <row r="16" spans="1:5" ht="15">
      <c r="A16" s="55" t="s">
        <v>83</v>
      </c>
      <c r="B16" s="65"/>
      <c r="C16" s="60"/>
      <c r="D16" s="60"/>
      <c r="E16" s="73"/>
    </row>
    <row r="17" spans="1:5">
      <c r="A17" s="74" t="s">
        <v>35</v>
      </c>
      <c r="B17" s="75" t="s">
        <v>3</v>
      </c>
      <c r="C17" s="57">
        <v>0.25</v>
      </c>
      <c r="D17" s="57">
        <v>0.2</v>
      </c>
      <c r="E17" s="68">
        <f>benchmark!E15</f>
        <v>6.3615683298332115E-2</v>
      </c>
    </row>
    <row r="18" spans="1:5">
      <c r="A18" s="74" t="s">
        <v>48</v>
      </c>
      <c r="B18" s="75" t="s">
        <v>16</v>
      </c>
      <c r="C18" s="57">
        <v>0.25</v>
      </c>
      <c r="D18" s="57">
        <v>0.2</v>
      </c>
      <c r="E18" s="68">
        <f>benchmark!E16</f>
        <v>6.2649637541019931E-2</v>
      </c>
    </row>
    <row r="19" spans="1:5">
      <c r="A19" s="74" t="s">
        <v>52</v>
      </c>
      <c r="B19" s="75" t="s">
        <v>20</v>
      </c>
      <c r="C19" s="57">
        <v>0.25</v>
      </c>
      <c r="D19" s="57">
        <v>0.2</v>
      </c>
      <c r="E19" s="68">
        <f>benchmark!E17</f>
        <v>6.2322929795181281E-2</v>
      </c>
    </row>
    <row r="20" spans="1:5">
      <c r="A20" s="74" t="s">
        <v>54</v>
      </c>
      <c r="B20" s="76" t="s">
        <v>22</v>
      </c>
      <c r="C20" s="59">
        <v>0.25</v>
      </c>
      <c r="D20" s="59">
        <v>0.2</v>
      </c>
      <c r="E20" s="72">
        <f>benchmark!E18</f>
        <v>5.9889628913682769E-2</v>
      </c>
    </row>
    <row r="21" spans="1:5" ht="15">
      <c r="A21" s="55" t="s">
        <v>84</v>
      </c>
      <c r="B21" s="65"/>
      <c r="C21" s="60"/>
      <c r="D21" s="60"/>
      <c r="E21" s="73"/>
    </row>
    <row r="22" spans="1:5">
      <c r="A22" s="66" t="s">
        <v>32</v>
      </c>
      <c r="B22" s="67" t="s">
        <v>0</v>
      </c>
      <c r="C22" s="57">
        <v>0.29210000000000003</v>
      </c>
      <c r="D22" s="57">
        <v>0.24</v>
      </c>
      <c r="E22" s="68">
        <f>benchmark!E19</f>
        <v>7.5209667854853279E-2</v>
      </c>
    </row>
    <row r="23" spans="1:5">
      <c r="A23" s="69" t="s">
        <v>37</v>
      </c>
      <c r="B23" s="70" t="s">
        <v>5</v>
      </c>
      <c r="C23" s="57">
        <v>0.29210000000000003</v>
      </c>
      <c r="D23" s="57">
        <v>0.24</v>
      </c>
      <c r="E23" s="68">
        <f>benchmark!E20</f>
        <v>7.8614029128135643E-2</v>
      </c>
    </row>
    <row r="24" spans="1:5">
      <c r="A24" s="66" t="s">
        <v>41</v>
      </c>
      <c r="B24" s="67" t="s">
        <v>9</v>
      </c>
      <c r="C24" s="57">
        <v>0.29210000000000003</v>
      </c>
      <c r="D24" s="57">
        <v>0.24</v>
      </c>
      <c r="E24" s="68">
        <f>benchmark!E21</f>
        <v>7.5007753629370955E-2</v>
      </c>
    </row>
    <row r="25" spans="1:5">
      <c r="A25" s="69" t="s">
        <v>46</v>
      </c>
      <c r="B25" s="70" t="s">
        <v>14</v>
      </c>
      <c r="C25" s="57">
        <v>0.29210000000000003</v>
      </c>
      <c r="D25" s="57">
        <v>0.24</v>
      </c>
      <c r="E25" s="68">
        <f>benchmark!E22</f>
        <v>7.5975178107476227E-2</v>
      </c>
    </row>
    <row r="26" spans="1:5">
      <c r="A26" s="66" t="s">
        <v>53</v>
      </c>
      <c r="B26" s="67" t="s">
        <v>21</v>
      </c>
      <c r="C26" s="57">
        <v>0.29210000000000003</v>
      </c>
      <c r="D26" s="57">
        <v>0.24</v>
      </c>
      <c r="E26" s="68">
        <f>benchmark!E23</f>
        <v>7.752180227109684E-2</v>
      </c>
    </row>
    <row r="27" spans="1:5">
      <c r="A27" s="66" t="s">
        <v>55</v>
      </c>
      <c r="B27" s="71" t="s">
        <v>23</v>
      </c>
      <c r="C27" s="59">
        <v>0.29210000000000003</v>
      </c>
      <c r="D27" s="59">
        <v>0.24</v>
      </c>
      <c r="E27" s="72">
        <f>benchmark!E24</f>
        <v>8.736485138872041E-2</v>
      </c>
    </row>
    <row r="28" spans="1:5" ht="15">
      <c r="A28" s="55" t="s">
        <v>86</v>
      </c>
      <c r="B28" s="65"/>
      <c r="C28" s="60"/>
      <c r="D28" s="60"/>
      <c r="E28" s="73"/>
    </row>
    <row r="29" spans="1:5">
      <c r="A29" s="74" t="s">
        <v>49</v>
      </c>
      <c r="B29" s="75" t="s">
        <v>17</v>
      </c>
      <c r="C29" s="57">
        <v>0.29210000000000003</v>
      </c>
      <c r="D29" s="57">
        <v>0.26</v>
      </c>
      <c r="E29" s="68">
        <f>benchmark!E25</f>
        <v>8.2338668511319657E-2</v>
      </c>
    </row>
    <row r="30" spans="1:5">
      <c r="A30" s="74" t="s">
        <v>56</v>
      </c>
      <c r="B30" s="76" t="s">
        <v>24</v>
      </c>
      <c r="C30" s="59">
        <v>0.29210000000000003</v>
      </c>
      <c r="D30" s="59">
        <v>0.26</v>
      </c>
      <c r="E30" s="72">
        <f>benchmark!E26</f>
        <v>7.9234973949666054E-2</v>
      </c>
    </row>
    <row r="31" spans="1:5" ht="15">
      <c r="A31" s="55" t="s">
        <v>85</v>
      </c>
      <c r="B31" s="65"/>
      <c r="C31" s="60"/>
      <c r="D31" s="60"/>
      <c r="E31" s="73"/>
    </row>
    <row r="32" spans="1:5">
      <c r="A32" s="71" t="s">
        <v>42</v>
      </c>
      <c r="B32" s="71" t="s">
        <v>10</v>
      </c>
      <c r="C32" s="59">
        <v>0.29210000000000003</v>
      </c>
      <c r="D32" s="59">
        <v>0.28000000000000003</v>
      </c>
      <c r="E32" s="72">
        <f>benchmark!E27</f>
        <v>9.1093042554803993E-2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J12" sqref="J12"/>
    </sheetView>
  </sheetViews>
  <sheetFormatPr defaultRowHeight="14.25"/>
  <sheetData>
    <row r="1" spans="1:7">
      <c r="A1" s="64"/>
      <c r="B1" s="64"/>
      <c r="C1" s="54" t="s">
        <v>30</v>
      </c>
      <c r="D1" s="54" t="s">
        <v>28</v>
      </c>
      <c r="E1" s="54" t="s">
        <v>29</v>
      </c>
      <c r="F1" s="54" t="s">
        <v>59</v>
      </c>
      <c r="G1" s="77" t="s">
        <v>58</v>
      </c>
    </row>
    <row r="2" spans="1:7" ht="15">
      <c r="A2" s="63" t="s">
        <v>82</v>
      </c>
      <c r="B2" s="75"/>
      <c r="C2" s="61"/>
      <c r="D2" s="61"/>
      <c r="E2" s="75"/>
    </row>
    <row r="3" spans="1:7">
      <c r="A3" s="66" t="s">
        <v>33</v>
      </c>
      <c r="B3" s="67" t="s">
        <v>1</v>
      </c>
      <c r="C3" s="9">
        <v>7.6788294295846202E-2</v>
      </c>
      <c r="D3" s="7">
        <v>0.307</v>
      </c>
      <c r="E3" s="7">
        <v>0.34399999999999997</v>
      </c>
      <c r="F3" s="9">
        <v>0.162385009567135</v>
      </c>
      <c r="G3" s="9">
        <v>2.1014117551745599</v>
      </c>
    </row>
    <row r="4" spans="1:7">
      <c r="A4" s="66" t="s">
        <v>34</v>
      </c>
      <c r="B4" s="67" t="s">
        <v>2</v>
      </c>
      <c r="C4" s="9">
        <v>0.13399927480846099</v>
      </c>
      <c r="D4" s="7">
        <v>0.14699999999999999</v>
      </c>
      <c r="E4" s="7">
        <v>0.17499999999999999</v>
      </c>
      <c r="F4" s="9">
        <v>6.4732172424414702E-2</v>
      </c>
      <c r="G4" s="9">
        <v>2.2835567018627398</v>
      </c>
    </row>
    <row r="5" spans="1:7">
      <c r="A5" s="66" t="s">
        <v>36</v>
      </c>
      <c r="B5" s="67" t="s">
        <v>4</v>
      </c>
      <c r="C5" s="9">
        <v>1.9065050727455599E-2</v>
      </c>
      <c r="D5" s="7">
        <v>0.36499999999999999</v>
      </c>
      <c r="E5" s="7">
        <v>0.34899999999999998</v>
      </c>
      <c r="F5" s="9">
        <v>0.280948167866511</v>
      </c>
      <c r="G5" s="9">
        <v>1.8807924546582899</v>
      </c>
    </row>
    <row r="6" spans="1:7">
      <c r="A6" s="66" t="s">
        <v>38</v>
      </c>
      <c r="B6" s="67" t="s">
        <v>6</v>
      </c>
      <c r="C6" s="9">
        <v>0.105313833802496</v>
      </c>
      <c r="D6" s="7">
        <v>0.24199999999999999</v>
      </c>
      <c r="E6" s="7">
        <v>0.28100000000000003</v>
      </c>
      <c r="F6" s="9">
        <v>9.0151558376122404E-2</v>
      </c>
      <c r="G6" s="9">
        <v>2.20604675742281</v>
      </c>
    </row>
    <row r="7" spans="1:7">
      <c r="A7" s="66" t="s">
        <v>39</v>
      </c>
      <c r="B7" s="67" t="s">
        <v>7</v>
      </c>
      <c r="C7" s="9">
        <v>1.6658683336147399E-2</v>
      </c>
      <c r="D7" s="7">
        <v>0.26200000000000001</v>
      </c>
      <c r="E7" s="7">
        <v>0.29499999999999998</v>
      </c>
      <c r="F7" s="9">
        <v>0.31487277704670602</v>
      </c>
      <c r="G7" s="9">
        <v>1.84724925173401</v>
      </c>
    </row>
    <row r="8" spans="1:7">
      <c r="A8" s="66" t="s">
        <v>40</v>
      </c>
      <c r="B8" s="67" t="s">
        <v>8</v>
      </c>
      <c r="C8" s="9">
        <v>0.102842184646854</v>
      </c>
      <c r="D8" s="7">
        <v>0.26800000000000002</v>
      </c>
      <c r="E8" s="7">
        <v>0.29199999999999998</v>
      </c>
      <c r="F8" s="9">
        <v>0.13274732015562399</v>
      </c>
      <c r="G8" s="9">
        <v>2.18001543665163</v>
      </c>
    </row>
    <row r="9" spans="1:7">
      <c r="A9" s="66" t="s">
        <v>43</v>
      </c>
      <c r="B9" s="67" t="s">
        <v>11</v>
      </c>
      <c r="C9" s="9">
        <v>0.117110600385067</v>
      </c>
      <c r="D9" s="7">
        <v>0.218</v>
      </c>
      <c r="E9" s="7">
        <v>0.29499999999999998</v>
      </c>
      <c r="F9" s="9">
        <v>4.2295089359399698E-2</v>
      </c>
      <c r="G9" s="9">
        <v>2.22487716973371</v>
      </c>
    </row>
    <row r="10" spans="1:7">
      <c r="A10" s="66" t="s">
        <v>44</v>
      </c>
      <c r="B10" s="67" t="s">
        <v>12</v>
      </c>
      <c r="C10" s="9">
        <v>0.134714002142304</v>
      </c>
      <c r="D10" s="7">
        <v>0.30599999999999999</v>
      </c>
      <c r="E10" s="7">
        <v>0.26300000000000001</v>
      </c>
      <c r="F10" s="9">
        <v>0.13504528409063399</v>
      </c>
      <c r="G10" s="9">
        <v>2.2233628275035602</v>
      </c>
    </row>
    <row r="11" spans="1:7">
      <c r="A11" s="66" t="s">
        <v>45</v>
      </c>
      <c r="B11" s="67" t="s">
        <v>13</v>
      </c>
      <c r="C11" s="9">
        <v>2.6986358020763601E-2</v>
      </c>
      <c r="D11" s="7">
        <v>0.26900000000000002</v>
      </c>
      <c r="E11" s="7">
        <v>0.30599999999999999</v>
      </c>
      <c r="F11" s="9">
        <v>0.24941987979842001</v>
      </c>
      <c r="G11" s="9">
        <v>1.9340628620337601</v>
      </c>
    </row>
    <row r="12" spans="1:7">
      <c r="A12" s="66" t="s">
        <v>47</v>
      </c>
      <c r="B12" s="67" t="s">
        <v>15</v>
      </c>
      <c r="C12" s="9">
        <v>7.7561122931493406E-2</v>
      </c>
      <c r="D12" s="7">
        <v>0.28399999999999997</v>
      </c>
      <c r="E12" s="7">
        <v>0.29399999999999998</v>
      </c>
      <c r="F12" s="9">
        <v>0.15898646277683401</v>
      </c>
      <c r="G12" s="9">
        <v>2.0951958911060502</v>
      </c>
    </row>
    <row r="13" spans="1:7">
      <c r="A13" s="66" t="s">
        <v>50</v>
      </c>
      <c r="B13" s="67" t="s">
        <v>18</v>
      </c>
      <c r="C13" s="9">
        <v>0.115963405128978</v>
      </c>
      <c r="D13" s="7">
        <v>0.29799999999999999</v>
      </c>
      <c r="E13" s="7">
        <v>0.30099999999999999</v>
      </c>
      <c r="F13" s="9">
        <v>0.12725825562437301</v>
      </c>
      <c r="G13" s="9">
        <v>2.2052515031017599</v>
      </c>
    </row>
    <row r="14" spans="1:7">
      <c r="A14" s="69" t="s">
        <v>51</v>
      </c>
      <c r="B14" s="70" t="s">
        <v>19</v>
      </c>
      <c r="C14" s="9">
        <v>1.0042274355306E-2</v>
      </c>
      <c r="D14" s="7">
        <v>0.183</v>
      </c>
      <c r="E14" s="7">
        <v>0.183</v>
      </c>
      <c r="F14" s="9">
        <v>0.35681670126486897</v>
      </c>
      <c r="G14" s="9">
        <v>1.78657347489462</v>
      </c>
    </row>
    <row r="15" spans="1:7">
      <c r="A15" s="66" t="s">
        <v>57</v>
      </c>
      <c r="B15" s="67" t="s">
        <v>25</v>
      </c>
      <c r="C15" s="9">
        <v>0.13693392100184901</v>
      </c>
      <c r="D15" s="7">
        <v>0.26</v>
      </c>
      <c r="E15" s="7">
        <v>0.30099999999999999</v>
      </c>
      <c r="F15" s="9">
        <v>5.7273101472496001E-2</v>
      </c>
      <c r="G15" s="9">
        <v>2.2779710874577201</v>
      </c>
    </row>
    <row r="16" spans="1:7" ht="15">
      <c r="A16" s="55" t="s">
        <v>83</v>
      </c>
      <c r="B16" s="65"/>
      <c r="C16" s="78"/>
      <c r="D16" s="60"/>
      <c r="E16" s="73"/>
      <c r="F16" s="78"/>
      <c r="G16" s="78"/>
    </row>
    <row r="17" spans="1:7">
      <c r="A17" s="75" t="s">
        <v>35</v>
      </c>
      <c r="B17" s="75" t="s">
        <v>3</v>
      </c>
      <c r="C17" s="79">
        <v>9.0464268704287906E-2</v>
      </c>
      <c r="D17" s="61">
        <v>0.30099999999999999</v>
      </c>
      <c r="E17" s="61">
        <v>0.29599999999999999</v>
      </c>
      <c r="F17" s="79">
        <v>4.5083747749670097E-2</v>
      </c>
      <c r="G17" s="79">
        <v>2.1483799089521902</v>
      </c>
    </row>
    <row r="18" spans="1:7">
      <c r="A18" s="75" t="s">
        <v>48</v>
      </c>
      <c r="B18" s="75" t="s">
        <v>16</v>
      </c>
      <c r="C18" s="79">
        <v>3.3029477359055197E-2</v>
      </c>
      <c r="D18" s="61">
        <v>0.26500000000000001</v>
      </c>
      <c r="E18" s="61">
        <v>0.15</v>
      </c>
      <c r="F18" s="79">
        <v>0.324649303537212</v>
      </c>
      <c r="G18" s="79">
        <v>1.8144793823171701</v>
      </c>
    </row>
    <row r="19" spans="1:7">
      <c r="A19" s="75" t="s">
        <v>52</v>
      </c>
      <c r="B19" s="75" t="s">
        <v>20</v>
      </c>
      <c r="C19" s="79">
        <v>6.9307301381246703E-2</v>
      </c>
      <c r="D19" s="61">
        <v>0.27400000000000002</v>
      </c>
      <c r="E19" s="61">
        <v>0.187</v>
      </c>
      <c r="F19" s="79">
        <v>0.17633900436769101</v>
      </c>
      <c r="G19" s="79">
        <v>2.02221907233139</v>
      </c>
    </row>
    <row r="20" spans="1:7">
      <c r="A20" s="76" t="s">
        <v>54</v>
      </c>
      <c r="B20" s="76" t="s">
        <v>22</v>
      </c>
      <c r="C20" s="80">
        <v>4.8007881203876203E-2</v>
      </c>
      <c r="D20" s="62">
        <v>0.254</v>
      </c>
      <c r="E20" s="62">
        <v>0.2</v>
      </c>
      <c r="F20" s="80">
        <v>0.18327545298244299</v>
      </c>
      <c r="G20" s="80">
        <v>1.99548297839212</v>
      </c>
    </row>
    <row r="21" spans="1:7" ht="15">
      <c r="A21" s="63" t="s">
        <v>84</v>
      </c>
      <c r="B21" s="75"/>
      <c r="C21" s="79"/>
      <c r="D21" s="57"/>
      <c r="E21" s="68"/>
      <c r="F21" s="2"/>
      <c r="G21" s="2"/>
    </row>
    <row r="22" spans="1:7">
      <c r="A22" s="66" t="s">
        <v>32</v>
      </c>
      <c r="B22" s="67" t="s">
        <v>0</v>
      </c>
      <c r="C22" s="9">
        <v>0.102273664336098</v>
      </c>
      <c r="D22" s="7">
        <v>0.28999999999999998</v>
      </c>
      <c r="E22" s="7">
        <v>0.31900000000000001</v>
      </c>
      <c r="F22" s="9">
        <v>0.144793787039046</v>
      </c>
      <c r="G22" s="9">
        <v>2.1658639973107401</v>
      </c>
    </row>
    <row r="23" spans="1:7">
      <c r="A23" s="69" t="s">
        <v>37</v>
      </c>
      <c r="B23" s="70" t="s">
        <v>5</v>
      </c>
      <c r="C23" s="9">
        <v>0.148385038049068</v>
      </c>
      <c r="D23" s="7">
        <v>0.182</v>
      </c>
      <c r="E23" s="7">
        <v>0.182</v>
      </c>
      <c r="F23" s="9">
        <v>9.3131907377622405E-2</v>
      </c>
      <c r="G23" s="9">
        <v>2.2925673148669499</v>
      </c>
    </row>
    <row r="24" spans="1:7">
      <c r="A24" s="66" t="s">
        <v>41</v>
      </c>
      <c r="B24" s="67" t="s">
        <v>9</v>
      </c>
      <c r="C24" s="9">
        <v>0.10513619520275699</v>
      </c>
      <c r="D24" s="7">
        <v>0.28399999999999997</v>
      </c>
      <c r="E24" s="7">
        <v>0.316</v>
      </c>
      <c r="F24" s="9">
        <v>0.13934857361727199</v>
      </c>
      <c r="G24" s="9">
        <v>2.1782243325216601</v>
      </c>
    </row>
    <row r="25" spans="1:7">
      <c r="A25" s="69" t="s">
        <v>46</v>
      </c>
      <c r="B25" s="70" t="s">
        <v>14</v>
      </c>
      <c r="C25" s="9">
        <v>9.9194292649429194E-2</v>
      </c>
      <c r="D25" s="7">
        <v>0.21299999999999999</v>
      </c>
      <c r="E25" s="7">
        <v>0.21299999999999999</v>
      </c>
      <c r="F25" s="9">
        <v>0.17407531947263299</v>
      </c>
      <c r="G25" s="9">
        <v>2.1216429115161701</v>
      </c>
    </row>
    <row r="26" spans="1:7">
      <c r="A26" s="66" t="s">
        <v>53</v>
      </c>
      <c r="B26" s="67" t="s">
        <v>21</v>
      </c>
      <c r="C26" s="9">
        <v>0.12564711421487099</v>
      </c>
      <c r="D26" s="7">
        <v>0.29299999999999998</v>
      </c>
      <c r="E26" s="7">
        <v>0.318</v>
      </c>
      <c r="F26" s="9">
        <v>0.10237933676547099</v>
      </c>
      <c r="G26" s="9">
        <v>2.24134428642627</v>
      </c>
    </row>
    <row r="27" spans="1:7">
      <c r="A27" s="66" t="s">
        <v>55</v>
      </c>
      <c r="B27" s="67" t="s">
        <v>23</v>
      </c>
      <c r="C27" s="9">
        <v>0.15526060737878999</v>
      </c>
      <c r="D27" s="7">
        <v>0.27700000000000002</v>
      </c>
      <c r="E27" s="7">
        <v>0.215</v>
      </c>
      <c r="F27" s="9">
        <v>9.7519961489465595E-2</v>
      </c>
      <c r="G27" s="9">
        <v>2.2506935861039699</v>
      </c>
    </row>
    <row r="28" spans="1:7" ht="15">
      <c r="A28" s="55" t="s">
        <v>86</v>
      </c>
      <c r="B28" s="65"/>
      <c r="C28" s="78"/>
      <c r="D28" s="60"/>
      <c r="E28" s="73"/>
      <c r="F28" s="78"/>
      <c r="G28" s="78"/>
    </row>
    <row r="29" spans="1:7">
      <c r="A29" s="75" t="s">
        <v>49</v>
      </c>
      <c r="B29" s="75" t="s">
        <v>17</v>
      </c>
      <c r="C29" s="79">
        <v>6.8622264216601295E-2</v>
      </c>
      <c r="D29" s="61">
        <v>0.312</v>
      </c>
      <c r="E29" s="61">
        <v>0.318</v>
      </c>
      <c r="F29" s="79">
        <v>0.243153681354499</v>
      </c>
      <c r="G29" s="79">
        <v>1.9921458714800899</v>
      </c>
    </row>
    <row r="30" spans="1:7">
      <c r="A30" s="76" t="s">
        <v>56</v>
      </c>
      <c r="B30" s="76" t="s">
        <v>24</v>
      </c>
      <c r="C30" s="80">
        <v>7.7731730924818401E-2</v>
      </c>
      <c r="D30" s="62">
        <v>0.255</v>
      </c>
      <c r="E30" s="62">
        <v>0.30499999999999999</v>
      </c>
      <c r="F30" s="80">
        <v>0.201982114986962</v>
      </c>
      <c r="G30" s="80">
        <v>2.0706020392396902</v>
      </c>
    </row>
    <row r="31" spans="1:7" ht="15">
      <c r="A31" s="55" t="s">
        <v>85</v>
      </c>
      <c r="B31" s="65"/>
      <c r="C31" s="78"/>
      <c r="D31" s="60"/>
      <c r="E31" s="73"/>
      <c r="F31" s="78"/>
      <c r="G31" s="78"/>
    </row>
    <row r="32" spans="1:7">
      <c r="A32" s="71" t="s">
        <v>42</v>
      </c>
      <c r="B32" s="71" t="s">
        <v>10</v>
      </c>
      <c r="C32" s="81">
        <v>0.12068220489102199</v>
      </c>
      <c r="D32" s="58">
        <v>0.28299999999999997</v>
      </c>
      <c r="E32" s="58">
        <v>0.28399999999999997</v>
      </c>
      <c r="F32" s="81">
        <v>0.17369235907906599</v>
      </c>
      <c r="G32" s="81">
        <v>2.1583687363644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6" sqref="F16"/>
    </sheetView>
  </sheetViews>
  <sheetFormatPr defaultRowHeight="14.25"/>
  <cols>
    <col min="1" max="1" width="14.25" bestFit="1" customWidth="1"/>
  </cols>
  <sheetData>
    <row r="1" spans="1:6">
      <c r="A1" s="82"/>
      <c r="B1" s="82"/>
      <c r="C1" s="83" t="s">
        <v>26</v>
      </c>
      <c r="D1" s="83" t="s">
        <v>60</v>
      </c>
      <c r="E1" s="83" t="s">
        <v>61</v>
      </c>
      <c r="F1" s="83" t="s">
        <v>62</v>
      </c>
    </row>
    <row r="2" spans="1:6" ht="15">
      <c r="A2" s="84" t="s">
        <v>82</v>
      </c>
      <c r="B2" s="85"/>
      <c r="C2" s="86"/>
      <c r="D2" s="29"/>
      <c r="E2" s="29"/>
      <c r="F2" s="32"/>
    </row>
    <row r="3" spans="1:6">
      <c r="A3" s="87" t="s">
        <v>33</v>
      </c>
      <c r="B3" s="85" t="s">
        <v>1</v>
      </c>
      <c r="C3" s="86">
        <v>8.1600000000000006E-2</v>
      </c>
      <c r="D3" s="5">
        <v>0.56443417009271801</v>
      </c>
      <c r="E3" s="5">
        <v>3.6868334977361701</v>
      </c>
      <c r="F3" s="100">
        <v>0.77926840375098272</v>
      </c>
    </row>
    <row r="4" spans="1:6">
      <c r="A4" s="87" t="s">
        <v>34</v>
      </c>
      <c r="B4" s="85" t="s">
        <v>2</v>
      </c>
      <c r="C4" s="86">
        <v>7.4399999999999994E-2</v>
      </c>
      <c r="D4" s="5">
        <v>0.57698927157167801</v>
      </c>
      <c r="E4" s="5">
        <v>3.55732427233584</v>
      </c>
      <c r="F4" s="100">
        <v>0.7685799504898464</v>
      </c>
    </row>
    <row r="5" spans="1:6">
      <c r="A5" s="87" t="s">
        <v>36</v>
      </c>
      <c r="B5" s="85" t="s">
        <v>4</v>
      </c>
      <c r="C5" s="86">
        <v>0.1048</v>
      </c>
      <c r="D5" s="5">
        <v>0.59435090703056703</v>
      </c>
      <c r="E5" s="5">
        <v>3.5088308185414299</v>
      </c>
      <c r="F5" s="100">
        <v>0.81542217082292545</v>
      </c>
    </row>
    <row r="6" spans="1:6">
      <c r="A6" s="87" t="s">
        <v>38</v>
      </c>
      <c r="B6" s="85" t="s">
        <v>6</v>
      </c>
      <c r="C6" s="86">
        <v>9.1700000000000004E-2</v>
      </c>
      <c r="D6" s="5">
        <v>0.59121353193811499</v>
      </c>
      <c r="E6" s="5">
        <v>3.5094267006008102</v>
      </c>
      <c r="F6" s="100">
        <v>0.78207787756803526</v>
      </c>
    </row>
    <row r="7" spans="1:6">
      <c r="A7" s="87" t="s">
        <v>39</v>
      </c>
      <c r="B7" s="85" t="s">
        <v>7</v>
      </c>
      <c r="C7" s="86">
        <v>7.2900000000000006E-2</v>
      </c>
      <c r="D7" s="5">
        <v>0.55685430569527306</v>
      </c>
      <c r="E7" s="5">
        <v>3.8906356153973598</v>
      </c>
      <c r="F7" s="100">
        <v>0.78659220155114729</v>
      </c>
    </row>
    <row r="8" spans="1:6">
      <c r="A8" s="87" t="s">
        <v>40</v>
      </c>
      <c r="B8" s="85" t="s">
        <v>8</v>
      </c>
      <c r="C8" s="86">
        <v>7.1999999999999995E-2</v>
      </c>
      <c r="D8" s="5">
        <v>0.55071333843106896</v>
      </c>
      <c r="E8" s="5">
        <v>3.66461586553143</v>
      </c>
      <c r="F8" s="100">
        <v>0.77248902180497514</v>
      </c>
    </row>
    <row r="9" spans="1:6">
      <c r="A9" s="87" t="s">
        <v>43</v>
      </c>
      <c r="B9" s="85" t="s">
        <v>11</v>
      </c>
      <c r="C9" s="86">
        <v>0.10050000000000001</v>
      </c>
      <c r="D9" s="5">
        <v>0.63698253034103502</v>
      </c>
      <c r="E9" s="5">
        <v>3.4114900627578999</v>
      </c>
      <c r="F9" s="100">
        <v>0.78318359338624843</v>
      </c>
    </row>
    <row r="10" spans="1:6">
      <c r="A10" s="87" t="s">
        <v>44</v>
      </c>
      <c r="B10" s="85" t="s">
        <v>12</v>
      </c>
      <c r="C10" s="86">
        <v>6.0900000000000003E-2</v>
      </c>
      <c r="D10" s="5">
        <v>0.52042759518877402</v>
      </c>
      <c r="E10" s="5">
        <v>3.46158234804291</v>
      </c>
      <c r="F10" s="100">
        <v>0.78142112374165984</v>
      </c>
    </row>
    <row r="11" spans="1:6">
      <c r="A11" s="87" t="s">
        <v>45</v>
      </c>
      <c r="B11" s="85" t="s">
        <v>13</v>
      </c>
      <c r="C11" s="86">
        <v>9.2700000000000005E-2</v>
      </c>
      <c r="D11" s="5">
        <v>0.58289671370128804</v>
      </c>
      <c r="E11" s="5">
        <v>3.7414486232341</v>
      </c>
      <c r="F11" s="100">
        <v>0.79344066540811919</v>
      </c>
    </row>
    <row r="12" spans="1:6">
      <c r="A12" s="87" t="s">
        <v>47</v>
      </c>
      <c r="B12" s="85" t="s">
        <v>15</v>
      </c>
      <c r="C12" s="86">
        <v>9.1800000000000007E-2</v>
      </c>
      <c r="D12" s="5">
        <v>0.57509623218672401</v>
      </c>
      <c r="E12" s="5">
        <v>3.52851053878915</v>
      </c>
      <c r="F12" s="100">
        <v>0.79166120654191718</v>
      </c>
    </row>
    <row r="13" spans="1:6">
      <c r="A13" s="87" t="s">
        <v>50</v>
      </c>
      <c r="B13" s="85" t="s">
        <v>18</v>
      </c>
      <c r="C13" s="86">
        <v>6.88E-2</v>
      </c>
      <c r="D13" s="5">
        <v>0.54218368672200601</v>
      </c>
      <c r="E13" s="5">
        <v>3.5853342990816799</v>
      </c>
      <c r="F13" s="100">
        <v>0.77515797300160094</v>
      </c>
    </row>
    <row r="14" spans="1:6">
      <c r="A14" s="88" t="s">
        <v>51</v>
      </c>
      <c r="B14" s="89" t="s">
        <v>19</v>
      </c>
      <c r="C14" s="86">
        <v>7.2400000000000006E-2</v>
      </c>
      <c r="D14" s="5">
        <v>0.55454480484812896</v>
      </c>
      <c r="E14" s="5">
        <v>3.7771587081710001</v>
      </c>
      <c r="F14" s="100">
        <v>0.79773754427939036</v>
      </c>
    </row>
    <row r="15" spans="1:6">
      <c r="A15" s="87" t="s">
        <v>57</v>
      </c>
      <c r="B15" s="85" t="s">
        <v>25</v>
      </c>
      <c r="C15" s="86">
        <v>8.1100000000000005E-2</v>
      </c>
      <c r="D15" s="5">
        <v>0.58874110885502795</v>
      </c>
      <c r="E15" s="5">
        <v>3.4460236402628301</v>
      </c>
      <c r="F15" s="100">
        <v>0.77638474089518761</v>
      </c>
    </row>
    <row r="16" spans="1:6" ht="15">
      <c r="A16" s="90" t="s">
        <v>83</v>
      </c>
      <c r="B16" s="91"/>
      <c r="C16" s="92"/>
      <c r="D16" s="92"/>
      <c r="E16" s="93"/>
      <c r="F16" s="101"/>
    </row>
    <row r="17" spans="1:6">
      <c r="A17" s="85" t="s">
        <v>35</v>
      </c>
      <c r="B17" s="85" t="s">
        <v>3</v>
      </c>
      <c r="C17" s="94">
        <v>9.2299999999999993E-2</v>
      </c>
      <c r="D17" s="97">
        <v>0.68827323477172597</v>
      </c>
      <c r="E17" s="97">
        <v>4.03077011991014</v>
      </c>
      <c r="F17" s="102">
        <v>0.84560543298850477</v>
      </c>
    </row>
    <row r="18" spans="1:6">
      <c r="A18" s="85" t="s">
        <v>48</v>
      </c>
      <c r="B18" s="85" t="s">
        <v>16</v>
      </c>
      <c r="C18" s="94">
        <v>7.3200000000000001E-2</v>
      </c>
      <c r="D18" s="97">
        <v>0.61920244685290204</v>
      </c>
      <c r="E18" s="97">
        <v>4.0953469245165701</v>
      </c>
      <c r="F18" s="102">
        <v>0.87168234980091086</v>
      </c>
    </row>
    <row r="19" spans="1:6">
      <c r="A19" s="85" t="s">
        <v>52</v>
      </c>
      <c r="B19" s="85" t="s">
        <v>20</v>
      </c>
      <c r="C19" s="94">
        <v>7.6200000000000004E-2</v>
      </c>
      <c r="D19" s="97">
        <v>0.61851978834673305</v>
      </c>
      <c r="E19" s="97">
        <v>4.1175302896387196</v>
      </c>
      <c r="F19" s="102">
        <v>0.85281488791920002</v>
      </c>
    </row>
    <row r="20" spans="1:6">
      <c r="A20" s="95" t="s">
        <v>54</v>
      </c>
      <c r="B20" s="95" t="s">
        <v>22</v>
      </c>
      <c r="C20" s="96">
        <v>8.3699999999999997E-2</v>
      </c>
      <c r="D20" s="99">
        <v>0.63973226344428302</v>
      </c>
      <c r="E20" s="99">
        <v>4.2884516910034902</v>
      </c>
      <c r="F20" s="103">
        <v>0.84887387784176171</v>
      </c>
    </row>
    <row r="21" spans="1:6" ht="15">
      <c r="A21" s="84" t="s">
        <v>84</v>
      </c>
      <c r="B21" s="85"/>
      <c r="C21" s="97"/>
      <c r="D21" s="97"/>
      <c r="E21" s="98"/>
      <c r="F21" s="104"/>
    </row>
    <row r="22" spans="1:6">
      <c r="A22" s="87" t="s">
        <v>32</v>
      </c>
      <c r="B22" s="85" t="s">
        <v>0</v>
      </c>
      <c r="C22" s="86">
        <v>0.08</v>
      </c>
      <c r="D22" s="5">
        <v>0.54288230207206101</v>
      </c>
      <c r="E22" s="5">
        <v>3.3596076555530501</v>
      </c>
      <c r="F22" s="100">
        <v>0.76962746512691693</v>
      </c>
    </row>
    <row r="23" spans="1:6">
      <c r="A23" s="88" t="s">
        <v>37</v>
      </c>
      <c r="B23" s="89" t="s">
        <v>5</v>
      </c>
      <c r="C23" s="86">
        <v>7.4099999999999999E-2</v>
      </c>
      <c r="D23" s="5">
        <v>0.53769450831257704</v>
      </c>
      <c r="E23" s="5">
        <v>3.19346784558121</v>
      </c>
      <c r="F23" s="100">
        <v>0.77116084163453658</v>
      </c>
    </row>
    <row r="24" spans="1:6">
      <c r="A24" s="87" t="s">
        <v>41</v>
      </c>
      <c r="B24" s="85" t="s">
        <v>9</v>
      </c>
      <c r="C24" s="86">
        <v>7.8899999999999998E-2</v>
      </c>
      <c r="D24" s="5">
        <v>0.54247073676727098</v>
      </c>
      <c r="E24" s="5">
        <v>3.36985329163155</v>
      </c>
      <c r="F24" s="100">
        <v>0.76784361530628809</v>
      </c>
    </row>
    <row r="25" spans="1:6">
      <c r="A25" s="88" t="s">
        <v>46</v>
      </c>
      <c r="B25" s="89" t="s">
        <v>14</v>
      </c>
      <c r="C25" s="86">
        <v>7.5600000000000001E-2</v>
      </c>
      <c r="D25" s="5">
        <v>0.5298900254494</v>
      </c>
      <c r="E25" s="5">
        <v>3.3211725206570999</v>
      </c>
      <c r="F25" s="100">
        <v>0.77478013228392506</v>
      </c>
    </row>
    <row r="26" spans="1:6">
      <c r="A26" s="87" t="s">
        <v>53</v>
      </c>
      <c r="B26" s="85" t="s">
        <v>21</v>
      </c>
      <c r="C26" s="86">
        <v>8.3699999999999997E-2</v>
      </c>
      <c r="D26" s="5">
        <v>0.55387672827563605</v>
      </c>
      <c r="E26" s="5">
        <v>3.2454448685694901</v>
      </c>
      <c r="F26" s="100">
        <v>0.77195039265731191</v>
      </c>
    </row>
    <row r="27" spans="1:6">
      <c r="A27" s="87" t="s">
        <v>55</v>
      </c>
      <c r="B27" s="85" t="s">
        <v>23</v>
      </c>
      <c r="C27" s="86">
        <v>9.8000000000000004E-2</v>
      </c>
      <c r="D27" s="5">
        <v>0.55478019829655401</v>
      </c>
      <c r="E27" s="5">
        <v>2.8173857098412198</v>
      </c>
      <c r="F27" s="100">
        <v>0.80690937782469963</v>
      </c>
    </row>
    <row r="28" spans="1:6" ht="15">
      <c r="A28" s="90" t="s">
        <v>86</v>
      </c>
      <c r="B28" s="91"/>
      <c r="C28" s="92"/>
      <c r="D28" s="92"/>
      <c r="E28" s="93"/>
      <c r="F28" s="101"/>
    </row>
    <row r="29" spans="1:6">
      <c r="A29" s="85" t="s">
        <v>49</v>
      </c>
      <c r="B29" s="85" t="s">
        <v>17</v>
      </c>
      <c r="C29" s="86">
        <v>8.5199999999999998E-2</v>
      </c>
      <c r="D29" s="5">
        <v>0.52193960128456396</v>
      </c>
      <c r="E29" s="5">
        <v>3.0250174741545002</v>
      </c>
      <c r="F29" s="100">
        <v>0.77540337580308072</v>
      </c>
    </row>
    <row r="30" spans="1:6">
      <c r="A30" s="95" t="s">
        <v>56</v>
      </c>
      <c r="B30" s="95" t="s">
        <v>24</v>
      </c>
      <c r="C30" s="86">
        <v>8.2000000000000003E-2</v>
      </c>
      <c r="D30" s="5">
        <v>0.52434997818483997</v>
      </c>
      <c r="E30" s="5">
        <v>3.1644553772480499</v>
      </c>
      <c r="F30" s="100">
        <v>0.75973218562141964</v>
      </c>
    </row>
    <row r="31" spans="1:6" ht="15">
      <c r="A31" s="90" t="s">
        <v>85</v>
      </c>
      <c r="B31" s="91"/>
      <c r="C31" s="92"/>
      <c r="D31" s="92"/>
      <c r="E31" s="93"/>
      <c r="F31" s="101"/>
    </row>
    <row r="32" spans="1:6">
      <c r="A32" s="95" t="s">
        <v>42</v>
      </c>
      <c r="B32" s="95" t="s">
        <v>10</v>
      </c>
      <c r="C32" s="96">
        <v>8.7400000000000005E-2</v>
      </c>
      <c r="D32" s="99">
        <v>0.50452618036758101</v>
      </c>
      <c r="E32" s="99">
        <v>2.6764021892324301</v>
      </c>
      <c r="F32" s="103">
        <v>0.76447002244573103</v>
      </c>
    </row>
    <row r="33" spans="1:6">
      <c r="A33" s="29"/>
      <c r="B33" s="29"/>
      <c r="C33" s="29"/>
      <c r="D33" s="29"/>
      <c r="E33" s="29"/>
      <c r="F33" s="29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benchmark</vt:lpstr>
      <vt:lpstr>social_planner</vt:lpstr>
      <vt:lpstr>social_planner_diff</vt:lpstr>
      <vt:lpstr>no_bias</vt:lpstr>
      <vt:lpstr>no_bias_diff</vt:lpstr>
      <vt:lpstr>Sheet1</vt:lpstr>
      <vt:lpstr>paper_table</vt:lpstr>
      <vt:lpstr>paper_table_2</vt:lpstr>
      <vt:lpstr>paper_table_3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Okabe, Tomohito</dc:creator>
  <cp:lastModifiedBy>Okabe, Tomohito</cp:lastModifiedBy>
  <cp:lastPrinted>2014-03-18T05:12:04Z</cp:lastPrinted>
  <dcterms:created xsi:type="dcterms:W3CDTF">2014-03-18T04:40:45Z</dcterms:created>
  <dcterms:modified xsi:type="dcterms:W3CDTF">2014-10-09T23:32:24Z</dcterms:modified>
</cp:coreProperties>
</file>