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 firstSheet="3" activeTab="6"/>
  </bookViews>
  <sheets>
    <sheet name="Von ban dau" sheetId="1" r:id="rId1"/>
    <sheet name="Uoc luong san pham ban ra" sheetId="2" r:id="rId2"/>
    <sheet name="Von dau tu &amp; von luu dong" sheetId="3" r:id="rId3"/>
    <sheet name="Chi phi &amp; Gia thanh" sheetId="4" r:id="rId4"/>
    <sheet name="Doanh Thu" sheetId="6" r:id="rId5"/>
    <sheet name="Kế hoạch doanh thu và chi phí" sheetId="7" r:id="rId6"/>
    <sheet name="Lưu chuyển tiền mặt" sheetId="12" r:id="rId7"/>
  </sheets>
  <calcPr calcId="162913"/>
</workbook>
</file>

<file path=xl/calcChain.xml><?xml version="1.0" encoding="utf-8"?>
<calcChain xmlns="http://schemas.openxmlformats.org/spreadsheetml/2006/main">
  <c r="B25" i="3" l="1"/>
  <c r="D25" i="3" s="1"/>
  <c r="A22" i="3"/>
  <c r="A16" i="3"/>
  <c r="A25" i="3" s="1"/>
  <c r="C16" i="3"/>
  <c r="D16" i="3"/>
  <c r="A15" i="3"/>
  <c r="A24" i="3" s="1"/>
  <c r="C15" i="3"/>
  <c r="B24" i="3" s="1"/>
  <c r="D24" i="3" s="1"/>
  <c r="D15" i="3"/>
  <c r="A12" i="3"/>
  <c r="C12" i="3"/>
  <c r="D12" i="3"/>
  <c r="C15" i="1"/>
  <c r="A13" i="3"/>
  <c r="D13" i="3"/>
  <c r="A14" i="3"/>
  <c r="A23" i="3" s="1"/>
  <c r="D14" i="3"/>
  <c r="C17" i="1"/>
  <c r="C16" i="1"/>
  <c r="C14" i="1"/>
  <c r="C13" i="3" s="1"/>
  <c r="B22" i="3" s="1"/>
  <c r="D22" i="3" s="1"/>
  <c r="C7" i="1"/>
  <c r="C11" i="1"/>
  <c r="C10" i="1"/>
  <c r="C9" i="1"/>
  <c r="C4" i="1"/>
  <c r="A6" i="4"/>
  <c r="B15" i="12"/>
  <c r="B13" i="7"/>
  <c r="C15" i="12" s="1"/>
  <c r="C13" i="7"/>
  <c r="D15" i="12" s="1"/>
  <c r="D13" i="7"/>
  <c r="E15" i="12" s="1"/>
  <c r="E13" i="7"/>
  <c r="F15" i="12" s="1"/>
  <c r="F13" i="7"/>
  <c r="G15" i="12" s="1"/>
  <c r="G13" i="7"/>
  <c r="H15" i="12" s="1"/>
  <c r="H13" i="7"/>
  <c r="I15" i="12" s="1"/>
  <c r="I13" i="7"/>
  <c r="J15" i="12" s="1"/>
  <c r="J13" i="7"/>
  <c r="K15" i="12" s="1"/>
  <c r="K13" i="7"/>
  <c r="L15" i="12" s="1"/>
  <c r="L13" i="7"/>
  <c r="M15" i="12" s="1"/>
  <c r="M13" i="7"/>
  <c r="N15" i="12" s="1"/>
  <c r="C13" i="1" l="1"/>
  <c r="C14" i="3" s="1"/>
  <c r="B23" i="3" s="1"/>
  <c r="D23" i="3" s="1"/>
  <c r="D26" i="3" s="1"/>
  <c r="A16" i="7" l="1"/>
  <c r="C25" i="2" l="1"/>
  <c r="D25" i="2"/>
  <c r="E25" i="2"/>
  <c r="F25" i="2"/>
  <c r="G25" i="2"/>
  <c r="H25" i="2"/>
  <c r="I25" i="2"/>
  <c r="J25" i="2"/>
  <c r="K25" i="2"/>
  <c r="L25" i="2"/>
  <c r="M25" i="2"/>
  <c r="C24" i="2"/>
  <c r="D24" i="2"/>
  <c r="E24" i="2"/>
  <c r="F24" i="2"/>
  <c r="G24" i="2"/>
  <c r="H24" i="2"/>
  <c r="I24" i="2"/>
  <c r="J24" i="2"/>
  <c r="K24" i="2"/>
  <c r="L24" i="2"/>
  <c r="M24" i="2"/>
  <c r="C23" i="2"/>
  <c r="D23" i="2"/>
  <c r="E23" i="2"/>
  <c r="F23" i="2"/>
  <c r="G23" i="2"/>
  <c r="H23" i="2"/>
  <c r="I23" i="2"/>
  <c r="J23" i="2"/>
  <c r="K23" i="2"/>
  <c r="L23" i="2"/>
  <c r="M23" i="2"/>
  <c r="L22" i="2"/>
  <c r="M22" i="2"/>
  <c r="C22" i="2"/>
  <c r="D22" i="2"/>
  <c r="E22" i="2"/>
  <c r="F22" i="2"/>
  <c r="G22" i="2"/>
  <c r="H22" i="2"/>
  <c r="I22" i="2"/>
  <c r="J22" i="2"/>
  <c r="K22" i="2"/>
  <c r="C21" i="2"/>
  <c r="D21" i="2"/>
  <c r="E21" i="2"/>
  <c r="F21" i="2"/>
  <c r="G21" i="2"/>
  <c r="H21" i="2"/>
  <c r="I21" i="2"/>
  <c r="J21" i="2"/>
  <c r="K21" i="2"/>
  <c r="L21" i="2"/>
  <c r="M21" i="2"/>
  <c r="C20" i="2"/>
  <c r="D20" i="2"/>
  <c r="E20" i="2"/>
  <c r="F20" i="2"/>
  <c r="G20" i="2"/>
  <c r="H20" i="2"/>
  <c r="I20" i="2"/>
  <c r="J20" i="2"/>
  <c r="K20" i="2"/>
  <c r="L20" i="2"/>
  <c r="M20" i="2"/>
  <c r="C19" i="2"/>
  <c r="D19" i="2"/>
  <c r="E19" i="2"/>
  <c r="F19" i="2"/>
  <c r="G19" i="2"/>
  <c r="H19" i="2"/>
  <c r="I19" i="2"/>
  <c r="J19" i="2"/>
  <c r="K19" i="2"/>
  <c r="L19" i="2"/>
  <c r="M19" i="2"/>
  <c r="C18" i="2"/>
  <c r="D18" i="2"/>
  <c r="E18" i="2"/>
  <c r="F18" i="2"/>
  <c r="G18" i="2"/>
  <c r="H18" i="2"/>
  <c r="I18" i="2"/>
  <c r="J18" i="2"/>
  <c r="K18" i="2"/>
  <c r="L18" i="2"/>
  <c r="M18" i="2"/>
  <c r="C17" i="2"/>
  <c r="D17" i="2"/>
  <c r="E17" i="2"/>
  <c r="F17" i="2"/>
  <c r="G17" i="2"/>
  <c r="H17" i="2"/>
  <c r="I17" i="2"/>
  <c r="J17" i="2"/>
  <c r="K17" i="2"/>
  <c r="L17" i="2"/>
  <c r="M17" i="2"/>
  <c r="B25" i="2"/>
  <c r="B23" i="2"/>
  <c r="B24" i="2"/>
  <c r="B22" i="2"/>
  <c r="B21" i="2"/>
  <c r="B20" i="2"/>
  <c r="B19" i="2"/>
  <c r="B18" i="2"/>
  <c r="B17" i="2"/>
  <c r="C16" i="2"/>
  <c r="C26" i="2" s="1"/>
  <c r="D16" i="2"/>
  <c r="D26" i="2" s="1"/>
  <c r="E16" i="2"/>
  <c r="E26" i="2" s="1"/>
  <c r="F16" i="2"/>
  <c r="F26" i="2" s="1"/>
  <c r="G16" i="2"/>
  <c r="G26" i="2" s="1"/>
  <c r="H16" i="2"/>
  <c r="H26" i="2" s="1"/>
  <c r="I16" i="2"/>
  <c r="I26" i="2" s="1"/>
  <c r="J16" i="2"/>
  <c r="J26" i="2" s="1"/>
  <c r="K16" i="2"/>
  <c r="K26" i="2" s="1"/>
  <c r="L16" i="2"/>
  <c r="L26" i="2" s="1"/>
  <c r="M16" i="2"/>
  <c r="M26" i="2" s="1"/>
  <c r="B16" i="2"/>
  <c r="B26" i="2" s="1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A17" i="2"/>
  <c r="A18" i="2"/>
  <c r="A19" i="2"/>
  <c r="A20" i="2"/>
  <c r="A21" i="2"/>
  <c r="A22" i="2"/>
  <c r="A23" i="2"/>
  <c r="A24" i="2"/>
  <c r="A25" i="2"/>
  <c r="C29" i="6" l="1"/>
  <c r="D29" i="6"/>
  <c r="E29" i="6"/>
  <c r="F29" i="6"/>
  <c r="G29" i="6"/>
  <c r="H29" i="6"/>
  <c r="I29" i="6"/>
  <c r="J29" i="6"/>
  <c r="K29" i="6"/>
  <c r="L29" i="6"/>
  <c r="M29" i="6"/>
  <c r="N29" i="6"/>
  <c r="C26" i="6"/>
  <c r="D26" i="6"/>
  <c r="E26" i="6"/>
  <c r="F26" i="6"/>
  <c r="G26" i="6"/>
  <c r="H26" i="6"/>
  <c r="I26" i="6"/>
  <c r="J26" i="6"/>
  <c r="K26" i="6"/>
  <c r="L26" i="6"/>
  <c r="M26" i="6"/>
  <c r="N26" i="6"/>
  <c r="C20" i="6"/>
  <c r="D20" i="6"/>
  <c r="E20" i="6"/>
  <c r="F20" i="6"/>
  <c r="G20" i="6"/>
  <c r="H20" i="6"/>
  <c r="I20" i="6"/>
  <c r="J20" i="6"/>
  <c r="K20" i="6"/>
  <c r="L20" i="6"/>
  <c r="M20" i="6"/>
  <c r="N20" i="6"/>
  <c r="C17" i="6"/>
  <c r="D17" i="6"/>
  <c r="E17" i="6"/>
  <c r="F17" i="6"/>
  <c r="G17" i="6"/>
  <c r="H17" i="6"/>
  <c r="I17" i="6"/>
  <c r="J17" i="6"/>
  <c r="K17" i="6"/>
  <c r="L17" i="6"/>
  <c r="M17" i="6"/>
  <c r="N17" i="6"/>
  <c r="C14" i="6"/>
  <c r="D14" i="6"/>
  <c r="E14" i="6"/>
  <c r="F14" i="6"/>
  <c r="G14" i="6"/>
  <c r="H14" i="6"/>
  <c r="I14" i="6"/>
  <c r="J14" i="6"/>
  <c r="K14" i="6"/>
  <c r="L14" i="6"/>
  <c r="M14" i="6"/>
  <c r="N14" i="6"/>
  <c r="C11" i="6"/>
  <c r="D11" i="6"/>
  <c r="E11" i="6"/>
  <c r="F11" i="6"/>
  <c r="G11" i="6"/>
  <c r="H11" i="6"/>
  <c r="I11" i="6"/>
  <c r="J11" i="6"/>
  <c r="K11" i="6"/>
  <c r="L11" i="6"/>
  <c r="M11" i="6"/>
  <c r="N11" i="6"/>
  <c r="C8" i="6"/>
  <c r="D8" i="6"/>
  <c r="E8" i="6"/>
  <c r="F8" i="6"/>
  <c r="G8" i="6"/>
  <c r="H8" i="6"/>
  <c r="I8" i="6"/>
  <c r="J8" i="6"/>
  <c r="K8" i="6"/>
  <c r="L8" i="6"/>
  <c r="M8" i="6"/>
  <c r="N8" i="6"/>
  <c r="C5" i="6"/>
  <c r="D5" i="6"/>
  <c r="E5" i="6"/>
  <c r="F5" i="6"/>
  <c r="G5" i="6"/>
  <c r="H5" i="6"/>
  <c r="I5" i="6"/>
  <c r="J5" i="6"/>
  <c r="K5" i="6"/>
  <c r="L5" i="6"/>
  <c r="M5" i="6"/>
  <c r="N5" i="6"/>
  <c r="C2" i="6"/>
  <c r="D2" i="6"/>
  <c r="E2" i="6"/>
  <c r="F2" i="6"/>
  <c r="G2" i="6"/>
  <c r="H2" i="6"/>
  <c r="I2" i="6"/>
  <c r="J2" i="6"/>
  <c r="K2" i="6"/>
  <c r="L2" i="6"/>
  <c r="M2" i="6"/>
  <c r="N2" i="6"/>
  <c r="N4" i="2"/>
  <c r="N5" i="2"/>
  <c r="Q5" i="2" s="1"/>
  <c r="N6" i="2"/>
  <c r="N7" i="2"/>
  <c r="N8" i="2"/>
  <c r="Q8" i="2" s="1"/>
  <c r="N9" i="2"/>
  <c r="Q9" i="2" s="1"/>
  <c r="N10" i="2"/>
  <c r="Q10" i="2" s="1"/>
  <c r="N11" i="2"/>
  <c r="N12" i="2"/>
  <c r="N3" i="2"/>
  <c r="O5" i="2"/>
  <c r="O9" i="2"/>
  <c r="O10" i="2"/>
  <c r="A29" i="6"/>
  <c r="A26" i="6"/>
  <c r="A23" i="6"/>
  <c r="A20" i="6"/>
  <c r="A17" i="6"/>
  <c r="A14" i="6"/>
  <c r="A11" i="6"/>
  <c r="A8" i="6"/>
  <c r="A5" i="6"/>
  <c r="A2" i="6"/>
  <c r="O8" i="2" l="1"/>
  <c r="O11" i="2"/>
  <c r="Q11" i="2"/>
  <c r="O7" i="2"/>
  <c r="Q7" i="2"/>
  <c r="O6" i="2"/>
  <c r="Q6" i="2"/>
  <c r="O3" i="2"/>
  <c r="Q3" i="2"/>
  <c r="O12" i="2"/>
  <c r="Q12" i="2"/>
  <c r="O4" i="2"/>
  <c r="Q4" i="2"/>
  <c r="C8" i="1"/>
  <c r="C3" i="1"/>
  <c r="C18" i="1" l="1"/>
  <c r="C5" i="1"/>
  <c r="Q13" i="2"/>
  <c r="K2" i="4"/>
  <c r="J2" i="4"/>
  <c r="J3" i="4"/>
  <c r="J4" i="4"/>
  <c r="J5" i="4"/>
  <c r="J6" i="4"/>
  <c r="J7" i="4"/>
  <c r="J8" i="4"/>
  <c r="J9" i="4"/>
  <c r="J10" i="4"/>
  <c r="J11" i="4"/>
  <c r="J12" i="4"/>
  <c r="H2" i="4"/>
  <c r="H3" i="4"/>
  <c r="H4" i="4"/>
  <c r="H5" i="4"/>
  <c r="H6" i="4"/>
  <c r="H7" i="4"/>
  <c r="H8" i="4"/>
  <c r="H9" i="4"/>
  <c r="H10" i="4"/>
  <c r="H11" i="4"/>
  <c r="H12" i="4"/>
  <c r="F13" i="4"/>
  <c r="E2" i="4"/>
  <c r="E3" i="4"/>
  <c r="E4" i="4"/>
  <c r="E5" i="4"/>
  <c r="E6" i="4"/>
  <c r="E7" i="4"/>
  <c r="E8" i="4"/>
  <c r="E9" i="4"/>
  <c r="E10" i="4"/>
  <c r="E11" i="4"/>
  <c r="E12" i="4"/>
  <c r="A11" i="4"/>
  <c r="A15" i="7" s="1"/>
  <c r="B17" i="12" s="1"/>
  <c r="A5" i="4"/>
  <c r="A8" i="7" s="1"/>
  <c r="B10" i="12" s="1"/>
  <c r="A9" i="7"/>
  <c r="B11" i="12" s="1"/>
  <c r="A7" i="4"/>
  <c r="A10" i="7" s="1"/>
  <c r="B12" i="12" s="1"/>
  <c r="A8" i="4"/>
  <c r="A11" i="7" s="1"/>
  <c r="B13" i="12" s="1"/>
  <c r="A9" i="4"/>
  <c r="A12" i="7" s="1"/>
  <c r="B14" i="12" s="1"/>
  <c r="A10" i="4"/>
  <c r="A14" i="7" s="1"/>
  <c r="B16" i="12" s="1"/>
  <c r="A4" i="4"/>
  <c r="A7" i="7" s="1"/>
  <c r="B9" i="12" s="1"/>
  <c r="A3" i="4"/>
  <c r="A6" i="7" s="1"/>
  <c r="B8" i="12" s="1"/>
  <c r="C19" i="1" l="1"/>
  <c r="C4" i="12" s="1"/>
  <c r="B9" i="3"/>
  <c r="B9" i="4" s="1"/>
  <c r="B7" i="3"/>
  <c r="B7" i="4" s="1"/>
  <c r="B11" i="4"/>
  <c r="B10" i="3"/>
  <c r="B10" i="4" s="1"/>
  <c r="C11" i="3"/>
  <c r="B8" i="3"/>
  <c r="B8" i="4" s="1"/>
  <c r="B6" i="3"/>
  <c r="B6" i="4" s="1"/>
  <c r="B5" i="3"/>
  <c r="B5" i="4" s="1"/>
  <c r="B4" i="3"/>
  <c r="B4" i="4" s="1"/>
  <c r="B3" i="3"/>
  <c r="B3" i="4" s="1"/>
  <c r="F8" i="7" l="1"/>
  <c r="G10" i="12" s="1"/>
  <c r="J8" i="7"/>
  <c r="K10" i="12" s="1"/>
  <c r="K8" i="7"/>
  <c r="L10" i="12" s="1"/>
  <c r="M8" i="7"/>
  <c r="N10" i="12" s="1"/>
  <c r="C8" i="7"/>
  <c r="D10" i="12" s="1"/>
  <c r="G8" i="7"/>
  <c r="H10" i="12" s="1"/>
  <c r="E8" i="7"/>
  <c r="F10" i="12" s="1"/>
  <c r="D8" i="7"/>
  <c r="E10" i="12" s="1"/>
  <c r="H8" i="7"/>
  <c r="I10" i="12" s="1"/>
  <c r="L8" i="7"/>
  <c r="M10" i="12" s="1"/>
  <c r="B8" i="7"/>
  <c r="C10" i="12" s="1"/>
  <c r="I8" i="7"/>
  <c r="J10" i="12" s="1"/>
  <c r="E14" i="7"/>
  <c r="F16" i="12" s="1"/>
  <c r="I14" i="7"/>
  <c r="J16" i="12" s="1"/>
  <c r="M14" i="7"/>
  <c r="N16" i="12" s="1"/>
  <c r="H14" i="7"/>
  <c r="I16" i="12" s="1"/>
  <c r="F14" i="7"/>
  <c r="G16" i="12" s="1"/>
  <c r="J14" i="7"/>
  <c r="K16" i="12" s="1"/>
  <c r="B14" i="7"/>
  <c r="C16" i="12" s="1"/>
  <c r="L14" i="7"/>
  <c r="M16" i="12" s="1"/>
  <c r="C14" i="7"/>
  <c r="D16" i="12" s="1"/>
  <c r="G14" i="7"/>
  <c r="H16" i="12" s="1"/>
  <c r="K14" i="7"/>
  <c r="L16" i="12" s="1"/>
  <c r="D14" i="7"/>
  <c r="E16" i="12" s="1"/>
  <c r="D10" i="7"/>
  <c r="E12" i="12" s="1"/>
  <c r="H10" i="7"/>
  <c r="I12" i="12" s="1"/>
  <c r="L10" i="7"/>
  <c r="M12" i="12" s="1"/>
  <c r="B10" i="7"/>
  <c r="C12" i="12" s="1"/>
  <c r="K10" i="7"/>
  <c r="L12" i="12" s="1"/>
  <c r="E10" i="7"/>
  <c r="F12" i="12" s="1"/>
  <c r="I10" i="7"/>
  <c r="J12" i="12" s="1"/>
  <c r="M10" i="7"/>
  <c r="N12" i="12" s="1"/>
  <c r="C10" i="7"/>
  <c r="D12" i="12" s="1"/>
  <c r="F10" i="7"/>
  <c r="G12" i="12" s="1"/>
  <c r="J10" i="7"/>
  <c r="K12" i="12" s="1"/>
  <c r="G10" i="7"/>
  <c r="H12" i="12" s="1"/>
  <c r="E9" i="7"/>
  <c r="F11" i="12" s="1"/>
  <c r="I9" i="7"/>
  <c r="J11" i="12" s="1"/>
  <c r="M9" i="7"/>
  <c r="N11" i="12" s="1"/>
  <c r="B9" i="7"/>
  <c r="C11" i="12" s="1"/>
  <c r="L9" i="7"/>
  <c r="M11" i="12" s="1"/>
  <c r="F9" i="7"/>
  <c r="G11" i="12" s="1"/>
  <c r="J9" i="7"/>
  <c r="K11" i="12" s="1"/>
  <c r="D9" i="7"/>
  <c r="E11" i="12" s="1"/>
  <c r="C9" i="7"/>
  <c r="D11" i="12" s="1"/>
  <c r="G9" i="7"/>
  <c r="H11" i="12" s="1"/>
  <c r="K9" i="7"/>
  <c r="L11" i="12" s="1"/>
  <c r="H9" i="7"/>
  <c r="I11" i="12" s="1"/>
  <c r="F12" i="7"/>
  <c r="G14" i="12" s="1"/>
  <c r="J12" i="7"/>
  <c r="K14" i="12" s="1"/>
  <c r="E12" i="7"/>
  <c r="F14" i="12" s="1"/>
  <c r="C12" i="7"/>
  <c r="D14" i="12" s="1"/>
  <c r="G12" i="7"/>
  <c r="H14" i="12" s="1"/>
  <c r="K12" i="7"/>
  <c r="L14" i="12" s="1"/>
  <c r="M12" i="7"/>
  <c r="N14" i="12" s="1"/>
  <c r="D12" i="7"/>
  <c r="E14" i="12" s="1"/>
  <c r="H12" i="7"/>
  <c r="I14" i="12" s="1"/>
  <c r="L12" i="7"/>
  <c r="M14" i="12" s="1"/>
  <c r="B12" i="7"/>
  <c r="C14" i="12" s="1"/>
  <c r="I12" i="7"/>
  <c r="J14" i="12" s="1"/>
  <c r="C11" i="7"/>
  <c r="D13" i="12" s="1"/>
  <c r="G11" i="7"/>
  <c r="H13" i="12" s="1"/>
  <c r="K11" i="7"/>
  <c r="L13" i="12" s="1"/>
  <c r="F11" i="7"/>
  <c r="G13" i="12" s="1"/>
  <c r="D11" i="7"/>
  <c r="E13" i="12" s="1"/>
  <c r="H11" i="7"/>
  <c r="I13" i="12" s="1"/>
  <c r="L11" i="7"/>
  <c r="M13" i="12" s="1"/>
  <c r="B11" i="7"/>
  <c r="C13" i="12" s="1"/>
  <c r="E11" i="7"/>
  <c r="F13" i="12" s="1"/>
  <c r="I11" i="7"/>
  <c r="J13" i="12" s="1"/>
  <c r="M11" i="7"/>
  <c r="N13" i="12" s="1"/>
  <c r="J11" i="7"/>
  <c r="K13" i="12" s="1"/>
  <c r="E6" i="7"/>
  <c r="F8" i="12" s="1"/>
  <c r="I6" i="7"/>
  <c r="J8" i="12" s="1"/>
  <c r="M6" i="7"/>
  <c r="N8" i="12" s="1"/>
  <c r="F6" i="7"/>
  <c r="G8" i="12" s="1"/>
  <c r="J6" i="7"/>
  <c r="K8" i="12" s="1"/>
  <c r="C6" i="7"/>
  <c r="D8" i="12" s="1"/>
  <c r="G6" i="7"/>
  <c r="H8" i="12" s="1"/>
  <c r="K6" i="7"/>
  <c r="L8" i="12" s="1"/>
  <c r="L19" i="12" s="1"/>
  <c r="B6" i="7"/>
  <c r="C8" i="12" s="1"/>
  <c r="L6" i="7"/>
  <c r="M8" i="12" s="1"/>
  <c r="D6" i="7"/>
  <c r="E8" i="12" s="1"/>
  <c r="H6" i="7"/>
  <c r="I8" i="12" s="1"/>
  <c r="D7" i="7"/>
  <c r="E9" i="12" s="1"/>
  <c r="H7" i="7"/>
  <c r="I9" i="12" s="1"/>
  <c r="L7" i="7"/>
  <c r="M9" i="12" s="1"/>
  <c r="I7" i="7"/>
  <c r="J9" i="12" s="1"/>
  <c r="B7" i="7"/>
  <c r="C9" i="12" s="1"/>
  <c r="E7" i="7"/>
  <c r="F9" i="12" s="1"/>
  <c r="M7" i="7"/>
  <c r="N9" i="12" s="1"/>
  <c r="F7" i="7"/>
  <c r="G9" i="12" s="1"/>
  <c r="J7" i="7"/>
  <c r="K9" i="12" s="1"/>
  <c r="G7" i="7"/>
  <c r="H9" i="12" s="1"/>
  <c r="K7" i="7"/>
  <c r="L9" i="12" s="1"/>
  <c r="C7" i="7"/>
  <c r="D9" i="12" s="1"/>
  <c r="D15" i="7"/>
  <c r="E17" i="12" s="1"/>
  <c r="H15" i="7"/>
  <c r="I17" i="12" s="1"/>
  <c r="L15" i="7"/>
  <c r="M17" i="12" s="1"/>
  <c r="B15" i="7"/>
  <c r="C17" i="12" s="1"/>
  <c r="G15" i="7"/>
  <c r="H17" i="12" s="1"/>
  <c r="E15" i="7"/>
  <c r="F17" i="12" s="1"/>
  <c r="I15" i="7"/>
  <c r="J17" i="12" s="1"/>
  <c r="M15" i="7"/>
  <c r="N17" i="12" s="1"/>
  <c r="K15" i="7"/>
  <c r="L17" i="12" s="1"/>
  <c r="F15" i="7"/>
  <c r="G17" i="12" s="1"/>
  <c r="J15" i="7"/>
  <c r="K17" i="12" s="1"/>
  <c r="C15" i="7"/>
  <c r="D17" i="12" s="1"/>
  <c r="B12" i="4"/>
  <c r="C17" i="3"/>
  <c r="B17" i="3"/>
  <c r="I19" i="12" l="1"/>
  <c r="G19" i="12"/>
  <c r="B16" i="7"/>
  <c r="E19" i="12"/>
  <c r="H19" i="12"/>
  <c r="N19" i="12"/>
  <c r="M19" i="12"/>
  <c r="D19" i="12"/>
  <c r="J19" i="12"/>
  <c r="C19" i="12"/>
  <c r="K19" i="12"/>
  <c r="F19" i="12"/>
  <c r="C16" i="7"/>
  <c r="I16" i="7"/>
  <c r="H16" i="7"/>
  <c r="J16" i="7"/>
  <c r="E16" i="7"/>
  <c r="D16" i="7"/>
  <c r="F16" i="7"/>
  <c r="K16" i="7"/>
  <c r="G16" i="7"/>
  <c r="M16" i="7"/>
  <c r="L16" i="7"/>
  <c r="I5" i="4"/>
  <c r="I9" i="4"/>
  <c r="I3" i="4"/>
  <c r="I6" i="4"/>
  <c r="I10" i="4"/>
  <c r="I4" i="4"/>
  <c r="I8" i="4"/>
  <c r="I12" i="4"/>
  <c r="I7" i="4"/>
  <c r="I11" i="4"/>
  <c r="K6" i="4"/>
  <c r="K9" i="4"/>
  <c r="K5" i="4"/>
  <c r="L5" i="4" s="1"/>
  <c r="M5" i="4" s="1"/>
  <c r="N5" i="4" s="1"/>
  <c r="K10" i="4"/>
  <c r="K3" i="4"/>
  <c r="K8" i="4"/>
  <c r="K4" i="4"/>
  <c r="K11" i="4"/>
  <c r="K7" i="4"/>
  <c r="K12" i="4"/>
  <c r="L3" i="4" l="1"/>
  <c r="N3" i="4" s="1"/>
  <c r="L12" i="4"/>
  <c r="M12" i="4" s="1"/>
  <c r="N12" i="4" s="1"/>
  <c r="L30" i="6" s="1"/>
  <c r="L31" i="6" s="1"/>
  <c r="L8" i="4"/>
  <c r="N8" i="4" s="1"/>
  <c r="L18" i="6" s="1"/>
  <c r="L19" i="6" s="1"/>
  <c r="L4" i="4"/>
  <c r="N4" i="4" s="1"/>
  <c r="H6" i="6" s="1"/>
  <c r="H7" i="6" s="1"/>
  <c r="L9" i="4"/>
  <c r="M9" i="4" s="1"/>
  <c r="N9" i="4" s="1"/>
  <c r="E21" i="6" s="1"/>
  <c r="E22" i="6" s="1"/>
  <c r="L11" i="4"/>
  <c r="M11" i="4" s="1"/>
  <c r="N11" i="4" s="1"/>
  <c r="E27" i="6" s="1"/>
  <c r="E28" i="6" s="1"/>
  <c r="L7" i="4"/>
  <c r="M7" i="4" s="1"/>
  <c r="N7" i="4" s="1"/>
  <c r="E15" i="6" s="1"/>
  <c r="E16" i="6" s="1"/>
  <c r="L10" i="4"/>
  <c r="N10" i="4" s="1"/>
  <c r="E24" i="6" s="1"/>
  <c r="E25" i="6" s="1"/>
  <c r="D9" i="6"/>
  <c r="D10" i="6" s="1"/>
  <c r="H9" i="6"/>
  <c r="H10" i="6" s="1"/>
  <c r="L9" i="6"/>
  <c r="L10" i="6" s="1"/>
  <c r="E9" i="6"/>
  <c r="E10" i="6" s="1"/>
  <c r="I9" i="6"/>
  <c r="I10" i="6" s="1"/>
  <c r="M9" i="6"/>
  <c r="M10" i="6" s="1"/>
  <c r="F9" i="6"/>
  <c r="F10" i="6" s="1"/>
  <c r="J9" i="6"/>
  <c r="J10" i="6" s="1"/>
  <c r="N9" i="6"/>
  <c r="N10" i="6" s="1"/>
  <c r="G9" i="6"/>
  <c r="G10" i="6" s="1"/>
  <c r="K9" i="6"/>
  <c r="K10" i="6" s="1"/>
  <c r="C9" i="6"/>
  <c r="C10" i="6" s="1"/>
  <c r="D30" i="6"/>
  <c r="D31" i="6" s="1"/>
  <c r="H30" i="6"/>
  <c r="H31" i="6" s="1"/>
  <c r="I30" i="6"/>
  <c r="I31" i="6" s="1"/>
  <c r="M30" i="6"/>
  <c r="M31" i="6" s="1"/>
  <c r="F30" i="6"/>
  <c r="F31" i="6" s="1"/>
  <c r="J30" i="6"/>
  <c r="J31" i="6" s="1"/>
  <c r="N30" i="6"/>
  <c r="N31" i="6" s="1"/>
  <c r="G30" i="6"/>
  <c r="G31" i="6" s="1"/>
  <c r="K30" i="6"/>
  <c r="K31" i="6" s="1"/>
  <c r="C30" i="6"/>
  <c r="C31" i="6" s="1"/>
  <c r="D18" i="6"/>
  <c r="D19" i="6" s="1"/>
  <c r="H18" i="6"/>
  <c r="H19" i="6" s="1"/>
  <c r="N18" i="6"/>
  <c r="N19" i="6" s="1"/>
  <c r="G18" i="6"/>
  <c r="G19" i="6" s="1"/>
  <c r="E3" i="6"/>
  <c r="E4" i="6" s="1"/>
  <c r="I3" i="6"/>
  <c r="I4" i="6" s="1"/>
  <c r="M3" i="6"/>
  <c r="M4" i="6" s="1"/>
  <c r="F3" i="6"/>
  <c r="F4" i="6" s="1"/>
  <c r="J3" i="6"/>
  <c r="J4" i="6" s="1"/>
  <c r="N3" i="6"/>
  <c r="N4" i="6" s="1"/>
  <c r="G3" i="6"/>
  <c r="G4" i="6" s="1"/>
  <c r="K3" i="6"/>
  <c r="K4" i="6" s="1"/>
  <c r="D3" i="6"/>
  <c r="D4" i="6" s="1"/>
  <c r="H3" i="6"/>
  <c r="H4" i="6" s="1"/>
  <c r="L3" i="6"/>
  <c r="L4" i="6" s="1"/>
  <c r="C3" i="6"/>
  <c r="C4" i="6" s="1"/>
  <c r="L6" i="4"/>
  <c r="M6" i="4" s="1"/>
  <c r="N6" i="4" s="1"/>
  <c r="M18" i="6" l="1"/>
  <c r="M19" i="6" s="1"/>
  <c r="I18" i="6"/>
  <c r="I19" i="6" s="1"/>
  <c r="G24" i="6"/>
  <c r="G25" i="6" s="1"/>
  <c r="M24" i="6"/>
  <c r="M25" i="6" s="1"/>
  <c r="D6" i="6"/>
  <c r="D7" i="6" s="1"/>
  <c r="E30" i="6"/>
  <c r="E31" i="6" s="1"/>
  <c r="I24" i="6"/>
  <c r="I25" i="6" s="1"/>
  <c r="N6" i="6"/>
  <c r="N7" i="6" s="1"/>
  <c r="K24" i="6"/>
  <c r="K25" i="6" s="1"/>
  <c r="D24" i="6"/>
  <c r="D25" i="6" s="1"/>
  <c r="J6" i="6"/>
  <c r="J7" i="6" s="1"/>
  <c r="N24" i="6"/>
  <c r="N25" i="6" s="1"/>
  <c r="L24" i="6"/>
  <c r="L25" i="6" s="1"/>
  <c r="I6" i="6"/>
  <c r="I7" i="6" s="1"/>
  <c r="F24" i="6"/>
  <c r="F25" i="6" s="1"/>
  <c r="H24" i="6"/>
  <c r="H25" i="6" s="1"/>
  <c r="C6" i="6"/>
  <c r="C7" i="6" s="1"/>
  <c r="E6" i="6"/>
  <c r="E7" i="6" s="1"/>
  <c r="C24" i="6"/>
  <c r="C25" i="6" s="1"/>
  <c r="J24" i="6"/>
  <c r="J25" i="6" s="1"/>
  <c r="G21" i="6"/>
  <c r="G22" i="6" s="1"/>
  <c r="K6" i="6"/>
  <c r="K7" i="6" s="1"/>
  <c r="F6" i="6"/>
  <c r="F7" i="6" s="1"/>
  <c r="L6" i="6"/>
  <c r="L7" i="6" s="1"/>
  <c r="G6" i="6"/>
  <c r="G7" i="6" s="1"/>
  <c r="M6" i="6"/>
  <c r="M7" i="6" s="1"/>
  <c r="I21" i="6"/>
  <c r="I22" i="6" s="1"/>
  <c r="H21" i="6"/>
  <c r="H22" i="6" s="1"/>
  <c r="H27" i="6"/>
  <c r="H28" i="6" s="1"/>
  <c r="N27" i="6"/>
  <c r="N28" i="6" s="1"/>
  <c r="L27" i="6"/>
  <c r="L28" i="6" s="1"/>
  <c r="F27" i="6"/>
  <c r="F28" i="6" s="1"/>
  <c r="C18" i="6"/>
  <c r="C19" i="6" s="1"/>
  <c r="J18" i="6"/>
  <c r="J19" i="6" s="1"/>
  <c r="E18" i="6"/>
  <c r="E19" i="6" s="1"/>
  <c r="K27" i="6"/>
  <c r="K28" i="6" s="1"/>
  <c r="M27" i="6"/>
  <c r="M28" i="6" s="1"/>
  <c r="D27" i="6"/>
  <c r="D28" i="6" s="1"/>
  <c r="F21" i="6"/>
  <c r="F22" i="6" s="1"/>
  <c r="K18" i="6"/>
  <c r="K19" i="6" s="1"/>
  <c r="F18" i="6"/>
  <c r="F19" i="6" s="1"/>
  <c r="G27" i="6"/>
  <c r="G28" i="6" s="1"/>
  <c r="I27" i="6"/>
  <c r="I28" i="6" s="1"/>
  <c r="K21" i="6"/>
  <c r="K22" i="6" s="1"/>
  <c r="M21" i="6"/>
  <c r="M22" i="6" s="1"/>
  <c r="D21" i="6"/>
  <c r="D22" i="6" s="1"/>
  <c r="N21" i="6"/>
  <c r="N22" i="6" s="1"/>
  <c r="L21" i="6"/>
  <c r="L22" i="6" s="1"/>
  <c r="C21" i="6"/>
  <c r="C22" i="6" s="1"/>
  <c r="J21" i="6"/>
  <c r="J22" i="6" s="1"/>
  <c r="C27" i="6"/>
  <c r="C28" i="6" s="1"/>
  <c r="J27" i="6"/>
  <c r="J28" i="6" s="1"/>
  <c r="K15" i="6"/>
  <c r="K16" i="6" s="1"/>
  <c r="F15" i="6"/>
  <c r="F16" i="6" s="1"/>
  <c r="L15" i="6"/>
  <c r="L16" i="6" s="1"/>
  <c r="G15" i="6"/>
  <c r="G16" i="6" s="1"/>
  <c r="M15" i="6"/>
  <c r="M16" i="6" s="1"/>
  <c r="H15" i="6"/>
  <c r="H16" i="6" s="1"/>
  <c r="N15" i="6"/>
  <c r="N16" i="6" s="1"/>
  <c r="I15" i="6"/>
  <c r="I16" i="6" s="1"/>
  <c r="D15" i="6"/>
  <c r="D16" i="6" s="1"/>
  <c r="C15" i="6"/>
  <c r="C16" i="6" s="1"/>
  <c r="J15" i="6"/>
  <c r="J16" i="6" s="1"/>
  <c r="D12" i="6"/>
  <c r="D13" i="6" s="1"/>
  <c r="H12" i="6"/>
  <c r="H13" i="6" s="1"/>
  <c r="L12" i="6"/>
  <c r="L13" i="6" s="1"/>
  <c r="E12" i="6"/>
  <c r="E13" i="6" s="1"/>
  <c r="I12" i="6"/>
  <c r="I13" i="6" s="1"/>
  <c r="M12" i="6"/>
  <c r="M13" i="6" s="1"/>
  <c r="F12" i="6"/>
  <c r="F13" i="6" s="1"/>
  <c r="J12" i="6"/>
  <c r="J13" i="6" s="1"/>
  <c r="N12" i="6"/>
  <c r="N13" i="6" s="1"/>
  <c r="G12" i="6"/>
  <c r="G13" i="6" s="1"/>
  <c r="K12" i="6"/>
  <c r="K13" i="6" s="1"/>
  <c r="C12" i="6"/>
  <c r="C13" i="6" s="1"/>
  <c r="E32" i="6" l="1"/>
  <c r="I32" i="6"/>
  <c r="M32" i="6"/>
  <c r="M5" i="12" s="1"/>
  <c r="C32" i="6"/>
  <c r="B4" i="7" s="1"/>
  <c r="B17" i="7" s="1"/>
  <c r="K32" i="6"/>
  <c r="J4" i="7" s="1"/>
  <c r="J17" i="7" s="1"/>
  <c r="F32" i="6"/>
  <c r="E4" i="7" s="1"/>
  <c r="E17" i="7" s="1"/>
  <c r="H32" i="6"/>
  <c r="G4" i="7" s="1"/>
  <c r="G17" i="7" s="1"/>
  <c r="L32" i="6"/>
  <c r="K4" i="7" s="1"/>
  <c r="K17" i="7" s="1"/>
  <c r="G32" i="6"/>
  <c r="G5" i="12" s="1"/>
  <c r="D32" i="6"/>
  <c r="D5" i="12" s="1"/>
  <c r="N32" i="6"/>
  <c r="N5" i="12" s="1"/>
  <c r="J32" i="6"/>
  <c r="I4" i="7" s="1"/>
  <c r="I17" i="7" s="1"/>
  <c r="L4" i="7"/>
  <c r="L17" i="7" s="1"/>
  <c r="H4" i="7"/>
  <c r="H17" i="7" s="1"/>
  <c r="I5" i="12"/>
  <c r="D4" i="7"/>
  <c r="D17" i="7" s="1"/>
  <c r="E5" i="12"/>
  <c r="K5" i="12" l="1"/>
  <c r="C5" i="12"/>
  <c r="C7" i="12" s="1"/>
  <c r="C20" i="12" s="1"/>
  <c r="D4" i="12" s="1"/>
  <c r="D7" i="12" s="1"/>
  <c r="D20" i="12" s="1"/>
  <c r="E4" i="12" s="1"/>
  <c r="E7" i="12" s="1"/>
  <c r="E20" i="12" s="1"/>
  <c r="F4" i="12" s="1"/>
  <c r="F7" i="12" s="1"/>
  <c r="F20" i="12" s="1"/>
  <c r="G4" i="12" s="1"/>
  <c r="G7" i="12" s="1"/>
  <c r="G20" i="12" s="1"/>
  <c r="H4" i="12" s="1"/>
  <c r="H7" i="12" s="1"/>
  <c r="H20" i="12" s="1"/>
  <c r="I4" i="12" s="1"/>
  <c r="I7" i="12" s="1"/>
  <c r="I20" i="12" s="1"/>
  <c r="J4" i="12" s="1"/>
  <c r="J7" i="12" s="1"/>
  <c r="J20" i="12" s="1"/>
  <c r="K4" i="12" s="1"/>
  <c r="K7" i="12" s="1"/>
  <c r="K20" i="12" s="1"/>
  <c r="L4" i="12" s="1"/>
  <c r="L7" i="12" s="1"/>
  <c r="L20" i="12" s="1"/>
  <c r="M4" i="12" s="1"/>
  <c r="M7" i="12" s="1"/>
  <c r="M20" i="12" s="1"/>
  <c r="N4" i="12" s="1"/>
  <c r="N7" i="12" s="1"/>
  <c r="N20" i="12" s="1"/>
  <c r="H5" i="12"/>
  <c r="F5" i="12"/>
  <c r="J5" i="12"/>
  <c r="L5" i="12"/>
  <c r="C4" i="7"/>
  <c r="C17" i="7" s="1"/>
  <c r="F4" i="7"/>
  <c r="F17" i="7" s="1"/>
  <c r="M4" i="7"/>
  <c r="M17" i="7" s="1"/>
</calcChain>
</file>

<file path=xl/sharedStrings.xml><?xml version="1.0" encoding="utf-8"?>
<sst xmlns="http://schemas.openxmlformats.org/spreadsheetml/2006/main" count="167" uniqueCount="119">
  <si>
    <t>Tháng 1</t>
  </si>
  <si>
    <t>Tháng 2</t>
  </si>
  <si>
    <t>Tháng 3</t>
  </si>
  <si>
    <t>Tháng 4</t>
  </si>
  <si>
    <t>Tháng 5</t>
  </si>
  <si>
    <t>Tháng 6</t>
  </si>
  <si>
    <t>Ram</t>
  </si>
  <si>
    <t>Ổ cứng</t>
  </si>
  <si>
    <t>bàn phím/chuột</t>
  </si>
  <si>
    <t>Màn hình</t>
  </si>
  <si>
    <t>USB</t>
  </si>
  <si>
    <t>Mainboard</t>
  </si>
  <si>
    <t>Sản phẩm</t>
  </si>
  <si>
    <t>Danh  mục</t>
  </si>
  <si>
    <t>Vốn lưu động (một tháng)</t>
  </si>
  <si>
    <t>Bảo hiểm</t>
  </si>
  <si>
    <t>Tiền điện</t>
  </si>
  <si>
    <t>Tiền nước</t>
  </si>
  <si>
    <t>Lương thành viên</t>
  </si>
  <si>
    <t>Tiền điện thoại</t>
  </si>
  <si>
    <t>Giấy phép kinh doanh</t>
  </si>
  <si>
    <t>Thuế</t>
  </si>
  <si>
    <t>Tiền mạng</t>
  </si>
  <si>
    <t>Tổng tiền nhập hàng(1 tháng)</t>
  </si>
  <si>
    <t>Ghi chú</t>
  </si>
  <si>
    <t>4 thành viên</t>
  </si>
  <si>
    <t>Vốn đầu tư</t>
  </si>
  <si>
    <t>Tiền khấu hao</t>
  </si>
  <si>
    <t>Giá</t>
  </si>
  <si>
    <t>Tiền khấu hao hàng tháng</t>
  </si>
  <si>
    <t>Danh mục</t>
  </si>
  <si>
    <t>Chi phí hàng tháng (không tính nhập hàng)</t>
  </si>
  <si>
    <t xml:space="preserve">Số tiền </t>
  </si>
  <si>
    <t>ghi chú</t>
  </si>
  <si>
    <t>Tổng tiền khấu hao hàng tháng</t>
  </si>
  <si>
    <t>Tổng chi phí</t>
  </si>
  <si>
    <t>Tỉ lệ chi phí của từng sản phẩm trên tổng chi phí</t>
  </si>
  <si>
    <t>tỉ lệ (%)</t>
  </si>
  <si>
    <t>Dịch vụ Sửa PC</t>
  </si>
  <si>
    <t>Dịch vụ Sửa Laptop</t>
  </si>
  <si>
    <t>PC (bán)</t>
  </si>
  <si>
    <t>Tổng</t>
  </si>
  <si>
    <t>Giá thành sản phẩm</t>
  </si>
  <si>
    <t>Chi phí hàng tháng</t>
  </si>
  <si>
    <t>Giá nhập sản phẩm</t>
  </si>
  <si>
    <t>Bình quân bán được(1 tháng)</t>
  </si>
  <si>
    <t>Bình  quân bán được(1 năm)</t>
  </si>
  <si>
    <t>Giá thành sản xuất</t>
  </si>
  <si>
    <t>Tiền lời mong muốn</t>
  </si>
  <si>
    <t>Giá Thành bán ra</t>
  </si>
  <si>
    <t>STT</t>
  </si>
  <si>
    <t>Hạng mục</t>
  </si>
  <si>
    <t>Số tiền(1000)</t>
  </si>
  <si>
    <t>Tiền hiện có</t>
  </si>
  <si>
    <t>Tổng thu trong 2 tháng</t>
  </si>
  <si>
    <t>Tiền sinh hoạt phí</t>
  </si>
  <si>
    <t xml:space="preserve">Thuê server </t>
  </si>
  <si>
    <t>Thùng hàng xe máy</t>
  </si>
  <si>
    <t>Tổng phí</t>
  </si>
  <si>
    <t>Tiền có bắt đầu để kinh doanh</t>
  </si>
  <si>
    <t>Thu (2 tháng đầu)</t>
  </si>
  <si>
    <t>Chi(2 tháng đầu)</t>
  </si>
  <si>
    <t>Số hàng bán ra</t>
  </si>
  <si>
    <t>Giá bán trung bình cho 1 sản phẩm</t>
  </si>
  <si>
    <t>Doanh thu hàng tháng</t>
  </si>
  <si>
    <t>Linh kiện khác (Nguồn, quạt tản nhiệt, GPU,….vv)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</si>
  <si>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</si>
  <si>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</si>
  <si>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</si>
  <si>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</si>
  <si>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</si>
  <si>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</si>
  <si>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</si>
  <si>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</si>
  <si>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</si>
  <si>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</si>
  <si>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</si>
  <si>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</si>
  <si>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7</t>
  </si>
  <si>
    <t>Tháng 8</t>
  </si>
  <si>
    <t>Tháng 9</t>
  </si>
  <si>
    <t>Tháng 10</t>
  </si>
  <si>
    <t>Tháng 11</t>
  </si>
  <si>
    <t>Tháng 12</t>
  </si>
  <si>
    <t>Tổng doanh thu bán hàng theo tháng</t>
  </si>
  <si>
    <t>Tổng Tiền nhập sản phẩm theo từng tháng</t>
  </si>
  <si>
    <t>Tính tiền nhập sản phẩm</t>
  </si>
  <si>
    <t>Chi phí hoạt động</t>
  </si>
  <si>
    <t>Lợi nhuận trước thuế</t>
  </si>
  <si>
    <t>Tiền nhập linh kiện</t>
  </si>
  <si>
    <t>Doanh thu bán hàng</t>
  </si>
  <si>
    <t>Bảng lưu chuyển tiền mặt</t>
  </si>
  <si>
    <t>tháng</t>
  </si>
  <si>
    <t>THU</t>
  </si>
  <si>
    <t>Tiền mặt đầu tháng có</t>
  </si>
  <si>
    <t>Tiền mặt bán hàng</t>
  </si>
  <si>
    <t>CHI</t>
  </si>
  <si>
    <t>Tổng thu tiền mặt</t>
  </si>
  <si>
    <t>Tổng Chi tiền mặt</t>
  </si>
  <si>
    <t>Khoản chi khác</t>
  </si>
  <si>
    <t>Khoản thu khác</t>
  </si>
  <si>
    <t>khoản dư bằng tiền mặt cuối tháng</t>
  </si>
  <si>
    <t>Tiền mặt bằng</t>
  </si>
  <si>
    <t>Tiền lương</t>
  </si>
  <si>
    <t>lương 4 thành viên trong 2 tháng</t>
  </si>
  <si>
    <t>Tiền thuê mặt bằng</t>
  </si>
  <si>
    <t>3 bàn, 4 ghế</t>
  </si>
  <si>
    <t>Bàn, ghế</t>
  </si>
  <si>
    <t>1 năm</t>
  </si>
  <si>
    <t>Ghế cho khách</t>
  </si>
  <si>
    <t>10 cái ghế</t>
  </si>
  <si>
    <t>Linh kiện sửa chữa</t>
  </si>
  <si>
    <t>Xe máy</t>
  </si>
  <si>
    <t>2 chiếc</t>
  </si>
  <si>
    <t>2 cái</t>
  </si>
  <si>
    <t>Thời gian sử dụng dự tính(năm)</t>
  </si>
  <si>
    <t>Tiền nhập sản phẩm hàng tháng</t>
  </si>
  <si>
    <t>Ước lượng sản phẩm bán ra</t>
  </si>
  <si>
    <t>Vốn Lưu động và vốn đầu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</si>
</sst>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58">
    <xf numFmtId="0" fontId="0" fillId="0" borderId="0" xfId="0"/>
    <xf numFmtId="0" fontId="4" fillId="4" borderId="3" xfId="1" applyFont="1" applyFill="1" applyBorder="1"/>
    <xf numFmtId="1" fontId="4" fillId="4" borderId="3" xfId="1" applyNumberFormat="1" applyFont="1" applyFill="1" applyBorder="1"/>
    <xf numFmtId="0" fontId="2" fillId="4" borderId="3" xfId="1" applyFont="1" applyFill="1" applyBorder="1"/>
    <xf numFmtId="3" fontId="2" fillId="4" borderId="3" xfId="1" applyNumberFormat="1" applyFont="1" applyFill="1" applyBorder="1"/>
    <xf numFmtId="3" fontId="4" fillId="4" borderId="3" xfId="1" applyNumberFormat="1" applyFont="1" applyFill="1" applyBorder="1"/>
    <xf numFmtId="3" fontId="0" fillId="0" borderId="0" xfId="0" applyNumberFormat="1"/>
    <xf numFmtId="0" fontId="3" fillId="4" borderId="3" xfId="2" applyFont="1" applyFill="1" applyBorder="1"/>
    <xf numFmtId="0" fontId="0" fillId="4" borderId="3" xfId="2" applyFont="1" applyFill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0" fillId="0" borderId="0" xfId="0" applyAlignment="1">
      <alignment horizontal="center"/>
    </xf>
    <xf numFmtId="3" fontId="0" fillId="4" borderId="3" xfId="2" applyNumberFormat="1" applyFont="1" applyFill="1" applyBorder="1"/>
    <xf numFmtId="3" fontId="3" fillId="0" borderId="3" xfId="0" applyNumberFormat="1" applyFont="1" applyBorder="1"/>
    <xf numFmtId="3" fontId="0" fillId="0" borderId="3" xfId="0" applyNumberFormat="1" applyBorder="1"/>
    <xf numFmtId="0" fontId="3" fillId="5" borderId="3" xfId="0" applyFont="1" applyFill="1" applyBorder="1"/>
    <xf numFmtId="3" fontId="0" fillId="5" borderId="3" xfId="0" applyNumberFormat="1" applyFill="1" applyBorder="1"/>
    <xf numFmtId="0" fontId="0" fillId="5" borderId="3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3" fontId="0" fillId="0" borderId="10" xfId="0" applyNumberFormat="1" applyBorder="1"/>
    <xf numFmtId="3" fontId="0" fillId="0" borderId="12" xfId="0" applyNumberFormat="1" applyBorder="1"/>
    <xf numFmtId="0" fontId="3" fillId="5" borderId="6" xfId="0" applyFont="1" applyFill="1" applyBorder="1"/>
    <xf numFmtId="3" fontId="3" fillId="5" borderId="6" xfId="0" applyNumberFormat="1" applyFont="1" applyFill="1" applyBorder="1"/>
    <xf numFmtId="3" fontId="3" fillId="0" borderId="0" xfId="0" applyNumberFormat="1" applyFont="1"/>
    <xf numFmtId="3" fontId="3" fillId="5" borderId="3" xfId="0" applyNumberFormat="1" applyFont="1" applyFill="1" applyBorder="1"/>
    <xf numFmtId="0" fontId="3" fillId="5" borderId="3" xfId="2" applyFont="1" applyFill="1" applyBorder="1"/>
    <xf numFmtId="0" fontId="2" fillId="5" borderId="3" xfId="1" applyFill="1" applyBorder="1"/>
    <xf numFmtId="0" fontId="0" fillId="0" borderId="3" xfId="0" applyBorder="1" applyAlignment="1">
      <alignment wrapText="1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4" borderId="0" xfId="0" applyFont="1" applyFill="1"/>
    <xf numFmtId="0" fontId="0" fillId="0" borderId="6" xfId="0" applyBorder="1"/>
    <xf numFmtId="3" fontId="0" fillId="0" borderId="6" xfId="0" applyNumberFormat="1" applyBorder="1"/>
    <xf numFmtId="3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 vertical="center"/>
    </xf>
    <xf numFmtId="3" fontId="5" fillId="0" borderId="3" xfId="0" applyNumberFormat="1" applyFont="1" applyBorder="1"/>
    <xf numFmtId="0" fontId="2" fillId="5" borderId="3" xfId="1" applyFill="1" applyBorder="1" applyAlignment="1">
      <alignment horizontal="left"/>
    </xf>
    <xf numFmtId="0" fontId="2" fillId="0" borderId="3" xfId="1" applyFill="1" applyBorder="1" applyAlignment="1">
      <alignment horizontal="center"/>
    </xf>
    <xf numFmtId="0" fontId="2" fillId="0" borderId="3" xfId="1" applyFill="1" applyBorder="1"/>
    <xf numFmtId="0" fontId="2" fillId="4" borderId="3" xfId="1" applyFill="1" applyBorder="1" applyAlignment="1">
      <alignment horizontal="center"/>
    </xf>
    <xf numFmtId="0" fontId="2" fillId="4" borderId="3" xfId="1" applyFill="1" applyBorder="1"/>
    <xf numFmtId="3" fontId="2" fillId="5" borderId="3" xfId="1" applyNumberFormat="1" applyFill="1" applyBorder="1"/>
    <xf numFmtId="3" fontId="4" fillId="0" borderId="3" xfId="1" applyNumberFormat="1" applyFont="1" applyFill="1" applyBorder="1"/>
    <xf numFmtId="0" fontId="3" fillId="5" borderId="3" xfId="2" applyFont="1" applyFill="1" applyBorder="1" applyAlignment="1">
      <alignment horizontal="center"/>
    </xf>
    <xf numFmtId="3" fontId="2" fillId="4" borderId="3" xfId="1" applyNumberFormat="1" applyFont="1" applyFill="1" applyBorder="1" applyAlignment="1">
      <alignment wrapText="1"/>
    </xf>
    <xf numFmtId="0" fontId="0" fillId="4" borderId="0" xfId="0" applyFill="1"/>
    <xf numFmtId="0" fontId="3" fillId="5" borderId="14" xfId="0" applyFont="1" applyFill="1" applyBorder="1" applyAlignment="1">
      <alignment horizontal="center"/>
    </xf>
    <xf numFmtId="0" fontId="3" fillId="4" borderId="3" xfId="0" applyFont="1" applyFill="1" applyBorder="1"/>
    <xf numFmtId="3" fontId="3" fillId="4" borderId="3" xfId="2" applyNumberFormat="1" applyFont="1" applyFill="1" applyBorder="1"/>
  </cellXfs>
  <cellStyles count="3">
    <cellStyle name="Normal" xfId="0" builtinId="0"/>
    <cellStyle name="Note" xfId="2" builtinId="10"/>
    <cellStyle name="Output" xfId="1" builtinId="21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0" sqref="G10"/>
    </sheetView>
  </sheetViews>
  <sheetFormatPr defaultRowHeight="15" x14ac:dyDescent="0.25"/>
  <cols>
    <col min="1" max="1" width="4" bestFit="1" customWidth="1"/>
    <col min="2" max="2" width="25.140625" bestFit="1" customWidth="1"/>
    <col min="3" max="3" width="12.5703125" style="6" bestFit="1" customWidth="1"/>
    <col min="4" max="4" width="30.28515625" bestFit="1" customWidth="1"/>
  </cols>
  <sheetData>
    <row r="1" spans="1:4" x14ac:dyDescent="0.25">
      <c r="A1" s="31" t="s">
        <v>50</v>
      </c>
      <c r="B1" s="31" t="s">
        <v>51</v>
      </c>
      <c r="C1" s="50" t="s">
        <v>52</v>
      </c>
      <c r="D1" s="31" t="s">
        <v>33</v>
      </c>
    </row>
    <row r="2" spans="1:4" x14ac:dyDescent="0.25">
      <c r="A2" s="45" t="s">
        <v>60</v>
      </c>
      <c r="B2" s="45"/>
      <c r="C2" s="45"/>
      <c r="D2" s="9"/>
    </row>
    <row r="3" spans="1:4" x14ac:dyDescent="0.25">
      <c r="A3" s="46">
        <v>1</v>
      </c>
      <c r="B3" s="47" t="s">
        <v>53</v>
      </c>
      <c r="C3" s="51">
        <f>75000*4</f>
        <v>300000</v>
      </c>
      <c r="D3" s="9"/>
    </row>
    <row r="4" spans="1:4" x14ac:dyDescent="0.25">
      <c r="A4" s="46">
        <v>2</v>
      </c>
      <c r="B4" s="47" t="s">
        <v>103</v>
      </c>
      <c r="C4" s="51">
        <f>6000*4*2</f>
        <v>48000</v>
      </c>
      <c r="D4" s="9" t="s">
        <v>104</v>
      </c>
    </row>
    <row r="5" spans="1:4" x14ac:dyDescent="0.25">
      <c r="A5" s="47"/>
      <c r="B5" s="47" t="s">
        <v>54</v>
      </c>
      <c r="C5" s="51">
        <f>C3+C4</f>
        <v>348000</v>
      </c>
      <c r="D5" s="9"/>
    </row>
    <row r="6" spans="1:4" x14ac:dyDescent="0.25">
      <c r="A6" s="45" t="s">
        <v>61</v>
      </c>
      <c r="B6" s="45"/>
      <c r="C6" s="45"/>
      <c r="D6" s="9"/>
    </row>
    <row r="7" spans="1:4" x14ac:dyDescent="0.25">
      <c r="A7" s="48">
        <v>1</v>
      </c>
      <c r="B7" s="49" t="s">
        <v>105</v>
      </c>
      <c r="C7" s="5">
        <f>3000*2</f>
        <v>6000</v>
      </c>
      <c r="D7" s="9"/>
    </row>
    <row r="8" spans="1:4" x14ac:dyDescent="0.25">
      <c r="A8" s="48">
        <v>2</v>
      </c>
      <c r="B8" s="49" t="s">
        <v>55</v>
      </c>
      <c r="C8" s="5">
        <f>2000*4*2</f>
        <v>16000</v>
      </c>
      <c r="D8" s="9"/>
    </row>
    <row r="9" spans="1:4" x14ac:dyDescent="0.25">
      <c r="A9" s="48">
        <v>3</v>
      </c>
      <c r="B9" s="49" t="s">
        <v>22</v>
      </c>
      <c r="C9" s="13">
        <f>250*2</f>
        <v>500</v>
      </c>
      <c r="D9" s="9"/>
    </row>
    <row r="10" spans="1:4" x14ac:dyDescent="0.25">
      <c r="A10" s="48">
        <v>4</v>
      </c>
      <c r="B10" s="49" t="s">
        <v>16</v>
      </c>
      <c r="C10" s="13">
        <f>300*2</f>
        <v>600</v>
      </c>
      <c r="D10" s="9"/>
    </row>
    <row r="11" spans="1:4" x14ac:dyDescent="0.25">
      <c r="A11" s="48">
        <v>5</v>
      </c>
      <c r="B11" s="49" t="s">
        <v>17</v>
      </c>
      <c r="C11" s="13">
        <f>30*2</f>
        <v>60</v>
      </c>
      <c r="D11" s="9"/>
    </row>
    <row r="12" spans="1:4" x14ac:dyDescent="0.25">
      <c r="A12" s="48">
        <v>6</v>
      </c>
      <c r="B12" s="49" t="s">
        <v>111</v>
      </c>
      <c r="C12" s="5">
        <v>4000</v>
      </c>
      <c r="D12" s="9"/>
    </row>
    <row r="13" spans="1:4" x14ac:dyDescent="0.25">
      <c r="A13" s="48">
        <v>7</v>
      </c>
      <c r="B13" s="49" t="s">
        <v>109</v>
      </c>
      <c r="C13" s="5">
        <f>50*10</f>
        <v>500</v>
      </c>
      <c r="D13" s="9" t="s">
        <v>110</v>
      </c>
    </row>
    <row r="14" spans="1:4" x14ac:dyDescent="0.25">
      <c r="A14" s="48">
        <v>8</v>
      </c>
      <c r="B14" s="49" t="s">
        <v>107</v>
      </c>
      <c r="C14" s="5">
        <f>1054 * 3 + 150 *4</f>
        <v>3762</v>
      </c>
      <c r="D14" s="9" t="s">
        <v>106</v>
      </c>
    </row>
    <row r="15" spans="1:4" x14ac:dyDescent="0.25">
      <c r="A15" s="48">
        <v>9</v>
      </c>
      <c r="B15" s="49" t="s">
        <v>56</v>
      </c>
      <c r="C15" s="5">
        <f>250*12</f>
        <v>3000</v>
      </c>
      <c r="D15" s="9" t="s">
        <v>108</v>
      </c>
    </row>
    <row r="16" spans="1:4" x14ac:dyDescent="0.25">
      <c r="A16" s="48">
        <v>11</v>
      </c>
      <c r="B16" s="49" t="s">
        <v>57</v>
      </c>
      <c r="C16" s="5">
        <f>150 * 2</f>
        <v>300</v>
      </c>
      <c r="D16" s="9" t="s">
        <v>114</v>
      </c>
    </row>
    <row r="17" spans="1:4" x14ac:dyDescent="0.25">
      <c r="A17" s="48">
        <v>12</v>
      </c>
      <c r="B17" s="49" t="s">
        <v>112</v>
      </c>
      <c r="C17" s="5">
        <f>10000*2</f>
        <v>20000</v>
      </c>
      <c r="D17" s="9" t="s">
        <v>113</v>
      </c>
    </row>
    <row r="18" spans="1:4" x14ac:dyDescent="0.25">
      <c r="A18" s="49"/>
      <c r="B18" s="49" t="s">
        <v>58</v>
      </c>
      <c r="C18" s="5">
        <f>SUM(C7:C17)</f>
        <v>54722</v>
      </c>
      <c r="D18" s="9"/>
    </row>
    <row r="19" spans="1:4" x14ac:dyDescent="0.25">
      <c r="A19" s="45" t="s">
        <v>59</v>
      </c>
      <c r="B19" s="45"/>
      <c r="C19" s="50">
        <f>C5-C18</f>
        <v>293278</v>
      </c>
      <c r="D19" s="9"/>
    </row>
  </sheetData>
  <mergeCells count="3">
    <mergeCell ref="A2:C2"/>
    <mergeCell ref="A6:C6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F5" sqref="F5"/>
    </sheetView>
  </sheetViews>
  <sheetFormatPr defaultRowHeight="15" x14ac:dyDescent="0.25"/>
  <cols>
    <col min="1" max="1" width="45" style="11" bestFit="1" customWidth="1"/>
    <col min="2" max="10" width="7.7109375" bestFit="1" customWidth="1"/>
    <col min="11" max="13" width="8.7109375" bestFit="1" customWidth="1"/>
    <col min="14" max="14" width="27.42578125" bestFit="1" customWidth="1"/>
    <col min="15" max="15" width="26.7109375" bestFit="1" customWidth="1"/>
    <col min="16" max="16" width="35.42578125" style="6" bestFit="1" customWidth="1"/>
    <col min="17" max="17" width="29.28515625" style="6" bestFit="1" customWidth="1"/>
  </cols>
  <sheetData>
    <row r="1" spans="1:17" x14ac:dyDescent="0.25">
      <c r="A1" s="55" t="s">
        <v>117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 s="54" customFormat="1" x14ac:dyDescent="0.25">
      <c r="A2" s="3" t="s">
        <v>12</v>
      </c>
      <c r="B2" s="49" t="s">
        <v>0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49" t="s">
        <v>83</v>
      </c>
      <c r="N2" s="49" t="s">
        <v>45</v>
      </c>
      <c r="O2" s="49" t="s">
        <v>46</v>
      </c>
      <c r="P2" s="53" t="s">
        <v>44</v>
      </c>
      <c r="Q2" s="4" t="s">
        <v>116</v>
      </c>
    </row>
    <row r="3" spans="1:17" x14ac:dyDescent="0.25">
      <c r="A3" s="3" t="s">
        <v>38</v>
      </c>
      <c r="B3" s="1">
        <v>8</v>
      </c>
      <c r="C3" s="1">
        <v>20</v>
      </c>
      <c r="D3" s="1">
        <v>40</v>
      </c>
      <c r="E3" s="1">
        <v>41</v>
      </c>
      <c r="F3" s="1">
        <v>37</v>
      </c>
      <c r="G3" s="1">
        <v>45</v>
      </c>
      <c r="H3" s="1">
        <v>45</v>
      </c>
      <c r="I3" s="1">
        <v>40</v>
      </c>
      <c r="J3" s="1">
        <v>42</v>
      </c>
      <c r="K3" s="1">
        <v>39</v>
      </c>
      <c r="L3" s="1">
        <v>45</v>
      </c>
      <c r="M3" s="1">
        <v>50</v>
      </c>
      <c r="N3" s="2">
        <f>_xlfn.FLOOR.MATH(AVERAGE(B3:M3))</f>
        <v>37</v>
      </c>
      <c r="O3" s="1">
        <f t="shared" ref="O3:O12" si="0">N3*12</f>
        <v>444</v>
      </c>
      <c r="P3" s="5">
        <v>0</v>
      </c>
      <c r="Q3" s="5">
        <f>N3*P3</f>
        <v>0</v>
      </c>
    </row>
    <row r="4" spans="1:17" x14ac:dyDescent="0.25">
      <c r="A4" s="3" t="s">
        <v>39</v>
      </c>
      <c r="B4" s="1">
        <v>13</v>
      </c>
      <c r="C4" s="1">
        <v>16</v>
      </c>
      <c r="D4" s="1">
        <v>55</v>
      </c>
      <c r="E4" s="1">
        <v>50</v>
      </c>
      <c r="F4" s="1">
        <v>37</v>
      </c>
      <c r="G4" s="1">
        <v>35</v>
      </c>
      <c r="H4" s="1">
        <v>33</v>
      </c>
      <c r="I4" s="1">
        <v>40</v>
      </c>
      <c r="J4" s="1">
        <v>42</v>
      </c>
      <c r="K4" s="1">
        <v>41</v>
      </c>
      <c r="L4" s="1">
        <v>37</v>
      </c>
      <c r="M4" s="1">
        <v>44</v>
      </c>
      <c r="N4" s="2">
        <f t="shared" ref="N4:N12" si="1">_xlfn.FLOOR.MATH(AVERAGE(B4:M4))</f>
        <v>36</v>
      </c>
      <c r="O4" s="1">
        <f t="shared" si="0"/>
        <v>432</v>
      </c>
      <c r="P4" s="5">
        <v>0</v>
      </c>
      <c r="Q4" s="5">
        <f t="shared" ref="Q4:Q12" si="2">N4*P4</f>
        <v>0</v>
      </c>
    </row>
    <row r="5" spans="1:17" x14ac:dyDescent="0.25">
      <c r="A5" s="3" t="s">
        <v>40</v>
      </c>
      <c r="B5" s="1">
        <v>2</v>
      </c>
      <c r="C5" s="1">
        <v>8</v>
      </c>
      <c r="D5" s="1">
        <v>7</v>
      </c>
      <c r="E5" s="1">
        <v>10</v>
      </c>
      <c r="F5" s="1">
        <v>10</v>
      </c>
      <c r="G5" s="1">
        <v>9</v>
      </c>
      <c r="H5" s="1">
        <v>5</v>
      </c>
      <c r="I5" s="1">
        <v>11</v>
      </c>
      <c r="J5" s="1">
        <v>12</v>
      </c>
      <c r="K5" s="1">
        <v>15</v>
      </c>
      <c r="L5" s="1">
        <v>7</v>
      </c>
      <c r="M5" s="1">
        <v>8</v>
      </c>
      <c r="N5" s="2">
        <f t="shared" si="1"/>
        <v>8</v>
      </c>
      <c r="O5" s="1">
        <f t="shared" si="0"/>
        <v>96</v>
      </c>
      <c r="P5" s="5">
        <v>8000</v>
      </c>
      <c r="Q5" s="5">
        <f t="shared" si="2"/>
        <v>64000</v>
      </c>
    </row>
    <row r="6" spans="1:17" x14ac:dyDescent="0.25">
      <c r="A6" s="3" t="s">
        <v>6</v>
      </c>
      <c r="B6" s="1">
        <v>5</v>
      </c>
      <c r="C6" s="1">
        <v>15</v>
      </c>
      <c r="D6" s="1">
        <v>20</v>
      </c>
      <c r="E6" s="1">
        <v>17</v>
      </c>
      <c r="F6" s="1">
        <v>20</v>
      </c>
      <c r="G6" s="1">
        <v>22</v>
      </c>
      <c r="H6" s="1">
        <v>16</v>
      </c>
      <c r="I6" s="1">
        <v>18</v>
      </c>
      <c r="J6" s="1">
        <v>15</v>
      </c>
      <c r="K6" s="1">
        <v>17</v>
      </c>
      <c r="L6" s="1">
        <v>10</v>
      </c>
      <c r="M6" s="1">
        <v>13</v>
      </c>
      <c r="N6" s="2">
        <f t="shared" si="1"/>
        <v>15</v>
      </c>
      <c r="O6" s="1">
        <f t="shared" si="0"/>
        <v>180</v>
      </c>
      <c r="P6" s="5">
        <v>900</v>
      </c>
      <c r="Q6" s="5">
        <f t="shared" si="2"/>
        <v>13500</v>
      </c>
    </row>
    <row r="7" spans="1:17" x14ac:dyDescent="0.25">
      <c r="A7" s="3" t="s">
        <v>7</v>
      </c>
      <c r="B7" s="1">
        <v>1</v>
      </c>
      <c r="C7" s="1">
        <v>10</v>
      </c>
      <c r="D7" s="1">
        <v>10</v>
      </c>
      <c r="E7" s="1">
        <v>10</v>
      </c>
      <c r="F7" s="1">
        <v>7</v>
      </c>
      <c r="G7" s="1">
        <v>9</v>
      </c>
      <c r="H7" s="1">
        <v>1</v>
      </c>
      <c r="I7" s="1">
        <v>10</v>
      </c>
      <c r="J7" s="1">
        <v>10</v>
      </c>
      <c r="K7" s="1">
        <v>10</v>
      </c>
      <c r="L7" s="1">
        <v>7</v>
      </c>
      <c r="M7" s="1">
        <v>9</v>
      </c>
      <c r="N7" s="2">
        <f t="shared" si="1"/>
        <v>7</v>
      </c>
      <c r="O7" s="1">
        <f t="shared" si="0"/>
        <v>84</v>
      </c>
      <c r="P7" s="5">
        <v>2500</v>
      </c>
      <c r="Q7" s="5">
        <f t="shared" si="2"/>
        <v>17500</v>
      </c>
    </row>
    <row r="8" spans="1:17" x14ac:dyDescent="0.25">
      <c r="A8" s="3" t="s">
        <v>8</v>
      </c>
      <c r="B8" s="1">
        <v>10</v>
      </c>
      <c r="C8" s="1">
        <v>30</v>
      </c>
      <c r="D8" s="1">
        <v>50</v>
      </c>
      <c r="E8" s="1">
        <v>45</v>
      </c>
      <c r="F8" s="1">
        <v>50</v>
      </c>
      <c r="G8" s="1">
        <v>56</v>
      </c>
      <c r="H8" s="1">
        <v>55</v>
      </c>
      <c r="I8" s="1">
        <v>56</v>
      </c>
      <c r="J8" s="1">
        <v>44</v>
      </c>
      <c r="K8" s="1">
        <v>45</v>
      </c>
      <c r="L8" s="1">
        <v>50</v>
      </c>
      <c r="M8" s="1">
        <v>42</v>
      </c>
      <c r="N8" s="2">
        <f t="shared" si="1"/>
        <v>44</v>
      </c>
      <c r="O8" s="1">
        <f t="shared" si="0"/>
        <v>528</v>
      </c>
      <c r="P8" s="5">
        <v>300</v>
      </c>
      <c r="Q8" s="5">
        <f t="shared" si="2"/>
        <v>13200</v>
      </c>
    </row>
    <row r="9" spans="1:17" x14ac:dyDescent="0.25">
      <c r="A9" s="3" t="s">
        <v>9</v>
      </c>
      <c r="B9" s="1">
        <v>2</v>
      </c>
      <c r="C9" s="1">
        <v>6</v>
      </c>
      <c r="D9" s="1">
        <v>10</v>
      </c>
      <c r="E9" s="1">
        <v>9</v>
      </c>
      <c r="F9" s="1">
        <v>11</v>
      </c>
      <c r="G9" s="1">
        <v>12</v>
      </c>
      <c r="H9" s="1">
        <v>8</v>
      </c>
      <c r="I9" s="1">
        <v>10</v>
      </c>
      <c r="J9" s="1">
        <v>11</v>
      </c>
      <c r="K9" s="1">
        <v>9</v>
      </c>
      <c r="L9" s="1">
        <v>7</v>
      </c>
      <c r="M9" s="1">
        <v>5</v>
      </c>
      <c r="N9" s="2">
        <f t="shared" si="1"/>
        <v>8</v>
      </c>
      <c r="O9" s="1">
        <f t="shared" si="0"/>
        <v>96</v>
      </c>
      <c r="P9" s="5">
        <v>3000</v>
      </c>
      <c r="Q9" s="5">
        <f t="shared" si="2"/>
        <v>24000</v>
      </c>
    </row>
    <row r="10" spans="1:17" x14ac:dyDescent="0.25">
      <c r="A10" s="3" t="s">
        <v>10</v>
      </c>
      <c r="B10" s="1">
        <v>7</v>
      </c>
      <c r="C10" s="1">
        <v>22</v>
      </c>
      <c r="D10" s="1">
        <v>30</v>
      </c>
      <c r="E10" s="1">
        <v>24</v>
      </c>
      <c r="F10" s="1">
        <v>31</v>
      </c>
      <c r="G10" s="1">
        <v>35</v>
      </c>
      <c r="H10" s="1">
        <v>28</v>
      </c>
      <c r="I10" s="1">
        <v>25</v>
      </c>
      <c r="J10" s="1">
        <v>30</v>
      </c>
      <c r="K10" s="1">
        <v>33</v>
      </c>
      <c r="L10" s="1">
        <v>31</v>
      </c>
      <c r="M10" s="1">
        <v>12</v>
      </c>
      <c r="N10" s="2">
        <f t="shared" si="1"/>
        <v>25</v>
      </c>
      <c r="O10" s="1">
        <f t="shared" si="0"/>
        <v>300</v>
      </c>
      <c r="P10" s="5">
        <v>200</v>
      </c>
      <c r="Q10" s="5">
        <f t="shared" si="2"/>
        <v>5000</v>
      </c>
    </row>
    <row r="11" spans="1:17" x14ac:dyDescent="0.25">
      <c r="A11" s="3" t="s">
        <v>11</v>
      </c>
      <c r="B11" s="1">
        <v>1</v>
      </c>
      <c r="C11" s="1">
        <v>5</v>
      </c>
      <c r="D11" s="1">
        <v>5</v>
      </c>
      <c r="E11" s="1">
        <v>5</v>
      </c>
      <c r="F11" s="1">
        <v>6</v>
      </c>
      <c r="G11" s="1">
        <v>9</v>
      </c>
      <c r="H11" s="1">
        <v>6</v>
      </c>
      <c r="I11" s="1">
        <v>8</v>
      </c>
      <c r="J11" s="1">
        <v>8</v>
      </c>
      <c r="K11" s="1">
        <v>7</v>
      </c>
      <c r="L11" s="1">
        <v>6</v>
      </c>
      <c r="M11" s="1">
        <v>4</v>
      </c>
      <c r="N11" s="2">
        <f t="shared" si="1"/>
        <v>5</v>
      </c>
      <c r="O11" s="1">
        <f t="shared" si="0"/>
        <v>60</v>
      </c>
      <c r="P11" s="5">
        <v>2500</v>
      </c>
      <c r="Q11" s="5">
        <f t="shared" si="2"/>
        <v>12500</v>
      </c>
    </row>
    <row r="12" spans="1:17" x14ac:dyDescent="0.25">
      <c r="A12" s="3" t="s">
        <v>65</v>
      </c>
      <c r="B12" s="1">
        <v>10</v>
      </c>
      <c r="C12" s="1">
        <v>19</v>
      </c>
      <c r="D12" s="1">
        <v>20</v>
      </c>
      <c r="E12" s="1">
        <v>17</v>
      </c>
      <c r="F12" s="1">
        <v>18</v>
      </c>
      <c r="G12" s="1">
        <v>19</v>
      </c>
      <c r="H12" s="1">
        <v>17</v>
      </c>
      <c r="I12" s="1">
        <v>19</v>
      </c>
      <c r="J12" s="1">
        <v>16</v>
      </c>
      <c r="K12" s="1">
        <v>20</v>
      </c>
      <c r="L12" s="1">
        <v>18</v>
      </c>
      <c r="M12" s="1">
        <v>14</v>
      </c>
      <c r="N12" s="2">
        <f t="shared" si="1"/>
        <v>17</v>
      </c>
      <c r="O12" s="1">
        <f t="shared" si="0"/>
        <v>204</v>
      </c>
      <c r="P12" s="5">
        <v>2500</v>
      </c>
      <c r="Q12" s="5">
        <f t="shared" si="2"/>
        <v>42500</v>
      </c>
    </row>
    <row r="13" spans="1:17" x14ac:dyDescent="0.25">
      <c r="P13" s="3" t="s">
        <v>23</v>
      </c>
      <c r="Q13" s="4">
        <f>SUM(Q3:Q12)</f>
        <v>192200</v>
      </c>
    </row>
    <row r="14" spans="1:17" x14ac:dyDescent="0.25">
      <c r="A14" s="33" t="s">
        <v>86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7" s="11" customFormat="1" x14ac:dyDescent="0.25">
      <c r="A15" s="10" t="str">
        <f t="shared" ref="A15:M15" si="3">A2</f>
        <v>Sản phẩm</v>
      </c>
      <c r="B15" s="14" t="str">
        <f t="shared" si="3"/>
        <v>Tháng 1</v>
      </c>
      <c r="C15" s="10" t="str">
        <f t="shared" si="3"/>
        <v>Tháng 2</v>
      </c>
      <c r="D15" s="10" t="str">
        <f t="shared" si="3"/>
        <v>Tháng 3</v>
      </c>
      <c r="E15" s="10" t="str">
        <f t="shared" si="3"/>
        <v>Tháng 4</v>
      </c>
      <c r="F15" s="10" t="str">
        <f t="shared" si="3"/>
        <v>Tháng 5</v>
      </c>
      <c r="G15" s="10" t="str">
        <f t="shared" si="3"/>
        <v>Tháng 6</v>
      </c>
      <c r="H15" s="10" t="str">
        <f t="shared" si="3"/>
        <v>Tháng 7</v>
      </c>
      <c r="I15" s="10" t="str">
        <f t="shared" si="3"/>
        <v>Tháng 8</v>
      </c>
      <c r="J15" s="10" t="str">
        <f t="shared" si="3"/>
        <v>Tháng 9</v>
      </c>
      <c r="K15" s="10" t="str">
        <f t="shared" si="3"/>
        <v>Tháng 10</v>
      </c>
      <c r="L15" s="10" t="str">
        <f t="shared" si="3"/>
        <v>Tháng 11</v>
      </c>
      <c r="M15" s="10" t="str">
        <f t="shared" si="3"/>
        <v>Tháng 12</v>
      </c>
      <c r="P15" s="28"/>
      <c r="Q15" s="28"/>
    </row>
    <row r="16" spans="1:17" x14ac:dyDescent="0.25">
      <c r="A16" s="10" t="str">
        <f t="shared" ref="A16" si="4">A3</f>
        <v>Dịch vụ Sửa PC</v>
      </c>
      <c r="B16" s="15">
        <f t="shared" ref="B16:B25" si="5">B3*$P3</f>
        <v>0</v>
      </c>
      <c r="C16" s="15">
        <f t="shared" ref="C16:M16" si="6">C3*$P3</f>
        <v>0</v>
      </c>
      <c r="D16" s="15">
        <f t="shared" si="6"/>
        <v>0</v>
      </c>
      <c r="E16" s="15">
        <f t="shared" si="6"/>
        <v>0</v>
      </c>
      <c r="F16" s="15">
        <f t="shared" si="6"/>
        <v>0</v>
      </c>
      <c r="G16" s="15">
        <f t="shared" si="6"/>
        <v>0</v>
      </c>
      <c r="H16" s="15">
        <f t="shared" si="6"/>
        <v>0</v>
      </c>
      <c r="I16" s="15">
        <f t="shared" si="6"/>
        <v>0</v>
      </c>
      <c r="J16" s="15">
        <f t="shared" si="6"/>
        <v>0</v>
      </c>
      <c r="K16" s="15">
        <f t="shared" si="6"/>
        <v>0</v>
      </c>
      <c r="L16" s="15">
        <f t="shared" si="6"/>
        <v>0</v>
      </c>
      <c r="M16" s="15">
        <f t="shared" si="6"/>
        <v>0</v>
      </c>
    </row>
    <row r="17" spans="1:13" x14ac:dyDescent="0.25">
      <c r="A17" s="10" t="str">
        <f t="shared" ref="A17" si="7">A4</f>
        <v>Dịch vụ Sửa Laptop</v>
      </c>
      <c r="B17" s="15">
        <f t="shared" si="5"/>
        <v>0</v>
      </c>
      <c r="C17" s="15">
        <f t="shared" ref="C17:M17" si="8">C4*$P4</f>
        <v>0</v>
      </c>
      <c r="D17" s="15">
        <f t="shared" si="8"/>
        <v>0</v>
      </c>
      <c r="E17" s="15">
        <f t="shared" si="8"/>
        <v>0</v>
      </c>
      <c r="F17" s="15">
        <f t="shared" si="8"/>
        <v>0</v>
      </c>
      <c r="G17" s="15">
        <f t="shared" si="8"/>
        <v>0</v>
      </c>
      <c r="H17" s="15">
        <f t="shared" si="8"/>
        <v>0</v>
      </c>
      <c r="I17" s="15">
        <f t="shared" si="8"/>
        <v>0</v>
      </c>
      <c r="J17" s="15">
        <f t="shared" si="8"/>
        <v>0</v>
      </c>
      <c r="K17" s="15">
        <f t="shared" si="8"/>
        <v>0</v>
      </c>
      <c r="L17" s="15">
        <f t="shared" si="8"/>
        <v>0</v>
      </c>
      <c r="M17" s="15">
        <f t="shared" si="8"/>
        <v>0</v>
      </c>
    </row>
    <row r="18" spans="1:13" x14ac:dyDescent="0.25">
      <c r="A18" s="10" t="str">
        <f t="shared" ref="A18" si="9">A5</f>
        <v>PC (bán)</v>
      </c>
      <c r="B18" s="15">
        <f t="shared" si="5"/>
        <v>16000</v>
      </c>
      <c r="C18" s="15">
        <f t="shared" ref="C18:M18" si="10">C5*$P5</f>
        <v>64000</v>
      </c>
      <c r="D18" s="15">
        <f t="shared" si="10"/>
        <v>56000</v>
      </c>
      <c r="E18" s="15">
        <f t="shared" si="10"/>
        <v>80000</v>
      </c>
      <c r="F18" s="15">
        <f t="shared" si="10"/>
        <v>80000</v>
      </c>
      <c r="G18" s="15">
        <f t="shared" si="10"/>
        <v>72000</v>
      </c>
      <c r="H18" s="15">
        <f t="shared" si="10"/>
        <v>40000</v>
      </c>
      <c r="I18" s="15">
        <f t="shared" si="10"/>
        <v>88000</v>
      </c>
      <c r="J18" s="15">
        <f t="shared" si="10"/>
        <v>96000</v>
      </c>
      <c r="K18" s="15">
        <f t="shared" si="10"/>
        <v>120000</v>
      </c>
      <c r="L18" s="15">
        <f t="shared" si="10"/>
        <v>56000</v>
      </c>
      <c r="M18" s="15">
        <f t="shared" si="10"/>
        <v>64000</v>
      </c>
    </row>
    <row r="19" spans="1:13" x14ac:dyDescent="0.25">
      <c r="A19" s="10" t="str">
        <f t="shared" ref="A19" si="11">A6</f>
        <v>Ram</v>
      </c>
      <c r="B19" s="15">
        <f t="shared" si="5"/>
        <v>4500</v>
      </c>
      <c r="C19" s="15">
        <f t="shared" ref="C19:M19" si="12">C6*$P6</f>
        <v>13500</v>
      </c>
      <c r="D19" s="15">
        <f t="shared" si="12"/>
        <v>18000</v>
      </c>
      <c r="E19" s="15">
        <f t="shared" si="12"/>
        <v>15300</v>
      </c>
      <c r="F19" s="15">
        <f t="shared" si="12"/>
        <v>18000</v>
      </c>
      <c r="G19" s="15">
        <f t="shared" si="12"/>
        <v>19800</v>
      </c>
      <c r="H19" s="15">
        <f t="shared" si="12"/>
        <v>14400</v>
      </c>
      <c r="I19" s="15">
        <f t="shared" si="12"/>
        <v>16200</v>
      </c>
      <c r="J19" s="15">
        <f t="shared" si="12"/>
        <v>13500</v>
      </c>
      <c r="K19" s="15">
        <f t="shared" si="12"/>
        <v>15300</v>
      </c>
      <c r="L19" s="15">
        <f t="shared" si="12"/>
        <v>9000</v>
      </c>
      <c r="M19" s="15">
        <f t="shared" si="12"/>
        <v>11700</v>
      </c>
    </row>
    <row r="20" spans="1:13" x14ac:dyDescent="0.25">
      <c r="A20" s="10" t="str">
        <f t="shared" ref="A20" si="13">A7</f>
        <v>Ổ cứng</v>
      </c>
      <c r="B20" s="15">
        <f t="shared" si="5"/>
        <v>2500</v>
      </c>
      <c r="C20" s="15">
        <f t="shared" ref="C20:M20" si="14">C7*$P7</f>
        <v>25000</v>
      </c>
      <c r="D20" s="15">
        <f t="shared" si="14"/>
        <v>25000</v>
      </c>
      <c r="E20" s="15">
        <f t="shared" si="14"/>
        <v>25000</v>
      </c>
      <c r="F20" s="15">
        <f t="shared" si="14"/>
        <v>17500</v>
      </c>
      <c r="G20" s="15">
        <f t="shared" si="14"/>
        <v>22500</v>
      </c>
      <c r="H20" s="15">
        <f t="shared" si="14"/>
        <v>2500</v>
      </c>
      <c r="I20" s="15">
        <f t="shared" si="14"/>
        <v>25000</v>
      </c>
      <c r="J20" s="15">
        <f t="shared" si="14"/>
        <v>25000</v>
      </c>
      <c r="K20" s="15">
        <f t="shared" si="14"/>
        <v>25000</v>
      </c>
      <c r="L20" s="15">
        <f t="shared" si="14"/>
        <v>17500</v>
      </c>
      <c r="M20" s="15">
        <f t="shared" si="14"/>
        <v>22500</v>
      </c>
    </row>
    <row r="21" spans="1:13" x14ac:dyDescent="0.25">
      <c r="A21" s="10" t="str">
        <f t="shared" ref="A21" si="15">A8</f>
        <v>bàn phím/chuột</v>
      </c>
      <c r="B21" s="15">
        <f t="shared" si="5"/>
        <v>3000</v>
      </c>
      <c r="C21" s="15">
        <f t="shared" ref="C21:M21" si="16">C8*$P8</f>
        <v>9000</v>
      </c>
      <c r="D21" s="15">
        <f t="shared" si="16"/>
        <v>15000</v>
      </c>
      <c r="E21" s="15">
        <f t="shared" si="16"/>
        <v>13500</v>
      </c>
      <c r="F21" s="15">
        <f t="shared" si="16"/>
        <v>15000</v>
      </c>
      <c r="G21" s="15">
        <f t="shared" si="16"/>
        <v>16800</v>
      </c>
      <c r="H21" s="15">
        <f t="shared" si="16"/>
        <v>16500</v>
      </c>
      <c r="I21" s="15">
        <f t="shared" si="16"/>
        <v>16800</v>
      </c>
      <c r="J21" s="15">
        <f t="shared" si="16"/>
        <v>13200</v>
      </c>
      <c r="K21" s="15">
        <f t="shared" si="16"/>
        <v>13500</v>
      </c>
      <c r="L21" s="15">
        <f t="shared" si="16"/>
        <v>15000</v>
      </c>
      <c r="M21" s="15">
        <f t="shared" si="16"/>
        <v>12600</v>
      </c>
    </row>
    <row r="22" spans="1:13" x14ac:dyDescent="0.25">
      <c r="A22" s="10" t="str">
        <f t="shared" ref="A22" si="17">A9</f>
        <v>Màn hình</v>
      </c>
      <c r="B22" s="15">
        <f t="shared" si="5"/>
        <v>6000</v>
      </c>
      <c r="C22" s="15">
        <f t="shared" ref="C22:M22" si="18">C9*$P9</f>
        <v>18000</v>
      </c>
      <c r="D22" s="15">
        <f t="shared" si="18"/>
        <v>30000</v>
      </c>
      <c r="E22" s="15">
        <f t="shared" si="18"/>
        <v>27000</v>
      </c>
      <c r="F22" s="15">
        <f t="shared" si="18"/>
        <v>33000</v>
      </c>
      <c r="G22" s="15">
        <f t="shared" si="18"/>
        <v>36000</v>
      </c>
      <c r="H22" s="15">
        <f t="shared" si="18"/>
        <v>24000</v>
      </c>
      <c r="I22" s="15">
        <f t="shared" si="18"/>
        <v>30000</v>
      </c>
      <c r="J22" s="15">
        <f t="shared" si="18"/>
        <v>33000</v>
      </c>
      <c r="K22" s="15">
        <f t="shared" si="18"/>
        <v>27000</v>
      </c>
      <c r="L22" s="15">
        <f t="shared" si="18"/>
        <v>21000</v>
      </c>
      <c r="M22" s="15">
        <f t="shared" si="18"/>
        <v>15000</v>
      </c>
    </row>
    <row r="23" spans="1:13" x14ac:dyDescent="0.25">
      <c r="A23" s="10" t="str">
        <f t="shared" ref="A23" si="19">A10</f>
        <v>USB</v>
      </c>
      <c r="B23" s="15">
        <f t="shared" si="5"/>
        <v>1400</v>
      </c>
      <c r="C23" s="15">
        <f t="shared" ref="C23:M23" si="20">C10*$P10</f>
        <v>4400</v>
      </c>
      <c r="D23" s="15">
        <f t="shared" si="20"/>
        <v>6000</v>
      </c>
      <c r="E23" s="15">
        <f t="shared" si="20"/>
        <v>4800</v>
      </c>
      <c r="F23" s="15">
        <f t="shared" si="20"/>
        <v>6200</v>
      </c>
      <c r="G23" s="15">
        <f t="shared" si="20"/>
        <v>7000</v>
      </c>
      <c r="H23" s="15">
        <f t="shared" si="20"/>
        <v>5600</v>
      </c>
      <c r="I23" s="15">
        <f t="shared" si="20"/>
        <v>5000</v>
      </c>
      <c r="J23" s="15">
        <f t="shared" si="20"/>
        <v>6000</v>
      </c>
      <c r="K23" s="15">
        <f t="shared" si="20"/>
        <v>6600</v>
      </c>
      <c r="L23" s="15">
        <f t="shared" si="20"/>
        <v>6200</v>
      </c>
      <c r="M23" s="15">
        <f t="shared" si="20"/>
        <v>2400</v>
      </c>
    </row>
    <row r="24" spans="1:13" x14ac:dyDescent="0.25">
      <c r="A24" s="10" t="str">
        <f t="shared" ref="A24" si="21">A11</f>
        <v>Mainboard</v>
      </c>
      <c r="B24" s="15">
        <f t="shared" si="5"/>
        <v>2500</v>
      </c>
      <c r="C24" s="15">
        <f t="shared" ref="C24:M24" si="22">C11*$P11</f>
        <v>12500</v>
      </c>
      <c r="D24" s="15">
        <f t="shared" si="22"/>
        <v>12500</v>
      </c>
      <c r="E24" s="15">
        <f t="shared" si="22"/>
        <v>12500</v>
      </c>
      <c r="F24" s="15">
        <f t="shared" si="22"/>
        <v>15000</v>
      </c>
      <c r="G24" s="15">
        <f t="shared" si="22"/>
        <v>22500</v>
      </c>
      <c r="H24" s="15">
        <f t="shared" si="22"/>
        <v>15000</v>
      </c>
      <c r="I24" s="15">
        <f t="shared" si="22"/>
        <v>20000</v>
      </c>
      <c r="J24" s="15">
        <f t="shared" si="22"/>
        <v>20000</v>
      </c>
      <c r="K24" s="15">
        <f t="shared" si="22"/>
        <v>17500</v>
      </c>
      <c r="L24" s="15">
        <f t="shared" si="22"/>
        <v>15000</v>
      </c>
      <c r="M24" s="15">
        <f t="shared" si="22"/>
        <v>10000</v>
      </c>
    </row>
    <row r="25" spans="1:13" x14ac:dyDescent="0.25">
      <c r="A25" s="10" t="str">
        <f t="shared" ref="A25" si="23">A12</f>
        <v>Linh kiện khác (Nguồn, quạt tản nhiệt, GPU,….vv)</v>
      </c>
      <c r="B25" s="15">
        <f t="shared" si="5"/>
        <v>25000</v>
      </c>
      <c r="C25" s="15">
        <f t="shared" ref="C25:M25" si="24">C12*$P12</f>
        <v>47500</v>
      </c>
      <c r="D25" s="15">
        <f t="shared" si="24"/>
        <v>50000</v>
      </c>
      <c r="E25" s="15">
        <f t="shared" si="24"/>
        <v>42500</v>
      </c>
      <c r="F25" s="15">
        <f t="shared" si="24"/>
        <v>45000</v>
      </c>
      <c r="G25" s="15">
        <f t="shared" si="24"/>
        <v>47500</v>
      </c>
      <c r="H25" s="15">
        <f t="shared" si="24"/>
        <v>42500</v>
      </c>
      <c r="I25" s="15">
        <f t="shared" si="24"/>
        <v>47500</v>
      </c>
      <c r="J25" s="15">
        <f t="shared" si="24"/>
        <v>40000</v>
      </c>
      <c r="K25" s="15">
        <f t="shared" si="24"/>
        <v>50000</v>
      </c>
      <c r="L25" s="15">
        <f t="shared" si="24"/>
        <v>45000</v>
      </c>
      <c r="M25" s="15">
        <f t="shared" si="24"/>
        <v>35000</v>
      </c>
    </row>
    <row r="26" spans="1:13" x14ac:dyDescent="0.25">
      <c r="A26" s="16" t="s">
        <v>85</v>
      </c>
      <c r="B26" s="17">
        <f>SUM(B16:B25)</f>
        <v>60900</v>
      </c>
      <c r="C26" s="17">
        <f t="shared" ref="C26:M26" si="25">SUM(C16:C25)</f>
        <v>193900</v>
      </c>
      <c r="D26" s="17">
        <f t="shared" si="25"/>
        <v>212500</v>
      </c>
      <c r="E26" s="17">
        <f t="shared" si="25"/>
        <v>220600</v>
      </c>
      <c r="F26" s="17">
        <f t="shared" si="25"/>
        <v>229700</v>
      </c>
      <c r="G26" s="17">
        <f t="shared" si="25"/>
        <v>244100</v>
      </c>
      <c r="H26" s="17">
        <f t="shared" si="25"/>
        <v>160500</v>
      </c>
      <c r="I26" s="17">
        <f t="shared" si="25"/>
        <v>248500</v>
      </c>
      <c r="J26" s="17">
        <f t="shared" si="25"/>
        <v>246700</v>
      </c>
      <c r="K26" s="17">
        <f t="shared" si="25"/>
        <v>274900</v>
      </c>
      <c r="L26" s="17">
        <f t="shared" si="25"/>
        <v>184700</v>
      </c>
      <c r="M26" s="17">
        <f t="shared" si="25"/>
        <v>173200</v>
      </c>
    </row>
  </sheetData>
  <mergeCells count="2">
    <mergeCell ref="A14:M14"/>
    <mergeCell ref="A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H10" sqref="H10"/>
    </sheetView>
  </sheetViews>
  <sheetFormatPr defaultRowHeight="15" x14ac:dyDescent="0.25"/>
  <cols>
    <col min="1" max="1" width="25.5703125" bestFit="1" customWidth="1"/>
    <col min="2" max="2" width="24.42578125" style="6" bestFit="1" customWidth="1"/>
    <col min="3" max="3" width="29.85546875" style="6" bestFit="1" customWidth="1"/>
    <col min="4" max="4" width="23.85546875" bestFit="1" customWidth="1"/>
    <col min="6" max="6" width="17.5703125" bestFit="1" customWidth="1"/>
    <col min="8" max="8" width="29" bestFit="1" customWidth="1"/>
    <col min="9" max="9" width="23.85546875" bestFit="1" customWidth="1"/>
  </cols>
  <sheetData>
    <row r="1" spans="1:4" x14ac:dyDescent="0.25">
      <c r="A1" s="55" t="s">
        <v>118</v>
      </c>
      <c r="B1" s="55"/>
      <c r="C1" s="55"/>
      <c r="D1" s="55"/>
    </row>
    <row r="2" spans="1:4" s="54" customFormat="1" x14ac:dyDescent="0.25">
      <c r="A2" s="7" t="s">
        <v>13</v>
      </c>
      <c r="B2" s="57" t="s">
        <v>14</v>
      </c>
      <c r="C2" s="57" t="s">
        <v>26</v>
      </c>
      <c r="D2" s="7" t="s">
        <v>24</v>
      </c>
    </row>
    <row r="3" spans="1:4" x14ac:dyDescent="0.25">
      <c r="A3" s="7" t="s">
        <v>15</v>
      </c>
      <c r="B3" s="13">
        <f>1500/12</f>
        <v>125</v>
      </c>
      <c r="C3" s="13"/>
      <c r="D3" s="8"/>
    </row>
    <row r="4" spans="1:4" x14ac:dyDescent="0.25">
      <c r="A4" s="7" t="s">
        <v>16</v>
      </c>
      <c r="B4" s="13">
        <f>300</f>
        <v>300</v>
      </c>
      <c r="C4" s="13"/>
      <c r="D4" s="8"/>
    </row>
    <row r="5" spans="1:4" x14ac:dyDescent="0.25">
      <c r="A5" s="7" t="s">
        <v>17</v>
      </c>
      <c r="B5" s="13">
        <f>30</f>
        <v>30</v>
      </c>
      <c r="C5" s="13"/>
      <c r="D5" s="8"/>
    </row>
    <row r="6" spans="1:4" x14ac:dyDescent="0.25">
      <c r="A6" s="7" t="s">
        <v>102</v>
      </c>
      <c r="B6" s="13">
        <f>3000</f>
        <v>3000</v>
      </c>
      <c r="C6" s="13"/>
      <c r="D6" s="8"/>
    </row>
    <row r="7" spans="1:4" x14ac:dyDescent="0.25">
      <c r="A7" s="7" t="s">
        <v>18</v>
      </c>
      <c r="B7" s="13">
        <f>6000*4</f>
        <v>24000</v>
      </c>
      <c r="C7" s="13"/>
      <c r="D7" s="8" t="s">
        <v>25</v>
      </c>
    </row>
    <row r="8" spans="1:4" x14ac:dyDescent="0.25">
      <c r="A8" s="7" t="s">
        <v>19</v>
      </c>
      <c r="B8" s="13">
        <f>100</f>
        <v>100</v>
      </c>
      <c r="C8" s="13"/>
      <c r="D8" s="8"/>
    </row>
    <row r="9" spans="1:4" x14ac:dyDescent="0.25">
      <c r="A9" s="7" t="s">
        <v>21</v>
      </c>
      <c r="B9" s="13">
        <f>1000/12</f>
        <v>83.333333333333329</v>
      </c>
      <c r="C9" s="13"/>
      <c r="D9" s="8"/>
    </row>
    <row r="10" spans="1:4" x14ac:dyDescent="0.25">
      <c r="A10" s="7" t="s">
        <v>22</v>
      </c>
      <c r="B10" s="13">
        <f>250</f>
        <v>250</v>
      </c>
      <c r="C10" s="13"/>
      <c r="D10" s="8"/>
    </row>
    <row r="11" spans="1:4" x14ac:dyDescent="0.25">
      <c r="A11" s="7" t="s">
        <v>20</v>
      </c>
      <c r="B11" s="13"/>
      <c r="C11" s="13">
        <f>1000</f>
        <v>1000</v>
      </c>
      <c r="D11" s="8"/>
    </row>
    <row r="12" spans="1:4" x14ac:dyDescent="0.25">
      <c r="A12" s="7" t="str">
        <f>'Von ban dau'!B15</f>
        <v xml:space="preserve">Thuê server </v>
      </c>
      <c r="B12" s="15"/>
      <c r="C12" s="13">
        <f>'Von ban dau'!C15</f>
        <v>3000</v>
      </c>
      <c r="D12" s="13" t="str">
        <f>'Von ban dau'!D15</f>
        <v>1 năm</v>
      </c>
    </row>
    <row r="13" spans="1:4" x14ac:dyDescent="0.25">
      <c r="A13" s="7" t="str">
        <f>'Von ban dau'!B14</f>
        <v>Bàn, ghế</v>
      </c>
      <c r="B13" s="15"/>
      <c r="C13" s="13">
        <f>'Von ban dau'!C14</f>
        <v>3762</v>
      </c>
      <c r="D13" s="13" t="str">
        <f>'Von ban dau'!D14</f>
        <v>3 bàn, 4 ghế</v>
      </c>
    </row>
    <row r="14" spans="1:4" x14ac:dyDescent="0.25">
      <c r="A14" s="7" t="str">
        <f>'Von ban dau'!B13</f>
        <v>Ghế cho khách</v>
      </c>
      <c r="B14" s="15"/>
      <c r="C14" s="13">
        <f>'Von ban dau'!C13</f>
        <v>500</v>
      </c>
      <c r="D14" s="13" t="str">
        <f>'Von ban dau'!D13</f>
        <v>10 cái ghế</v>
      </c>
    </row>
    <row r="15" spans="1:4" x14ac:dyDescent="0.25">
      <c r="A15" s="7" t="str">
        <f>'Von ban dau'!B16</f>
        <v>Thùng hàng xe máy</v>
      </c>
      <c r="B15" s="15"/>
      <c r="C15" s="13">
        <f>'Von ban dau'!C16</f>
        <v>300</v>
      </c>
      <c r="D15" s="13" t="str">
        <f>'Von ban dau'!D16</f>
        <v>2 cái</v>
      </c>
    </row>
    <row r="16" spans="1:4" x14ac:dyDescent="0.25">
      <c r="A16" s="7" t="str">
        <f>'Von ban dau'!B17</f>
        <v>Xe máy</v>
      </c>
      <c r="C16" s="13">
        <f>'Von ban dau'!C17</f>
        <v>20000</v>
      </c>
      <c r="D16" s="13" t="str">
        <f>'Von ban dau'!D17</f>
        <v>2 chiếc</v>
      </c>
    </row>
    <row r="17" spans="1:13" s="11" customFormat="1" x14ac:dyDescent="0.25">
      <c r="B17" s="57">
        <f>SUM(B3:B10)</f>
        <v>27888.333333333332</v>
      </c>
      <c r="C17" s="57">
        <f>SUM(C13:C16)</f>
        <v>24562</v>
      </c>
      <c r="D17" s="7"/>
    </row>
    <row r="19" spans="1:13" x14ac:dyDescent="0.25">
      <c r="B19"/>
      <c r="C19"/>
      <c r="M19">
        <v>0</v>
      </c>
    </row>
    <row r="20" spans="1:13" x14ac:dyDescent="0.25">
      <c r="A20" s="52" t="s">
        <v>27</v>
      </c>
      <c r="B20" s="52"/>
      <c r="C20" s="52"/>
      <c r="D20" s="52"/>
    </row>
    <row r="21" spans="1:13" s="54" customFormat="1" x14ac:dyDescent="0.25">
      <c r="A21" s="56" t="s">
        <v>30</v>
      </c>
      <c r="B21" s="7" t="s">
        <v>28</v>
      </c>
      <c r="C21" s="7" t="s">
        <v>115</v>
      </c>
      <c r="D21" s="7" t="s">
        <v>29</v>
      </c>
    </row>
    <row r="22" spans="1:13" x14ac:dyDescent="0.25">
      <c r="A22" s="7" t="str">
        <f t="shared" ref="A22:A25" si="0">A13</f>
        <v>Bàn, ghế</v>
      </c>
      <c r="B22" s="14">
        <f t="shared" ref="B22:B25" si="1">C13</f>
        <v>3762</v>
      </c>
      <c r="C22" s="14">
        <v>4</v>
      </c>
      <c r="D22" s="14">
        <f>B22/(C22*12)</f>
        <v>78.375</v>
      </c>
    </row>
    <row r="23" spans="1:13" x14ac:dyDescent="0.25">
      <c r="A23" s="7" t="str">
        <f t="shared" si="0"/>
        <v>Ghế cho khách</v>
      </c>
      <c r="B23" s="14">
        <f t="shared" si="1"/>
        <v>500</v>
      </c>
      <c r="C23" s="14">
        <v>4</v>
      </c>
      <c r="D23" s="14">
        <f t="shared" ref="D23:D25" si="2">B23/(C23*12)</f>
        <v>10.416666666666666</v>
      </c>
    </row>
    <row r="24" spans="1:13" x14ac:dyDescent="0.25">
      <c r="A24" s="7" t="str">
        <f t="shared" si="0"/>
        <v>Thùng hàng xe máy</v>
      </c>
      <c r="B24" s="14">
        <f t="shared" si="1"/>
        <v>300</v>
      </c>
      <c r="C24" s="14">
        <v>4</v>
      </c>
      <c r="D24" s="14">
        <f t="shared" si="2"/>
        <v>6.25</v>
      </c>
    </row>
    <row r="25" spans="1:13" x14ac:dyDescent="0.25">
      <c r="A25" s="7" t="str">
        <f t="shared" si="0"/>
        <v>Xe máy</v>
      </c>
      <c r="B25" s="15">
        <f t="shared" si="1"/>
        <v>20000</v>
      </c>
      <c r="C25" s="14">
        <v>4</v>
      </c>
      <c r="D25" s="14">
        <f t="shared" si="2"/>
        <v>416.66666666666669</v>
      </c>
    </row>
    <row r="26" spans="1:13" x14ac:dyDescent="0.25">
      <c r="A26" s="6"/>
      <c r="C26" s="29" t="s">
        <v>34</v>
      </c>
      <c r="D26" s="17">
        <f>SUM(D22:D25)</f>
        <v>511.70833333333337</v>
      </c>
    </row>
  </sheetData>
  <mergeCells count="2">
    <mergeCell ref="A20:D20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11" sqref="B11"/>
    </sheetView>
  </sheetViews>
  <sheetFormatPr defaultRowHeight="15" x14ac:dyDescent="0.25"/>
  <cols>
    <col min="1" max="1" width="29" bestFit="1" customWidth="1"/>
    <col min="2" max="2" width="12" style="6" bestFit="1" customWidth="1"/>
    <col min="3" max="3" width="18.42578125" customWidth="1"/>
    <col min="5" max="5" width="44.5703125" bestFit="1" customWidth="1"/>
    <col min="6" max="6" width="7.85546875" bestFit="1" customWidth="1"/>
    <col min="8" max="8" width="44.5703125" bestFit="1" customWidth="1"/>
    <col min="9" max="9" width="17.42578125" style="6" bestFit="1" customWidth="1"/>
    <col min="10" max="10" width="18" bestFit="1" customWidth="1"/>
    <col min="11" max="11" width="27.42578125" bestFit="1" customWidth="1"/>
    <col min="12" max="12" width="20" style="6" bestFit="1" customWidth="1"/>
    <col min="13" max="13" width="19.140625" style="6" bestFit="1" customWidth="1"/>
    <col min="14" max="14" width="15.85546875" style="6" bestFit="1" customWidth="1"/>
  </cols>
  <sheetData>
    <row r="1" spans="1:14" x14ac:dyDescent="0.25">
      <c r="A1" s="33" t="s">
        <v>31</v>
      </c>
      <c r="B1" s="33"/>
      <c r="C1" s="33"/>
      <c r="D1" s="12"/>
      <c r="E1" s="34" t="s">
        <v>36</v>
      </c>
      <c r="F1" s="35"/>
      <c r="H1" s="33" t="s">
        <v>42</v>
      </c>
      <c r="I1" s="33"/>
      <c r="J1" s="33"/>
      <c r="K1" s="33"/>
      <c r="L1" s="33"/>
      <c r="M1" s="33"/>
      <c r="N1" s="33"/>
    </row>
    <row r="2" spans="1:14" s="11" customFormat="1" x14ac:dyDescent="0.25">
      <c r="A2" s="30" t="s">
        <v>13</v>
      </c>
      <c r="B2" s="29" t="s">
        <v>32</v>
      </c>
      <c r="C2" s="16" t="s">
        <v>33</v>
      </c>
      <c r="E2" s="16" t="str">
        <f>'Uoc luong san pham ban ra'!A2</f>
        <v>Sản phẩm</v>
      </c>
      <c r="F2" s="16" t="s">
        <v>37</v>
      </c>
      <c r="H2" s="16" t="str">
        <f>'Uoc luong san pham ban ra'!A2</f>
        <v>Sản phẩm</v>
      </c>
      <c r="I2" s="29" t="s">
        <v>43</v>
      </c>
      <c r="J2" s="29" t="str">
        <f>'Uoc luong san pham ban ra'!P2</f>
        <v>Giá nhập sản phẩm</v>
      </c>
      <c r="K2" s="16" t="str">
        <f>'Uoc luong san pham ban ra'!N2</f>
        <v>Bình quân bán được(1 tháng)</v>
      </c>
      <c r="L2" s="29" t="s">
        <v>47</v>
      </c>
      <c r="M2" s="29" t="s">
        <v>48</v>
      </c>
      <c r="N2" s="29" t="s">
        <v>49</v>
      </c>
    </row>
    <row r="3" spans="1:14" x14ac:dyDescent="0.25">
      <c r="A3" s="9" t="str">
        <f>'Von dau tu &amp; von luu dong'!$A$3</f>
        <v>Bảo hiểm</v>
      </c>
      <c r="B3" s="15">
        <f>'Von dau tu &amp; von luu dong'!$B$3</f>
        <v>125</v>
      </c>
      <c r="C3" s="9"/>
      <c r="E3" s="9" t="str">
        <f>'Uoc luong san pham ban ra'!A3</f>
        <v>Dịch vụ Sửa PC</v>
      </c>
      <c r="F3" s="9">
        <v>5</v>
      </c>
      <c r="H3" s="9" t="str">
        <f>'Uoc luong san pham ban ra'!A3</f>
        <v>Dịch vụ Sửa PC</v>
      </c>
      <c r="I3" s="15">
        <f>_xlfn.FLOOR.MATH(B$12 * F3 / 100)</f>
        <v>1420</v>
      </c>
      <c r="J3" s="15">
        <f>'Uoc luong san pham ban ra'!P3</f>
        <v>0</v>
      </c>
      <c r="K3" s="9">
        <f>'Uoc luong san pham ban ra'!N3</f>
        <v>37</v>
      </c>
      <c r="L3" s="15">
        <f>_xlfn.FLOOR.MATH(J3+I3/K3)</f>
        <v>38</v>
      </c>
      <c r="M3" s="15">
        <v>80</v>
      </c>
      <c r="N3" s="15">
        <f>SUM(M3+L3)</f>
        <v>118</v>
      </c>
    </row>
    <row r="4" spans="1:14" x14ac:dyDescent="0.25">
      <c r="A4" s="9" t="str">
        <f>'Von dau tu &amp; von luu dong'!$A$4</f>
        <v>Tiền điện</v>
      </c>
      <c r="B4" s="15">
        <f>'Von dau tu &amp; von luu dong'!$B$4</f>
        <v>300</v>
      </c>
      <c r="C4" s="9"/>
      <c r="E4" s="9" t="str">
        <f>'Uoc luong san pham ban ra'!A4</f>
        <v>Dịch vụ Sửa Laptop</v>
      </c>
      <c r="F4" s="9">
        <v>5</v>
      </c>
      <c r="H4" s="9" t="str">
        <f>'Uoc luong san pham ban ra'!A4</f>
        <v>Dịch vụ Sửa Laptop</v>
      </c>
      <c r="I4" s="15">
        <f t="shared" ref="I4:I12" si="0">_xlfn.FLOOR.MATH(B$12 * F4 / 100)</f>
        <v>1420</v>
      </c>
      <c r="J4" s="15">
        <f>'Uoc luong san pham ban ra'!P4</f>
        <v>0</v>
      </c>
      <c r="K4" s="9">
        <f>'Uoc luong san pham ban ra'!N4</f>
        <v>36</v>
      </c>
      <c r="L4" s="15">
        <f t="shared" ref="L4:L12" si="1">_xlfn.FLOOR.MATH(J4+I4/K4)</f>
        <v>39</v>
      </c>
      <c r="M4" s="15">
        <v>80</v>
      </c>
      <c r="N4" s="15">
        <f t="shared" ref="N4:N12" si="2">SUM(M4+L4)</f>
        <v>119</v>
      </c>
    </row>
    <row r="5" spans="1:14" x14ac:dyDescent="0.25">
      <c r="A5" s="9" t="str">
        <f>'Von dau tu &amp; von luu dong'!A5</f>
        <v>Tiền nước</v>
      </c>
      <c r="B5" s="15">
        <f>'Von dau tu &amp; von luu dong'!B5</f>
        <v>30</v>
      </c>
      <c r="C5" s="9"/>
      <c r="E5" s="9" t="str">
        <f>'Uoc luong san pham ban ra'!A5</f>
        <v>PC (bán)</v>
      </c>
      <c r="F5" s="9">
        <v>20</v>
      </c>
      <c r="H5" s="9" t="str">
        <f>'Uoc luong san pham ban ra'!A5</f>
        <v>PC (bán)</v>
      </c>
      <c r="I5" s="15">
        <f t="shared" si="0"/>
        <v>5680</v>
      </c>
      <c r="J5" s="15">
        <f>'Uoc luong san pham ban ra'!P5</f>
        <v>8000</v>
      </c>
      <c r="K5" s="9">
        <f>'Uoc luong san pham ban ra'!N5</f>
        <v>8</v>
      </c>
      <c r="L5" s="15">
        <f>_xlfn.FLOOR.MATH(J5+I5/K5)</f>
        <v>8710</v>
      </c>
      <c r="M5" s="15">
        <f>_xlfn.FLOOR.MATH(L5*3%)</f>
        <v>261</v>
      </c>
      <c r="N5" s="15">
        <f t="shared" si="2"/>
        <v>8971</v>
      </c>
    </row>
    <row r="6" spans="1:14" x14ac:dyDescent="0.25">
      <c r="A6" s="9" t="str">
        <f>'Von dau tu &amp; von luu dong'!A6</f>
        <v>Tiền mặt bằng</v>
      </c>
      <c r="B6" s="15">
        <f>'Von dau tu &amp; von luu dong'!B6</f>
        <v>3000</v>
      </c>
      <c r="C6" s="9"/>
      <c r="E6" s="9" t="str">
        <f>'Uoc luong san pham ban ra'!A6</f>
        <v>Ram</v>
      </c>
      <c r="F6" s="9">
        <v>10</v>
      </c>
      <c r="H6" s="9" t="str">
        <f>'Uoc luong san pham ban ra'!A6</f>
        <v>Ram</v>
      </c>
      <c r="I6" s="15">
        <f t="shared" si="0"/>
        <v>2840</v>
      </c>
      <c r="J6" s="15">
        <f>'Uoc luong san pham ban ra'!P6</f>
        <v>900</v>
      </c>
      <c r="K6" s="9">
        <f>'Uoc luong san pham ban ra'!N6</f>
        <v>15</v>
      </c>
      <c r="L6" s="15">
        <f t="shared" si="1"/>
        <v>1089</v>
      </c>
      <c r="M6" s="15">
        <f>_xlfn.FLOOR.MATH(L6*5%)</f>
        <v>54</v>
      </c>
      <c r="N6" s="15">
        <f t="shared" si="2"/>
        <v>1143</v>
      </c>
    </row>
    <row r="7" spans="1:14" x14ac:dyDescent="0.25">
      <c r="A7" s="9" t="str">
        <f>'Von dau tu &amp; von luu dong'!A7</f>
        <v>Lương thành viên</v>
      </c>
      <c r="B7" s="15">
        <f>'Von dau tu &amp; von luu dong'!B7</f>
        <v>24000</v>
      </c>
      <c r="C7" s="9"/>
      <c r="E7" s="9" t="str">
        <f>'Uoc luong san pham ban ra'!A7</f>
        <v>Ổ cứng</v>
      </c>
      <c r="F7" s="9">
        <v>10</v>
      </c>
      <c r="H7" s="9" t="str">
        <f>'Uoc luong san pham ban ra'!A7</f>
        <v>Ổ cứng</v>
      </c>
      <c r="I7" s="15">
        <f t="shared" si="0"/>
        <v>2840</v>
      </c>
      <c r="J7" s="15">
        <f>'Uoc luong san pham ban ra'!P7</f>
        <v>2500</v>
      </c>
      <c r="K7" s="9">
        <f>'Uoc luong san pham ban ra'!N7</f>
        <v>7</v>
      </c>
      <c r="L7" s="15">
        <f t="shared" si="1"/>
        <v>2905</v>
      </c>
      <c r="M7" s="15">
        <f>_xlfn.FLOOR.MATH(L7*4%)</f>
        <v>116</v>
      </c>
      <c r="N7" s="15">
        <f t="shared" si="2"/>
        <v>3021</v>
      </c>
    </row>
    <row r="8" spans="1:14" x14ac:dyDescent="0.25">
      <c r="A8" s="9" t="str">
        <f>'Von dau tu &amp; von luu dong'!A8</f>
        <v>Tiền điện thoại</v>
      </c>
      <c r="B8" s="15">
        <f>'Von dau tu &amp; von luu dong'!B8</f>
        <v>100</v>
      </c>
      <c r="C8" s="9"/>
      <c r="E8" s="9" t="str">
        <f>'Uoc luong san pham ban ra'!A8</f>
        <v>bàn phím/chuột</v>
      </c>
      <c r="F8" s="9">
        <v>10</v>
      </c>
      <c r="H8" s="9" t="str">
        <f>'Uoc luong san pham ban ra'!A8</f>
        <v>bàn phím/chuột</v>
      </c>
      <c r="I8" s="15">
        <f t="shared" si="0"/>
        <v>2840</v>
      </c>
      <c r="J8" s="15">
        <f>'Uoc luong san pham ban ra'!P8</f>
        <v>300</v>
      </c>
      <c r="K8" s="9">
        <f>'Uoc luong san pham ban ra'!N8</f>
        <v>44</v>
      </c>
      <c r="L8" s="15">
        <f t="shared" si="1"/>
        <v>364</v>
      </c>
      <c r="M8" s="15">
        <v>50</v>
      </c>
      <c r="N8" s="15">
        <f t="shared" si="2"/>
        <v>414</v>
      </c>
    </row>
    <row r="9" spans="1:14" x14ac:dyDescent="0.25">
      <c r="A9" s="9" t="str">
        <f>'Von dau tu &amp; von luu dong'!A9</f>
        <v>Thuế</v>
      </c>
      <c r="B9" s="15">
        <f>'Von dau tu &amp; von luu dong'!B9</f>
        <v>83.333333333333329</v>
      </c>
      <c r="C9" s="9"/>
      <c r="E9" s="9" t="str">
        <f>'Uoc luong san pham ban ra'!A9</f>
        <v>Màn hình</v>
      </c>
      <c r="F9" s="9">
        <v>10</v>
      </c>
      <c r="H9" s="9" t="str">
        <f>'Uoc luong san pham ban ra'!A9</f>
        <v>Màn hình</v>
      </c>
      <c r="I9" s="15">
        <f t="shared" si="0"/>
        <v>2840</v>
      </c>
      <c r="J9" s="15">
        <f>'Uoc luong san pham ban ra'!P9</f>
        <v>3000</v>
      </c>
      <c r="K9" s="9">
        <f>'Uoc luong san pham ban ra'!N9</f>
        <v>8</v>
      </c>
      <c r="L9" s="15">
        <f t="shared" si="1"/>
        <v>3355</v>
      </c>
      <c r="M9" s="15">
        <f>_xlfn.FLOOR.MATH(L9*5%)</f>
        <v>167</v>
      </c>
      <c r="N9" s="15">
        <f t="shared" si="2"/>
        <v>3522</v>
      </c>
    </row>
    <row r="10" spans="1:14" x14ac:dyDescent="0.25">
      <c r="A10" s="9" t="str">
        <f>'Von dau tu &amp; von luu dong'!A10</f>
        <v>Tiền mạng</v>
      </c>
      <c r="B10" s="15">
        <f>'Von dau tu &amp; von luu dong'!B10</f>
        <v>250</v>
      </c>
      <c r="C10" s="9"/>
      <c r="E10" s="9" t="str">
        <f>'Uoc luong san pham ban ra'!A10</f>
        <v>USB</v>
      </c>
      <c r="F10" s="9">
        <v>5</v>
      </c>
      <c r="H10" s="9" t="str">
        <f>'Uoc luong san pham ban ra'!A10</f>
        <v>USB</v>
      </c>
      <c r="I10" s="15">
        <f t="shared" si="0"/>
        <v>1420</v>
      </c>
      <c r="J10" s="15">
        <f>'Uoc luong san pham ban ra'!P10</f>
        <v>200</v>
      </c>
      <c r="K10" s="9">
        <f>'Uoc luong san pham ban ra'!N10</f>
        <v>25</v>
      </c>
      <c r="L10" s="15">
        <f t="shared" si="1"/>
        <v>256</v>
      </c>
      <c r="M10" s="15">
        <v>20</v>
      </c>
      <c r="N10" s="15">
        <f t="shared" si="2"/>
        <v>276</v>
      </c>
    </row>
    <row r="11" spans="1:14" x14ac:dyDescent="0.25">
      <c r="A11" s="9" t="str">
        <f>'Von dau tu &amp; von luu dong'!$C$26</f>
        <v>Tổng tiền khấu hao hàng tháng</v>
      </c>
      <c r="B11" s="15">
        <f>'Von dau tu &amp; von luu dong'!$D$26</f>
        <v>511.70833333333337</v>
      </c>
      <c r="C11" s="9"/>
      <c r="E11" s="9" t="str">
        <f>'Uoc luong san pham ban ra'!A11</f>
        <v>Mainboard</v>
      </c>
      <c r="F11" s="9">
        <v>10</v>
      </c>
      <c r="H11" s="9" t="str">
        <f>'Uoc luong san pham ban ra'!A11</f>
        <v>Mainboard</v>
      </c>
      <c r="I11" s="15">
        <f t="shared" si="0"/>
        <v>2840</v>
      </c>
      <c r="J11" s="15">
        <f>'Uoc luong san pham ban ra'!P11</f>
        <v>2500</v>
      </c>
      <c r="K11" s="9">
        <f>'Uoc luong san pham ban ra'!N11</f>
        <v>5</v>
      </c>
      <c r="L11" s="15">
        <f t="shared" si="1"/>
        <v>3068</v>
      </c>
      <c r="M11" s="15">
        <f>_xlfn.FLOOR.MATH(L11*5%)</f>
        <v>153</v>
      </c>
      <c r="N11" s="15">
        <f t="shared" si="2"/>
        <v>3221</v>
      </c>
    </row>
    <row r="12" spans="1:14" x14ac:dyDescent="0.25">
      <c r="A12" s="16" t="s">
        <v>35</v>
      </c>
      <c r="B12" s="17">
        <f>SUM(B3:B11)</f>
        <v>28400.041666666664</v>
      </c>
      <c r="C12" s="18"/>
      <c r="E12" s="9" t="str">
        <f>'Uoc luong san pham ban ra'!A12</f>
        <v>Linh kiện khác (Nguồn, quạt tản nhiệt, GPU,….vv)</v>
      </c>
      <c r="F12" s="9">
        <v>15</v>
      </c>
      <c r="H12" s="9" t="str">
        <f>'Uoc luong san pham ban ra'!A12</f>
        <v>Linh kiện khác (Nguồn, quạt tản nhiệt, GPU,….vv)</v>
      </c>
      <c r="I12" s="15">
        <f t="shared" si="0"/>
        <v>4260</v>
      </c>
      <c r="J12" s="15">
        <f>'Uoc luong san pham ban ra'!P12</f>
        <v>2500</v>
      </c>
      <c r="K12" s="9">
        <f>'Uoc luong san pham ban ra'!N12</f>
        <v>17</v>
      </c>
      <c r="L12" s="15">
        <f t="shared" si="1"/>
        <v>2750</v>
      </c>
      <c r="M12" s="15">
        <f>_xlfn.FLOOR.MATH(L12*5%)</f>
        <v>137</v>
      </c>
      <c r="N12" s="15">
        <f t="shared" si="2"/>
        <v>2887</v>
      </c>
    </row>
    <row r="13" spans="1:14" x14ac:dyDescent="0.25">
      <c r="E13" s="16" t="s">
        <v>41</v>
      </c>
      <c r="F13" s="16">
        <f>SUM(F3:F12)</f>
        <v>100</v>
      </c>
    </row>
  </sheetData>
  <mergeCells count="3">
    <mergeCell ref="A1:C1"/>
    <mergeCell ref="E1:F1"/>
    <mergeCell ref="H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7" workbookViewId="0">
      <selection activeCell="C32" sqref="C32:N32"/>
    </sheetView>
  </sheetViews>
  <sheetFormatPr defaultRowHeight="15" x14ac:dyDescent="0.25"/>
  <cols>
    <col min="1" max="1" width="45" style="11" bestFit="1" customWidth="1"/>
    <col min="2" max="2" width="34" bestFit="1" customWidth="1"/>
    <col min="3" max="14" width="9.140625" style="6"/>
  </cols>
  <sheetData>
    <row r="1" spans="1:14" s="39" customFormat="1" ht="16.5" customHeight="1" thickBot="1" x14ac:dyDescent="0.3">
      <c r="A1" s="26" t="s">
        <v>12</v>
      </c>
      <c r="B1" s="26" t="s">
        <v>30</v>
      </c>
      <c r="C1" s="27" t="s">
        <v>66</v>
      </c>
      <c r="D1" s="27" t="s">
        <v>67</v>
      </c>
      <c r="E1" s="27" t="s">
        <v>68</v>
      </c>
      <c r="F1" s="27" t="s">
        <v>69</v>
      </c>
      <c r="G1" s="27" t="s">
        <v>70</v>
      </c>
      <c r="H1" s="27" t="s">
        <v>71</v>
      </c>
      <c r="I1" s="27" t="s">
        <v>72</v>
      </c>
      <c r="J1" s="27" t="s">
        <v>73</v>
      </c>
      <c r="K1" s="27" t="s">
        <v>74</v>
      </c>
      <c r="L1" s="27" t="s">
        <v>75</v>
      </c>
      <c r="M1" s="27" t="s">
        <v>76</v>
      </c>
      <c r="N1" s="27" t="s">
        <v>77</v>
      </c>
    </row>
    <row r="2" spans="1:14" s="20" customFormat="1" ht="15" customHeight="1" x14ac:dyDescent="0.25">
      <c r="A2" s="36" t="str">
        <f>'Uoc luong san pham ban ra'!A3</f>
        <v>Dịch vụ Sửa PC</v>
      </c>
      <c r="B2" s="19" t="s">
        <v>62</v>
      </c>
      <c r="C2" s="24">
        <f>'Uoc luong san pham ban ra'!B3</f>
        <v>8</v>
      </c>
      <c r="D2" s="24">
        <f>'Uoc luong san pham ban ra'!C3</f>
        <v>20</v>
      </c>
      <c r="E2" s="24">
        <f>'Uoc luong san pham ban ra'!D3</f>
        <v>40</v>
      </c>
      <c r="F2" s="24">
        <f>'Uoc luong san pham ban ra'!E3</f>
        <v>41</v>
      </c>
      <c r="G2" s="24">
        <f>'Uoc luong san pham ban ra'!F3</f>
        <v>37</v>
      </c>
      <c r="H2" s="24">
        <f>'Uoc luong san pham ban ra'!G3</f>
        <v>45</v>
      </c>
      <c r="I2" s="24">
        <f>'Uoc luong san pham ban ra'!H3</f>
        <v>45</v>
      </c>
      <c r="J2" s="24">
        <f>'Uoc luong san pham ban ra'!I3</f>
        <v>40</v>
      </c>
      <c r="K2" s="24">
        <f>'Uoc luong san pham ban ra'!J3</f>
        <v>42</v>
      </c>
      <c r="L2" s="24">
        <f>'Uoc luong san pham ban ra'!K3</f>
        <v>39</v>
      </c>
      <c r="M2" s="24">
        <f>'Uoc luong san pham ban ra'!L3</f>
        <v>45</v>
      </c>
      <c r="N2" s="24">
        <f>'Uoc luong san pham ban ra'!M3</f>
        <v>50</v>
      </c>
    </row>
    <row r="3" spans="1:14" s="21" customFormat="1" x14ac:dyDescent="0.25">
      <c r="A3" s="37"/>
      <c r="B3" s="9" t="s">
        <v>63</v>
      </c>
      <c r="C3" s="15">
        <f>'Chi phi &amp; Gia thanh'!$N$3</f>
        <v>118</v>
      </c>
      <c r="D3" s="15">
        <f>'Chi phi &amp; Gia thanh'!$N$3</f>
        <v>118</v>
      </c>
      <c r="E3" s="15">
        <f>'Chi phi &amp; Gia thanh'!$N$3</f>
        <v>118</v>
      </c>
      <c r="F3" s="15">
        <f>'Chi phi &amp; Gia thanh'!$N$3</f>
        <v>118</v>
      </c>
      <c r="G3" s="15">
        <f>'Chi phi &amp; Gia thanh'!$N$3</f>
        <v>118</v>
      </c>
      <c r="H3" s="15">
        <f>'Chi phi &amp; Gia thanh'!$N$3</f>
        <v>118</v>
      </c>
      <c r="I3" s="15">
        <f>'Chi phi &amp; Gia thanh'!$N$3</f>
        <v>118</v>
      </c>
      <c r="J3" s="15">
        <f>'Chi phi &amp; Gia thanh'!$N$3</f>
        <v>118</v>
      </c>
      <c r="K3" s="15">
        <f>'Chi phi &amp; Gia thanh'!$N$3</f>
        <v>118</v>
      </c>
      <c r="L3" s="15">
        <f>'Chi phi &amp; Gia thanh'!$N$3</f>
        <v>118</v>
      </c>
      <c r="M3" s="15">
        <f>'Chi phi &amp; Gia thanh'!$N$3</f>
        <v>118</v>
      </c>
      <c r="N3" s="15">
        <f>'Chi phi &amp; Gia thanh'!$N$3</f>
        <v>118</v>
      </c>
    </row>
    <row r="4" spans="1:14" s="23" customFormat="1" ht="15.75" thickBot="1" x14ac:dyDescent="0.3">
      <c r="A4" s="38"/>
      <c r="B4" s="22" t="s">
        <v>64</v>
      </c>
      <c r="C4" s="25">
        <f>C2*C3</f>
        <v>944</v>
      </c>
      <c r="D4" s="25">
        <f t="shared" ref="D4:N4" si="0">D2*D3</f>
        <v>2360</v>
      </c>
      <c r="E4" s="25">
        <f t="shared" si="0"/>
        <v>4720</v>
      </c>
      <c r="F4" s="25">
        <f t="shared" si="0"/>
        <v>4838</v>
      </c>
      <c r="G4" s="25">
        <f t="shared" si="0"/>
        <v>4366</v>
      </c>
      <c r="H4" s="25">
        <f t="shared" si="0"/>
        <v>5310</v>
      </c>
      <c r="I4" s="25">
        <f t="shared" si="0"/>
        <v>5310</v>
      </c>
      <c r="J4" s="25">
        <f t="shared" si="0"/>
        <v>4720</v>
      </c>
      <c r="K4" s="25">
        <f t="shared" si="0"/>
        <v>4956</v>
      </c>
      <c r="L4" s="25">
        <f t="shared" si="0"/>
        <v>4602</v>
      </c>
      <c r="M4" s="25">
        <f t="shared" si="0"/>
        <v>5310</v>
      </c>
      <c r="N4" s="25">
        <f t="shared" si="0"/>
        <v>5900</v>
      </c>
    </row>
    <row r="5" spans="1:14" s="20" customFormat="1" x14ac:dyDescent="0.25">
      <c r="A5" s="36" t="str">
        <f>'Uoc luong san pham ban ra'!$A$4</f>
        <v>Dịch vụ Sửa Laptop</v>
      </c>
      <c r="B5" s="19" t="s">
        <v>62</v>
      </c>
      <c r="C5" s="24">
        <f>'Uoc luong san pham ban ra'!B4</f>
        <v>13</v>
      </c>
      <c r="D5" s="24">
        <f>'Uoc luong san pham ban ra'!C4</f>
        <v>16</v>
      </c>
      <c r="E5" s="24">
        <f>'Uoc luong san pham ban ra'!D4</f>
        <v>55</v>
      </c>
      <c r="F5" s="24">
        <f>'Uoc luong san pham ban ra'!E4</f>
        <v>50</v>
      </c>
      <c r="G5" s="24">
        <f>'Uoc luong san pham ban ra'!F4</f>
        <v>37</v>
      </c>
      <c r="H5" s="24">
        <f>'Uoc luong san pham ban ra'!G4</f>
        <v>35</v>
      </c>
      <c r="I5" s="24">
        <f>'Uoc luong san pham ban ra'!H4</f>
        <v>33</v>
      </c>
      <c r="J5" s="24">
        <f>'Uoc luong san pham ban ra'!I4</f>
        <v>40</v>
      </c>
      <c r="K5" s="24">
        <f>'Uoc luong san pham ban ra'!J4</f>
        <v>42</v>
      </c>
      <c r="L5" s="24">
        <f>'Uoc luong san pham ban ra'!K4</f>
        <v>41</v>
      </c>
      <c r="M5" s="24">
        <f>'Uoc luong san pham ban ra'!L4</f>
        <v>37</v>
      </c>
      <c r="N5" s="24">
        <f>'Uoc luong san pham ban ra'!M4</f>
        <v>44</v>
      </c>
    </row>
    <row r="6" spans="1:14" s="21" customFormat="1" x14ac:dyDescent="0.25">
      <c r="A6" s="37"/>
      <c r="B6" s="9" t="s">
        <v>63</v>
      </c>
      <c r="C6" s="15">
        <f>'Chi phi &amp; Gia thanh'!$N$4</f>
        <v>119</v>
      </c>
      <c r="D6" s="15">
        <f>'Chi phi &amp; Gia thanh'!$N$4</f>
        <v>119</v>
      </c>
      <c r="E6" s="15">
        <f>'Chi phi &amp; Gia thanh'!$N$4</f>
        <v>119</v>
      </c>
      <c r="F6" s="15">
        <f>'Chi phi &amp; Gia thanh'!$N$4</f>
        <v>119</v>
      </c>
      <c r="G6" s="15">
        <f>'Chi phi &amp; Gia thanh'!$N$4</f>
        <v>119</v>
      </c>
      <c r="H6" s="15">
        <f>'Chi phi &amp; Gia thanh'!$N$4</f>
        <v>119</v>
      </c>
      <c r="I6" s="15">
        <f>'Chi phi &amp; Gia thanh'!$N$4</f>
        <v>119</v>
      </c>
      <c r="J6" s="15">
        <f>'Chi phi &amp; Gia thanh'!$N$4</f>
        <v>119</v>
      </c>
      <c r="K6" s="15">
        <f>'Chi phi &amp; Gia thanh'!$N$4</f>
        <v>119</v>
      </c>
      <c r="L6" s="15">
        <f>'Chi phi &amp; Gia thanh'!$N$4</f>
        <v>119</v>
      </c>
      <c r="M6" s="15">
        <f>'Chi phi &amp; Gia thanh'!$N$4</f>
        <v>119</v>
      </c>
      <c r="N6" s="15">
        <f>'Chi phi &amp; Gia thanh'!$N$4</f>
        <v>119</v>
      </c>
    </row>
    <row r="7" spans="1:14" s="23" customFormat="1" ht="15.75" thickBot="1" x14ac:dyDescent="0.3">
      <c r="A7" s="38"/>
      <c r="B7" s="22" t="s">
        <v>64</v>
      </c>
      <c r="C7" s="25">
        <f>C5*C6</f>
        <v>1547</v>
      </c>
      <c r="D7" s="25">
        <f t="shared" ref="D7:N7" si="1">D5*D6</f>
        <v>1904</v>
      </c>
      <c r="E7" s="25">
        <f t="shared" si="1"/>
        <v>6545</v>
      </c>
      <c r="F7" s="25">
        <f t="shared" si="1"/>
        <v>5950</v>
      </c>
      <c r="G7" s="25">
        <f t="shared" si="1"/>
        <v>4403</v>
      </c>
      <c r="H7" s="25">
        <f t="shared" si="1"/>
        <v>4165</v>
      </c>
      <c r="I7" s="25">
        <f t="shared" si="1"/>
        <v>3927</v>
      </c>
      <c r="J7" s="25">
        <f t="shared" si="1"/>
        <v>4760</v>
      </c>
      <c r="K7" s="25">
        <f t="shared" si="1"/>
        <v>4998</v>
      </c>
      <c r="L7" s="25">
        <f t="shared" si="1"/>
        <v>4879</v>
      </c>
      <c r="M7" s="25">
        <f t="shared" si="1"/>
        <v>4403</v>
      </c>
      <c r="N7" s="25">
        <f t="shared" si="1"/>
        <v>5236</v>
      </c>
    </row>
    <row r="8" spans="1:14" s="20" customFormat="1" x14ac:dyDescent="0.25">
      <c r="A8" s="36" t="str">
        <f>'Uoc luong san pham ban ra'!$A$5</f>
        <v>PC (bán)</v>
      </c>
      <c r="B8" s="19" t="s">
        <v>62</v>
      </c>
      <c r="C8" s="24">
        <f>'Uoc luong san pham ban ra'!B5</f>
        <v>2</v>
      </c>
      <c r="D8" s="24">
        <f>'Uoc luong san pham ban ra'!C5</f>
        <v>8</v>
      </c>
      <c r="E8" s="24">
        <f>'Uoc luong san pham ban ra'!D5</f>
        <v>7</v>
      </c>
      <c r="F8" s="24">
        <f>'Uoc luong san pham ban ra'!E5</f>
        <v>10</v>
      </c>
      <c r="G8" s="24">
        <f>'Uoc luong san pham ban ra'!F5</f>
        <v>10</v>
      </c>
      <c r="H8" s="24">
        <f>'Uoc luong san pham ban ra'!G5</f>
        <v>9</v>
      </c>
      <c r="I8" s="24">
        <f>'Uoc luong san pham ban ra'!H5</f>
        <v>5</v>
      </c>
      <c r="J8" s="24">
        <f>'Uoc luong san pham ban ra'!I5</f>
        <v>11</v>
      </c>
      <c r="K8" s="24">
        <f>'Uoc luong san pham ban ra'!J5</f>
        <v>12</v>
      </c>
      <c r="L8" s="24">
        <f>'Uoc luong san pham ban ra'!K5</f>
        <v>15</v>
      </c>
      <c r="M8" s="24">
        <f>'Uoc luong san pham ban ra'!L5</f>
        <v>7</v>
      </c>
      <c r="N8" s="24">
        <f>'Uoc luong san pham ban ra'!M5</f>
        <v>8</v>
      </c>
    </row>
    <row r="9" spans="1:14" s="21" customFormat="1" x14ac:dyDescent="0.25">
      <c r="A9" s="37"/>
      <c r="B9" s="9" t="s">
        <v>63</v>
      </c>
      <c r="C9" s="15">
        <f>'Chi phi &amp; Gia thanh'!$N$5</f>
        <v>8971</v>
      </c>
      <c r="D9" s="15">
        <f>'Chi phi &amp; Gia thanh'!$N$5</f>
        <v>8971</v>
      </c>
      <c r="E9" s="15">
        <f>'Chi phi &amp; Gia thanh'!$N$5</f>
        <v>8971</v>
      </c>
      <c r="F9" s="15">
        <f>'Chi phi &amp; Gia thanh'!$N$5</f>
        <v>8971</v>
      </c>
      <c r="G9" s="15">
        <f>'Chi phi &amp; Gia thanh'!$N$5</f>
        <v>8971</v>
      </c>
      <c r="H9" s="15">
        <f>'Chi phi &amp; Gia thanh'!$N$5</f>
        <v>8971</v>
      </c>
      <c r="I9" s="15">
        <f>'Chi phi &amp; Gia thanh'!$N$5</f>
        <v>8971</v>
      </c>
      <c r="J9" s="15">
        <f>'Chi phi &amp; Gia thanh'!$N$5</f>
        <v>8971</v>
      </c>
      <c r="K9" s="15">
        <f>'Chi phi &amp; Gia thanh'!$N$5</f>
        <v>8971</v>
      </c>
      <c r="L9" s="15">
        <f>'Chi phi &amp; Gia thanh'!$N$5</f>
        <v>8971</v>
      </c>
      <c r="M9" s="15">
        <f>'Chi phi &amp; Gia thanh'!$N$5</f>
        <v>8971</v>
      </c>
      <c r="N9" s="15">
        <f>'Chi phi &amp; Gia thanh'!$N$5</f>
        <v>8971</v>
      </c>
    </row>
    <row r="10" spans="1:14" s="23" customFormat="1" ht="15.75" thickBot="1" x14ac:dyDescent="0.3">
      <c r="A10" s="38"/>
      <c r="B10" s="22" t="s">
        <v>64</v>
      </c>
      <c r="C10" s="25">
        <f>C8*C9</f>
        <v>17942</v>
      </c>
      <c r="D10" s="25">
        <f t="shared" ref="D10:N10" si="2">D8*D9</f>
        <v>71768</v>
      </c>
      <c r="E10" s="25">
        <f t="shared" si="2"/>
        <v>62797</v>
      </c>
      <c r="F10" s="25">
        <f t="shared" si="2"/>
        <v>89710</v>
      </c>
      <c r="G10" s="25">
        <f t="shared" si="2"/>
        <v>89710</v>
      </c>
      <c r="H10" s="25">
        <f t="shared" si="2"/>
        <v>80739</v>
      </c>
      <c r="I10" s="25">
        <f t="shared" si="2"/>
        <v>44855</v>
      </c>
      <c r="J10" s="25">
        <f t="shared" si="2"/>
        <v>98681</v>
      </c>
      <c r="K10" s="25">
        <f t="shared" si="2"/>
        <v>107652</v>
      </c>
      <c r="L10" s="25">
        <f t="shared" si="2"/>
        <v>134565</v>
      </c>
      <c r="M10" s="25">
        <f t="shared" si="2"/>
        <v>62797</v>
      </c>
      <c r="N10" s="25">
        <f t="shared" si="2"/>
        <v>71768</v>
      </c>
    </row>
    <row r="11" spans="1:14" s="20" customFormat="1" x14ac:dyDescent="0.25">
      <c r="A11" s="36" t="str">
        <f>'Uoc luong san pham ban ra'!$A$6</f>
        <v>Ram</v>
      </c>
      <c r="B11" s="19" t="s">
        <v>62</v>
      </c>
      <c r="C11" s="24">
        <f>'Uoc luong san pham ban ra'!B6</f>
        <v>5</v>
      </c>
      <c r="D11" s="24">
        <f>'Uoc luong san pham ban ra'!C6</f>
        <v>15</v>
      </c>
      <c r="E11" s="24">
        <f>'Uoc luong san pham ban ra'!D6</f>
        <v>20</v>
      </c>
      <c r="F11" s="24">
        <f>'Uoc luong san pham ban ra'!E6</f>
        <v>17</v>
      </c>
      <c r="G11" s="24">
        <f>'Uoc luong san pham ban ra'!F6</f>
        <v>20</v>
      </c>
      <c r="H11" s="24">
        <f>'Uoc luong san pham ban ra'!G6</f>
        <v>22</v>
      </c>
      <c r="I11" s="24">
        <f>'Uoc luong san pham ban ra'!H6</f>
        <v>16</v>
      </c>
      <c r="J11" s="24">
        <f>'Uoc luong san pham ban ra'!I6</f>
        <v>18</v>
      </c>
      <c r="K11" s="24">
        <f>'Uoc luong san pham ban ra'!J6</f>
        <v>15</v>
      </c>
      <c r="L11" s="24">
        <f>'Uoc luong san pham ban ra'!K6</f>
        <v>17</v>
      </c>
      <c r="M11" s="24">
        <f>'Uoc luong san pham ban ra'!L6</f>
        <v>10</v>
      </c>
      <c r="N11" s="24">
        <f>'Uoc luong san pham ban ra'!M6</f>
        <v>13</v>
      </c>
    </row>
    <row r="12" spans="1:14" s="21" customFormat="1" x14ac:dyDescent="0.25">
      <c r="A12" s="37"/>
      <c r="B12" s="9" t="s">
        <v>63</v>
      </c>
      <c r="C12" s="15">
        <f>'Chi phi &amp; Gia thanh'!$N$6</f>
        <v>1143</v>
      </c>
      <c r="D12" s="15">
        <f>'Chi phi &amp; Gia thanh'!$N$6</f>
        <v>1143</v>
      </c>
      <c r="E12" s="15">
        <f>'Chi phi &amp; Gia thanh'!$N$6</f>
        <v>1143</v>
      </c>
      <c r="F12" s="15">
        <f>'Chi phi &amp; Gia thanh'!$N$6</f>
        <v>1143</v>
      </c>
      <c r="G12" s="15">
        <f>'Chi phi &amp; Gia thanh'!$N$6</f>
        <v>1143</v>
      </c>
      <c r="H12" s="15">
        <f>'Chi phi &amp; Gia thanh'!$N$6</f>
        <v>1143</v>
      </c>
      <c r="I12" s="15">
        <f>'Chi phi &amp; Gia thanh'!$N$6</f>
        <v>1143</v>
      </c>
      <c r="J12" s="15">
        <f>'Chi phi &amp; Gia thanh'!$N$6</f>
        <v>1143</v>
      </c>
      <c r="K12" s="15">
        <f>'Chi phi &amp; Gia thanh'!$N$6</f>
        <v>1143</v>
      </c>
      <c r="L12" s="15">
        <f>'Chi phi &amp; Gia thanh'!$N$6</f>
        <v>1143</v>
      </c>
      <c r="M12" s="15">
        <f>'Chi phi &amp; Gia thanh'!$N$6</f>
        <v>1143</v>
      </c>
      <c r="N12" s="15">
        <f>'Chi phi &amp; Gia thanh'!$N$6</f>
        <v>1143</v>
      </c>
    </row>
    <row r="13" spans="1:14" s="23" customFormat="1" ht="15.75" thickBot="1" x14ac:dyDescent="0.3">
      <c r="A13" s="38"/>
      <c r="B13" s="22" t="s">
        <v>64</v>
      </c>
      <c r="C13" s="25">
        <f>C11*C12</f>
        <v>5715</v>
      </c>
      <c r="D13" s="25">
        <f t="shared" ref="D13:N13" si="3">D11*D12</f>
        <v>17145</v>
      </c>
      <c r="E13" s="25">
        <f t="shared" si="3"/>
        <v>22860</v>
      </c>
      <c r="F13" s="25">
        <f t="shared" si="3"/>
        <v>19431</v>
      </c>
      <c r="G13" s="25">
        <f t="shared" si="3"/>
        <v>22860</v>
      </c>
      <c r="H13" s="25">
        <f t="shared" si="3"/>
        <v>25146</v>
      </c>
      <c r="I13" s="25">
        <f t="shared" si="3"/>
        <v>18288</v>
      </c>
      <c r="J13" s="25">
        <f t="shared" si="3"/>
        <v>20574</v>
      </c>
      <c r="K13" s="25">
        <f t="shared" si="3"/>
        <v>17145</v>
      </c>
      <c r="L13" s="25">
        <f t="shared" si="3"/>
        <v>19431</v>
      </c>
      <c r="M13" s="25">
        <f t="shared" si="3"/>
        <v>11430</v>
      </c>
      <c r="N13" s="25">
        <f t="shared" si="3"/>
        <v>14859</v>
      </c>
    </row>
    <row r="14" spans="1:14" s="20" customFormat="1" x14ac:dyDescent="0.25">
      <c r="A14" s="36" t="str">
        <f>'Uoc luong san pham ban ra'!$A$7</f>
        <v>Ổ cứng</v>
      </c>
      <c r="B14" s="19" t="s">
        <v>62</v>
      </c>
      <c r="C14" s="24">
        <f>'Uoc luong san pham ban ra'!B7</f>
        <v>1</v>
      </c>
      <c r="D14" s="24">
        <f>'Uoc luong san pham ban ra'!C7</f>
        <v>10</v>
      </c>
      <c r="E14" s="24">
        <f>'Uoc luong san pham ban ra'!D7</f>
        <v>10</v>
      </c>
      <c r="F14" s="24">
        <f>'Uoc luong san pham ban ra'!E7</f>
        <v>10</v>
      </c>
      <c r="G14" s="24">
        <f>'Uoc luong san pham ban ra'!F7</f>
        <v>7</v>
      </c>
      <c r="H14" s="24">
        <f>'Uoc luong san pham ban ra'!G7</f>
        <v>9</v>
      </c>
      <c r="I14" s="24">
        <f>'Uoc luong san pham ban ra'!H7</f>
        <v>1</v>
      </c>
      <c r="J14" s="24">
        <f>'Uoc luong san pham ban ra'!I7</f>
        <v>10</v>
      </c>
      <c r="K14" s="24">
        <f>'Uoc luong san pham ban ra'!J7</f>
        <v>10</v>
      </c>
      <c r="L14" s="24">
        <f>'Uoc luong san pham ban ra'!K7</f>
        <v>10</v>
      </c>
      <c r="M14" s="24">
        <f>'Uoc luong san pham ban ra'!L7</f>
        <v>7</v>
      </c>
      <c r="N14" s="24">
        <f>'Uoc luong san pham ban ra'!M7</f>
        <v>9</v>
      </c>
    </row>
    <row r="15" spans="1:14" s="21" customFormat="1" x14ac:dyDescent="0.25">
      <c r="A15" s="37"/>
      <c r="B15" s="9" t="s">
        <v>63</v>
      </c>
      <c r="C15" s="15">
        <f>'Chi phi &amp; Gia thanh'!$N$7</f>
        <v>3021</v>
      </c>
      <c r="D15" s="15">
        <f>'Chi phi &amp; Gia thanh'!$N$7</f>
        <v>3021</v>
      </c>
      <c r="E15" s="15">
        <f>'Chi phi &amp; Gia thanh'!$N$7</f>
        <v>3021</v>
      </c>
      <c r="F15" s="15">
        <f>'Chi phi &amp; Gia thanh'!$N$7</f>
        <v>3021</v>
      </c>
      <c r="G15" s="15">
        <f>'Chi phi &amp; Gia thanh'!$N$7</f>
        <v>3021</v>
      </c>
      <c r="H15" s="15">
        <f>'Chi phi &amp; Gia thanh'!$N$7</f>
        <v>3021</v>
      </c>
      <c r="I15" s="15">
        <f>'Chi phi &amp; Gia thanh'!$N$7</f>
        <v>3021</v>
      </c>
      <c r="J15" s="15">
        <f>'Chi phi &amp; Gia thanh'!$N$7</f>
        <v>3021</v>
      </c>
      <c r="K15" s="15">
        <f>'Chi phi &amp; Gia thanh'!$N$7</f>
        <v>3021</v>
      </c>
      <c r="L15" s="15">
        <f>'Chi phi &amp; Gia thanh'!$N$7</f>
        <v>3021</v>
      </c>
      <c r="M15" s="15">
        <f>'Chi phi &amp; Gia thanh'!$N$7</f>
        <v>3021</v>
      </c>
      <c r="N15" s="15">
        <f>'Chi phi &amp; Gia thanh'!$N$7</f>
        <v>3021</v>
      </c>
    </row>
    <row r="16" spans="1:14" s="23" customFormat="1" ht="15.75" thickBot="1" x14ac:dyDescent="0.3">
      <c r="A16" s="38"/>
      <c r="B16" s="22" t="s">
        <v>64</v>
      </c>
      <c r="C16" s="25">
        <f>C14*C15</f>
        <v>3021</v>
      </c>
      <c r="D16" s="25">
        <f t="shared" ref="D16:N16" si="4">D14*D15</f>
        <v>30210</v>
      </c>
      <c r="E16" s="25">
        <f t="shared" si="4"/>
        <v>30210</v>
      </c>
      <c r="F16" s="25">
        <f t="shared" si="4"/>
        <v>30210</v>
      </c>
      <c r="G16" s="25">
        <f t="shared" si="4"/>
        <v>21147</v>
      </c>
      <c r="H16" s="25">
        <f t="shared" si="4"/>
        <v>27189</v>
      </c>
      <c r="I16" s="25">
        <f t="shared" si="4"/>
        <v>3021</v>
      </c>
      <c r="J16" s="25">
        <f t="shared" si="4"/>
        <v>30210</v>
      </c>
      <c r="K16" s="25">
        <f t="shared" si="4"/>
        <v>30210</v>
      </c>
      <c r="L16" s="25">
        <f t="shared" si="4"/>
        <v>30210</v>
      </c>
      <c r="M16" s="25">
        <f t="shared" si="4"/>
        <v>21147</v>
      </c>
      <c r="N16" s="25">
        <f t="shared" si="4"/>
        <v>27189</v>
      </c>
    </row>
    <row r="17" spans="1:14" s="20" customFormat="1" x14ac:dyDescent="0.25">
      <c r="A17" s="36" t="str">
        <f>'Uoc luong san pham ban ra'!$A$8</f>
        <v>bàn phím/chuột</v>
      </c>
      <c r="B17" s="19" t="s">
        <v>62</v>
      </c>
      <c r="C17" s="24">
        <f>'Uoc luong san pham ban ra'!B8</f>
        <v>10</v>
      </c>
      <c r="D17" s="24">
        <f>'Uoc luong san pham ban ra'!C8</f>
        <v>30</v>
      </c>
      <c r="E17" s="24">
        <f>'Uoc luong san pham ban ra'!D8</f>
        <v>50</v>
      </c>
      <c r="F17" s="24">
        <f>'Uoc luong san pham ban ra'!E8</f>
        <v>45</v>
      </c>
      <c r="G17" s="24">
        <f>'Uoc luong san pham ban ra'!F8</f>
        <v>50</v>
      </c>
      <c r="H17" s="24">
        <f>'Uoc luong san pham ban ra'!G8</f>
        <v>56</v>
      </c>
      <c r="I17" s="24">
        <f>'Uoc luong san pham ban ra'!H8</f>
        <v>55</v>
      </c>
      <c r="J17" s="24">
        <f>'Uoc luong san pham ban ra'!I8</f>
        <v>56</v>
      </c>
      <c r="K17" s="24">
        <f>'Uoc luong san pham ban ra'!J8</f>
        <v>44</v>
      </c>
      <c r="L17" s="24">
        <f>'Uoc luong san pham ban ra'!K8</f>
        <v>45</v>
      </c>
      <c r="M17" s="24">
        <f>'Uoc luong san pham ban ra'!L8</f>
        <v>50</v>
      </c>
      <c r="N17" s="24">
        <f>'Uoc luong san pham ban ra'!M8</f>
        <v>42</v>
      </c>
    </row>
    <row r="18" spans="1:14" s="21" customFormat="1" x14ac:dyDescent="0.25">
      <c r="A18" s="37"/>
      <c r="B18" s="9" t="s">
        <v>63</v>
      </c>
      <c r="C18" s="15">
        <f>'Chi phi &amp; Gia thanh'!$N$8</f>
        <v>414</v>
      </c>
      <c r="D18" s="15">
        <f>'Chi phi &amp; Gia thanh'!$N$8</f>
        <v>414</v>
      </c>
      <c r="E18" s="15">
        <f>'Chi phi &amp; Gia thanh'!$N$8</f>
        <v>414</v>
      </c>
      <c r="F18" s="15">
        <f>'Chi phi &amp; Gia thanh'!$N$8</f>
        <v>414</v>
      </c>
      <c r="G18" s="15">
        <f>'Chi phi &amp; Gia thanh'!$N$8</f>
        <v>414</v>
      </c>
      <c r="H18" s="15">
        <f>'Chi phi &amp; Gia thanh'!$N$8</f>
        <v>414</v>
      </c>
      <c r="I18" s="15">
        <f>'Chi phi &amp; Gia thanh'!$N$8</f>
        <v>414</v>
      </c>
      <c r="J18" s="15">
        <f>'Chi phi &amp; Gia thanh'!$N$8</f>
        <v>414</v>
      </c>
      <c r="K18" s="15">
        <f>'Chi phi &amp; Gia thanh'!$N$8</f>
        <v>414</v>
      </c>
      <c r="L18" s="15">
        <f>'Chi phi &amp; Gia thanh'!$N$8</f>
        <v>414</v>
      </c>
      <c r="M18" s="15">
        <f>'Chi phi &amp; Gia thanh'!$N$8</f>
        <v>414</v>
      </c>
      <c r="N18" s="15">
        <f>'Chi phi &amp; Gia thanh'!$N$8</f>
        <v>414</v>
      </c>
    </row>
    <row r="19" spans="1:14" s="23" customFormat="1" ht="15.75" thickBot="1" x14ac:dyDescent="0.3">
      <c r="A19" s="38"/>
      <c r="B19" s="22" t="s">
        <v>64</v>
      </c>
      <c r="C19" s="25">
        <f>C17*C18</f>
        <v>4140</v>
      </c>
      <c r="D19" s="25">
        <f t="shared" ref="D19:N19" si="5">D17*D18</f>
        <v>12420</v>
      </c>
      <c r="E19" s="25">
        <f t="shared" si="5"/>
        <v>20700</v>
      </c>
      <c r="F19" s="25">
        <f t="shared" si="5"/>
        <v>18630</v>
      </c>
      <c r="G19" s="25">
        <f t="shared" si="5"/>
        <v>20700</v>
      </c>
      <c r="H19" s="25">
        <f t="shared" si="5"/>
        <v>23184</v>
      </c>
      <c r="I19" s="25">
        <f t="shared" si="5"/>
        <v>22770</v>
      </c>
      <c r="J19" s="25">
        <f t="shared" si="5"/>
        <v>23184</v>
      </c>
      <c r="K19" s="25">
        <f t="shared" si="5"/>
        <v>18216</v>
      </c>
      <c r="L19" s="25">
        <f t="shared" si="5"/>
        <v>18630</v>
      </c>
      <c r="M19" s="25">
        <f t="shared" si="5"/>
        <v>20700</v>
      </c>
      <c r="N19" s="25">
        <f t="shared" si="5"/>
        <v>17388</v>
      </c>
    </row>
    <row r="20" spans="1:14" s="20" customFormat="1" x14ac:dyDescent="0.25">
      <c r="A20" s="36" t="str">
        <f>'Uoc luong san pham ban ra'!$A$9</f>
        <v>Màn hình</v>
      </c>
      <c r="B20" s="19" t="s">
        <v>62</v>
      </c>
      <c r="C20" s="24">
        <f>'Uoc luong san pham ban ra'!B9</f>
        <v>2</v>
      </c>
      <c r="D20" s="24">
        <f>'Uoc luong san pham ban ra'!C9</f>
        <v>6</v>
      </c>
      <c r="E20" s="24">
        <f>'Uoc luong san pham ban ra'!D9</f>
        <v>10</v>
      </c>
      <c r="F20" s="24">
        <f>'Uoc luong san pham ban ra'!E9</f>
        <v>9</v>
      </c>
      <c r="G20" s="24">
        <f>'Uoc luong san pham ban ra'!F9</f>
        <v>11</v>
      </c>
      <c r="H20" s="24">
        <f>'Uoc luong san pham ban ra'!G9</f>
        <v>12</v>
      </c>
      <c r="I20" s="24">
        <f>'Uoc luong san pham ban ra'!H9</f>
        <v>8</v>
      </c>
      <c r="J20" s="24">
        <f>'Uoc luong san pham ban ra'!I9</f>
        <v>10</v>
      </c>
      <c r="K20" s="24">
        <f>'Uoc luong san pham ban ra'!J9</f>
        <v>11</v>
      </c>
      <c r="L20" s="24">
        <f>'Uoc luong san pham ban ra'!K9</f>
        <v>9</v>
      </c>
      <c r="M20" s="24">
        <f>'Uoc luong san pham ban ra'!L9</f>
        <v>7</v>
      </c>
      <c r="N20" s="24">
        <f>'Uoc luong san pham ban ra'!M9</f>
        <v>5</v>
      </c>
    </row>
    <row r="21" spans="1:14" s="21" customFormat="1" x14ac:dyDescent="0.25">
      <c r="A21" s="37"/>
      <c r="B21" s="9" t="s">
        <v>63</v>
      </c>
      <c r="C21" s="15">
        <f>'Chi phi &amp; Gia thanh'!$N$9</f>
        <v>3522</v>
      </c>
      <c r="D21" s="15">
        <f>'Chi phi &amp; Gia thanh'!$N$9</f>
        <v>3522</v>
      </c>
      <c r="E21" s="15">
        <f>'Chi phi &amp; Gia thanh'!$N$9</f>
        <v>3522</v>
      </c>
      <c r="F21" s="15">
        <f>'Chi phi &amp; Gia thanh'!$N$9</f>
        <v>3522</v>
      </c>
      <c r="G21" s="15">
        <f>'Chi phi &amp; Gia thanh'!$N$9</f>
        <v>3522</v>
      </c>
      <c r="H21" s="15">
        <f>'Chi phi &amp; Gia thanh'!$N$9</f>
        <v>3522</v>
      </c>
      <c r="I21" s="15">
        <f>'Chi phi &amp; Gia thanh'!$N$9</f>
        <v>3522</v>
      </c>
      <c r="J21" s="15">
        <f>'Chi phi &amp; Gia thanh'!$N$9</f>
        <v>3522</v>
      </c>
      <c r="K21" s="15">
        <f>'Chi phi &amp; Gia thanh'!$N$9</f>
        <v>3522</v>
      </c>
      <c r="L21" s="15">
        <f>'Chi phi &amp; Gia thanh'!$N$9</f>
        <v>3522</v>
      </c>
      <c r="M21" s="15">
        <f>'Chi phi &amp; Gia thanh'!$N$9</f>
        <v>3522</v>
      </c>
      <c r="N21" s="15">
        <f>'Chi phi &amp; Gia thanh'!$N$9</f>
        <v>3522</v>
      </c>
    </row>
    <row r="22" spans="1:14" s="23" customFormat="1" ht="15.75" thickBot="1" x14ac:dyDescent="0.3">
      <c r="A22" s="38"/>
      <c r="B22" s="22" t="s">
        <v>64</v>
      </c>
      <c r="C22" s="25">
        <f>C20*C21</f>
        <v>7044</v>
      </c>
      <c r="D22" s="25">
        <f t="shared" ref="D22:N22" si="6">D20*D21</f>
        <v>21132</v>
      </c>
      <c r="E22" s="25">
        <f t="shared" si="6"/>
        <v>35220</v>
      </c>
      <c r="F22" s="25">
        <f t="shared" si="6"/>
        <v>31698</v>
      </c>
      <c r="G22" s="25">
        <f t="shared" si="6"/>
        <v>38742</v>
      </c>
      <c r="H22" s="25">
        <f t="shared" si="6"/>
        <v>42264</v>
      </c>
      <c r="I22" s="25">
        <f t="shared" si="6"/>
        <v>28176</v>
      </c>
      <c r="J22" s="25">
        <f t="shared" si="6"/>
        <v>35220</v>
      </c>
      <c r="K22" s="25">
        <f t="shared" si="6"/>
        <v>38742</v>
      </c>
      <c r="L22" s="25">
        <f t="shared" si="6"/>
        <v>31698</v>
      </c>
      <c r="M22" s="25">
        <f t="shared" si="6"/>
        <v>24654</v>
      </c>
      <c r="N22" s="25">
        <f t="shared" si="6"/>
        <v>17610</v>
      </c>
    </row>
    <row r="23" spans="1:14" s="20" customFormat="1" x14ac:dyDescent="0.25">
      <c r="A23" s="36" t="str">
        <f>'Uoc luong san pham ban ra'!$A$10</f>
        <v>USB</v>
      </c>
      <c r="B23" s="19" t="s">
        <v>62</v>
      </c>
      <c r="C23" s="5">
        <v>7</v>
      </c>
      <c r="D23" s="5">
        <v>22</v>
      </c>
      <c r="E23" s="5">
        <v>30</v>
      </c>
      <c r="F23" s="5">
        <v>24</v>
      </c>
      <c r="G23" s="5">
        <v>31</v>
      </c>
      <c r="H23" s="5">
        <v>35</v>
      </c>
      <c r="I23" s="5">
        <v>7</v>
      </c>
      <c r="J23" s="5">
        <v>22</v>
      </c>
      <c r="K23" s="5">
        <v>30</v>
      </c>
      <c r="L23" s="5">
        <v>24</v>
      </c>
      <c r="M23" s="5">
        <v>31</v>
      </c>
      <c r="N23" s="5">
        <v>35</v>
      </c>
    </row>
    <row r="24" spans="1:14" s="21" customFormat="1" x14ac:dyDescent="0.25">
      <c r="A24" s="37"/>
      <c r="B24" s="9" t="s">
        <v>63</v>
      </c>
      <c r="C24" s="15">
        <f>'Chi phi &amp; Gia thanh'!$N$10</f>
        <v>276</v>
      </c>
      <c r="D24" s="15">
        <f>'Chi phi &amp; Gia thanh'!$N$10</f>
        <v>276</v>
      </c>
      <c r="E24" s="15">
        <f>'Chi phi &amp; Gia thanh'!$N$10</f>
        <v>276</v>
      </c>
      <c r="F24" s="15">
        <f>'Chi phi &amp; Gia thanh'!$N$10</f>
        <v>276</v>
      </c>
      <c r="G24" s="15">
        <f>'Chi phi &amp; Gia thanh'!$N$10</f>
        <v>276</v>
      </c>
      <c r="H24" s="15">
        <f>'Chi phi &amp; Gia thanh'!$N$10</f>
        <v>276</v>
      </c>
      <c r="I24" s="15">
        <f>'Chi phi &amp; Gia thanh'!$N$10</f>
        <v>276</v>
      </c>
      <c r="J24" s="15">
        <f>'Chi phi &amp; Gia thanh'!$N$10</f>
        <v>276</v>
      </c>
      <c r="K24" s="15">
        <f>'Chi phi &amp; Gia thanh'!$N$10</f>
        <v>276</v>
      </c>
      <c r="L24" s="15">
        <f>'Chi phi &amp; Gia thanh'!$N$10</f>
        <v>276</v>
      </c>
      <c r="M24" s="15">
        <f>'Chi phi &amp; Gia thanh'!$N$10</f>
        <v>276</v>
      </c>
      <c r="N24" s="15">
        <f>'Chi phi &amp; Gia thanh'!$N$10</f>
        <v>276</v>
      </c>
    </row>
    <row r="25" spans="1:14" s="23" customFormat="1" ht="15.75" thickBot="1" x14ac:dyDescent="0.3">
      <c r="A25" s="38"/>
      <c r="B25" s="22" t="s">
        <v>64</v>
      </c>
      <c r="C25" s="25">
        <f>C23*C24</f>
        <v>1932</v>
      </c>
      <c r="D25" s="25">
        <f t="shared" ref="D25:N25" si="7">D23*D24</f>
        <v>6072</v>
      </c>
      <c r="E25" s="25">
        <f t="shared" si="7"/>
        <v>8280</v>
      </c>
      <c r="F25" s="25">
        <f t="shared" si="7"/>
        <v>6624</v>
      </c>
      <c r="G25" s="25">
        <f t="shared" si="7"/>
        <v>8556</v>
      </c>
      <c r="H25" s="25">
        <f t="shared" si="7"/>
        <v>9660</v>
      </c>
      <c r="I25" s="25">
        <f t="shared" si="7"/>
        <v>1932</v>
      </c>
      <c r="J25" s="25">
        <f t="shared" si="7"/>
        <v>6072</v>
      </c>
      <c r="K25" s="25">
        <f t="shared" si="7"/>
        <v>8280</v>
      </c>
      <c r="L25" s="25">
        <f t="shared" si="7"/>
        <v>6624</v>
      </c>
      <c r="M25" s="25">
        <f t="shared" si="7"/>
        <v>8556</v>
      </c>
      <c r="N25" s="25">
        <f t="shared" si="7"/>
        <v>9660</v>
      </c>
    </row>
    <row r="26" spans="1:14" s="20" customFormat="1" x14ac:dyDescent="0.25">
      <c r="A26" s="36" t="str">
        <f>'Uoc luong san pham ban ra'!$A$11</f>
        <v>Mainboard</v>
      </c>
      <c r="B26" s="19" t="s">
        <v>62</v>
      </c>
      <c r="C26" s="24">
        <f>'Uoc luong san pham ban ra'!B11</f>
        <v>1</v>
      </c>
      <c r="D26" s="24">
        <f>'Uoc luong san pham ban ra'!C11</f>
        <v>5</v>
      </c>
      <c r="E26" s="24">
        <f>'Uoc luong san pham ban ra'!D11</f>
        <v>5</v>
      </c>
      <c r="F26" s="24">
        <f>'Uoc luong san pham ban ra'!E11</f>
        <v>5</v>
      </c>
      <c r="G26" s="24">
        <f>'Uoc luong san pham ban ra'!F11</f>
        <v>6</v>
      </c>
      <c r="H26" s="24">
        <f>'Uoc luong san pham ban ra'!G11</f>
        <v>9</v>
      </c>
      <c r="I26" s="24">
        <f>'Uoc luong san pham ban ra'!H11</f>
        <v>6</v>
      </c>
      <c r="J26" s="24">
        <f>'Uoc luong san pham ban ra'!I11</f>
        <v>8</v>
      </c>
      <c r="K26" s="24">
        <f>'Uoc luong san pham ban ra'!J11</f>
        <v>8</v>
      </c>
      <c r="L26" s="24">
        <f>'Uoc luong san pham ban ra'!K11</f>
        <v>7</v>
      </c>
      <c r="M26" s="24">
        <f>'Uoc luong san pham ban ra'!L11</f>
        <v>6</v>
      </c>
      <c r="N26" s="24">
        <f>'Uoc luong san pham ban ra'!M11</f>
        <v>4</v>
      </c>
    </row>
    <row r="27" spans="1:14" s="21" customFormat="1" x14ac:dyDescent="0.25">
      <c r="A27" s="37"/>
      <c r="B27" s="9" t="s">
        <v>63</v>
      </c>
      <c r="C27" s="15">
        <f>'Chi phi &amp; Gia thanh'!$N$11</f>
        <v>3221</v>
      </c>
      <c r="D27" s="15">
        <f>'Chi phi &amp; Gia thanh'!$N$11</f>
        <v>3221</v>
      </c>
      <c r="E27" s="15">
        <f>'Chi phi &amp; Gia thanh'!$N$11</f>
        <v>3221</v>
      </c>
      <c r="F27" s="15">
        <f>'Chi phi &amp; Gia thanh'!$N$11</f>
        <v>3221</v>
      </c>
      <c r="G27" s="15">
        <f>'Chi phi &amp; Gia thanh'!$N$11</f>
        <v>3221</v>
      </c>
      <c r="H27" s="15">
        <f>'Chi phi &amp; Gia thanh'!$N$11</f>
        <v>3221</v>
      </c>
      <c r="I27" s="15">
        <f>'Chi phi &amp; Gia thanh'!$N$11</f>
        <v>3221</v>
      </c>
      <c r="J27" s="15">
        <f>'Chi phi &amp; Gia thanh'!$N$11</f>
        <v>3221</v>
      </c>
      <c r="K27" s="15">
        <f>'Chi phi &amp; Gia thanh'!$N$11</f>
        <v>3221</v>
      </c>
      <c r="L27" s="15">
        <f>'Chi phi &amp; Gia thanh'!$N$11</f>
        <v>3221</v>
      </c>
      <c r="M27" s="15">
        <f>'Chi phi &amp; Gia thanh'!$N$11</f>
        <v>3221</v>
      </c>
      <c r="N27" s="15">
        <f>'Chi phi &amp; Gia thanh'!$N$11</f>
        <v>3221</v>
      </c>
    </row>
    <row r="28" spans="1:14" s="23" customFormat="1" ht="15.75" thickBot="1" x14ac:dyDescent="0.3">
      <c r="A28" s="38"/>
      <c r="B28" s="22" t="s">
        <v>64</v>
      </c>
      <c r="C28" s="25">
        <f>C26*C27</f>
        <v>3221</v>
      </c>
      <c r="D28" s="25">
        <f t="shared" ref="D28:N28" si="8">D26*D27</f>
        <v>16105</v>
      </c>
      <c r="E28" s="25">
        <f t="shared" si="8"/>
        <v>16105</v>
      </c>
      <c r="F28" s="25">
        <f t="shared" si="8"/>
        <v>16105</v>
      </c>
      <c r="G28" s="25">
        <f t="shared" si="8"/>
        <v>19326</v>
      </c>
      <c r="H28" s="25">
        <f t="shared" si="8"/>
        <v>28989</v>
      </c>
      <c r="I28" s="25">
        <f t="shared" si="8"/>
        <v>19326</v>
      </c>
      <c r="J28" s="25">
        <f t="shared" si="8"/>
        <v>25768</v>
      </c>
      <c r="K28" s="25">
        <f t="shared" si="8"/>
        <v>25768</v>
      </c>
      <c r="L28" s="25">
        <f t="shared" si="8"/>
        <v>22547</v>
      </c>
      <c r="M28" s="25">
        <f t="shared" si="8"/>
        <v>19326</v>
      </c>
      <c r="N28" s="25">
        <f t="shared" si="8"/>
        <v>12884</v>
      </c>
    </row>
    <row r="29" spans="1:14" s="20" customFormat="1" x14ac:dyDescent="0.25">
      <c r="A29" s="36" t="str">
        <f>'Uoc luong san pham ban ra'!$A$12</f>
        <v>Linh kiện khác (Nguồn, quạt tản nhiệt, GPU,….vv)</v>
      </c>
      <c r="B29" s="19" t="s">
        <v>62</v>
      </c>
      <c r="C29" s="24">
        <f>'Uoc luong san pham ban ra'!B12</f>
        <v>10</v>
      </c>
      <c r="D29" s="24">
        <f>'Uoc luong san pham ban ra'!C12</f>
        <v>19</v>
      </c>
      <c r="E29" s="24">
        <f>'Uoc luong san pham ban ra'!D12</f>
        <v>20</v>
      </c>
      <c r="F29" s="24">
        <f>'Uoc luong san pham ban ra'!E12</f>
        <v>17</v>
      </c>
      <c r="G29" s="24">
        <f>'Uoc luong san pham ban ra'!F12</f>
        <v>18</v>
      </c>
      <c r="H29" s="24">
        <f>'Uoc luong san pham ban ra'!G12</f>
        <v>19</v>
      </c>
      <c r="I29" s="24">
        <f>'Uoc luong san pham ban ra'!H12</f>
        <v>17</v>
      </c>
      <c r="J29" s="24">
        <f>'Uoc luong san pham ban ra'!I12</f>
        <v>19</v>
      </c>
      <c r="K29" s="24">
        <f>'Uoc luong san pham ban ra'!J12</f>
        <v>16</v>
      </c>
      <c r="L29" s="24">
        <f>'Uoc luong san pham ban ra'!K12</f>
        <v>20</v>
      </c>
      <c r="M29" s="24">
        <f>'Uoc luong san pham ban ra'!L12</f>
        <v>18</v>
      </c>
      <c r="N29" s="24">
        <f>'Uoc luong san pham ban ra'!M12</f>
        <v>14</v>
      </c>
    </row>
    <row r="30" spans="1:14" s="21" customFormat="1" x14ac:dyDescent="0.25">
      <c r="A30" s="37"/>
      <c r="B30" s="9" t="s">
        <v>63</v>
      </c>
      <c r="C30" s="15">
        <f>'Chi phi &amp; Gia thanh'!$N$12</f>
        <v>2887</v>
      </c>
      <c r="D30" s="15">
        <f>'Chi phi &amp; Gia thanh'!$N$12</f>
        <v>2887</v>
      </c>
      <c r="E30" s="15">
        <f>'Chi phi &amp; Gia thanh'!$N$12</f>
        <v>2887</v>
      </c>
      <c r="F30" s="15">
        <f>'Chi phi &amp; Gia thanh'!$N$12</f>
        <v>2887</v>
      </c>
      <c r="G30" s="15">
        <f>'Chi phi &amp; Gia thanh'!$N$12</f>
        <v>2887</v>
      </c>
      <c r="H30" s="15">
        <f>'Chi phi &amp; Gia thanh'!$N$12</f>
        <v>2887</v>
      </c>
      <c r="I30" s="15">
        <f>'Chi phi &amp; Gia thanh'!$N$12</f>
        <v>2887</v>
      </c>
      <c r="J30" s="15">
        <f>'Chi phi &amp; Gia thanh'!$N$12</f>
        <v>2887</v>
      </c>
      <c r="K30" s="15">
        <f>'Chi phi &amp; Gia thanh'!$N$12</f>
        <v>2887</v>
      </c>
      <c r="L30" s="15">
        <f>'Chi phi &amp; Gia thanh'!$N$12</f>
        <v>2887</v>
      </c>
      <c r="M30" s="15">
        <f>'Chi phi &amp; Gia thanh'!$N$12</f>
        <v>2887</v>
      </c>
      <c r="N30" s="15">
        <f>'Chi phi &amp; Gia thanh'!$N$12</f>
        <v>2887</v>
      </c>
    </row>
    <row r="31" spans="1:14" s="23" customFormat="1" ht="15.75" thickBot="1" x14ac:dyDescent="0.3">
      <c r="A31" s="38"/>
      <c r="B31" s="40" t="s">
        <v>64</v>
      </c>
      <c r="C31" s="41">
        <f>C29*C30</f>
        <v>28870</v>
      </c>
      <c r="D31" s="41">
        <f t="shared" ref="D31:N31" si="9">D29*D30</f>
        <v>54853</v>
      </c>
      <c r="E31" s="41">
        <f t="shared" si="9"/>
        <v>57740</v>
      </c>
      <c r="F31" s="41">
        <f t="shared" si="9"/>
        <v>49079</v>
      </c>
      <c r="G31" s="41">
        <f t="shared" si="9"/>
        <v>51966</v>
      </c>
      <c r="H31" s="41">
        <f t="shared" si="9"/>
        <v>54853</v>
      </c>
      <c r="I31" s="41">
        <f t="shared" si="9"/>
        <v>49079</v>
      </c>
      <c r="J31" s="41">
        <f t="shared" si="9"/>
        <v>54853</v>
      </c>
      <c r="K31" s="41">
        <f t="shared" si="9"/>
        <v>46192</v>
      </c>
      <c r="L31" s="41">
        <f t="shared" si="9"/>
        <v>57740</v>
      </c>
      <c r="M31" s="41">
        <f t="shared" si="9"/>
        <v>51966</v>
      </c>
      <c r="N31" s="41">
        <f t="shared" si="9"/>
        <v>40418</v>
      </c>
    </row>
    <row r="32" spans="1:14" s="11" customFormat="1" x14ac:dyDescent="0.25">
      <c r="B32" s="16" t="s">
        <v>84</v>
      </c>
      <c r="C32" s="29">
        <f>SUM(C4,C7,C10,C13,C16,C19,C22,C25,C28,C31)</f>
        <v>74376</v>
      </c>
      <c r="D32" s="29">
        <f t="shared" ref="D32:N32" si="10">SUM(D4,D7,D10,D13,D16,D19,D22,D25,D28,D31)</f>
        <v>233969</v>
      </c>
      <c r="E32" s="29">
        <f t="shared" si="10"/>
        <v>265177</v>
      </c>
      <c r="F32" s="29">
        <f t="shared" si="10"/>
        <v>272275</v>
      </c>
      <c r="G32" s="29">
        <f t="shared" si="10"/>
        <v>281776</v>
      </c>
      <c r="H32" s="29">
        <f t="shared" si="10"/>
        <v>301499</v>
      </c>
      <c r="I32" s="29">
        <f t="shared" si="10"/>
        <v>196684</v>
      </c>
      <c r="J32" s="29">
        <f t="shared" si="10"/>
        <v>304042</v>
      </c>
      <c r="K32" s="29">
        <f t="shared" si="10"/>
        <v>302159</v>
      </c>
      <c r="L32" s="29">
        <f t="shared" si="10"/>
        <v>330926</v>
      </c>
      <c r="M32" s="29">
        <f t="shared" si="10"/>
        <v>230289</v>
      </c>
      <c r="N32" s="29">
        <f t="shared" si="10"/>
        <v>222912</v>
      </c>
    </row>
  </sheetData>
  <mergeCells count="10">
    <mergeCell ref="A2:A4"/>
    <mergeCell ref="A26:A28"/>
    <mergeCell ref="A29:A31"/>
    <mergeCell ref="A5:A7"/>
    <mergeCell ref="A8:A10"/>
    <mergeCell ref="A11:A13"/>
    <mergeCell ref="A14:A16"/>
    <mergeCell ref="A17:A19"/>
    <mergeCell ref="A20:A22"/>
    <mergeCell ref="A23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"/>
  <sheetViews>
    <sheetView workbookViewId="0">
      <selection activeCell="B15" sqref="B15"/>
    </sheetView>
  </sheetViews>
  <sheetFormatPr defaultRowHeight="15" x14ac:dyDescent="0.25"/>
  <cols>
    <col min="1" max="1" width="20.5703125" bestFit="1" customWidth="1"/>
  </cols>
  <sheetData>
    <row r="3" spans="1:13" x14ac:dyDescent="0.25">
      <c r="A3" s="16" t="s">
        <v>30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78</v>
      </c>
      <c r="I3" s="16" t="s">
        <v>79</v>
      </c>
      <c r="J3" s="16" t="s">
        <v>80</v>
      </c>
      <c r="K3" s="16" t="s">
        <v>81</v>
      </c>
      <c r="L3" s="16" t="s">
        <v>82</v>
      </c>
      <c r="M3" s="16" t="s">
        <v>83</v>
      </c>
    </row>
    <row r="4" spans="1:13" x14ac:dyDescent="0.25">
      <c r="A4" s="10" t="s">
        <v>90</v>
      </c>
      <c r="B4" s="15">
        <f>'Doanh Thu'!C32</f>
        <v>74376</v>
      </c>
      <c r="C4" s="15">
        <f>'Doanh Thu'!D32</f>
        <v>233969</v>
      </c>
      <c r="D4" s="15">
        <f>'Doanh Thu'!E32</f>
        <v>265177</v>
      </c>
      <c r="E4" s="15">
        <f>'Doanh Thu'!F32</f>
        <v>272275</v>
      </c>
      <c r="F4" s="15">
        <f>'Doanh Thu'!G32</f>
        <v>281776</v>
      </c>
      <c r="G4" s="15">
        <f>'Doanh Thu'!H32</f>
        <v>301499</v>
      </c>
      <c r="H4" s="15">
        <f>'Doanh Thu'!I32</f>
        <v>196684</v>
      </c>
      <c r="I4" s="15">
        <f>'Doanh Thu'!J32</f>
        <v>304042</v>
      </c>
      <c r="J4" s="15">
        <f>'Doanh Thu'!K32</f>
        <v>302159</v>
      </c>
      <c r="K4" s="15">
        <f>'Doanh Thu'!L32</f>
        <v>330926</v>
      </c>
      <c r="L4" s="15">
        <f>'Doanh Thu'!M32</f>
        <v>230289</v>
      </c>
      <c r="M4" s="15">
        <f>'Doanh Thu'!N32</f>
        <v>222912</v>
      </c>
    </row>
    <row r="5" spans="1:13" x14ac:dyDescent="0.25">
      <c r="A5" s="10" t="s">
        <v>87</v>
      </c>
      <c r="B5" s="15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9" t="str">
        <f>'Chi phi &amp; Gia thanh'!A3</f>
        <v>Bảo hiểm</v>
      </c>
      <c r="B6" s="15">
        <f>'Chi phi &amp; Gia thanh'!$B3</f>
        <v>125</v>
      </c>
      <c r="C6" s="15">
        <f>'Chi phi &amp; Gia thanh'!$B3</f>
        <v>125</v>
      </c>
      <c r="D6" s="15">
        <f>'Chi phi &amp; Gia thanh'!$B3</f>
        <v>125</v>
      </c>
      <c r="E6" s="15">
        <f>'Chi phi &amp; Gia thanh'!$B3</f>
        <v>125</v>
      </c>
      <c r="F6" s="15">
        <f>'Chi phi &amp; Gia thanh'!$B3</f>
        <v>125</v>
      </c>
      <c r="G6" s="15">
        <f>'Chi phi &amp; Gia thanh'!$B3</f>
        <v>125</v>
      </c>
      <c r="H6" s="15">
        <f>'Chi phi &amp; Gia thanh'!$B3</f>
        <v>125</v>
      </c>
      <c r="I6" s="15">
        <f>'Chi phi &amp; Gia thanh'!$B3</f>
        <v>125</v>
      </c>
      <c r="J6" s="15">
        <f>'Chi phi &amp; Gia thanh'!$B3</f>
        <v>125</v>
      </c>
      <c r="K6" s="15">
        <f>'Chi phi &amp; Gia thanh'!$B3</f>
        <v>125</v>
      </c>
      <c r="L6" s="15">
        <f>'Chi phi &amp; Gia thanh'!$B3</f>
        <v>125</v>
      </c>
      <c r="M6" s="15">
        <f>'Chi phi &amp; Gia thanh'!$B3</f>
        <v>125</v>
      </c>
    </row>
    <row r="7" spans="1:13" x14ac:dyDescent="0.25">
      <c r="A7" s="9" t="str">
        <f>'Chi phi &amp; Gia thanh'!A4</f>
        <v>Tiền điện</v>
      </c>
      <c r="B7" s="15">
        <f>'Chi phi &amp; Gia thanh'!$B4</f>
        <v>300</v>
      </c>
      <c r="C7" s="15">
        <f>'Chi phi &amp; Gia thanh'!$B4</f>
        <v>300</v>
      </c>
      <c r="D7" s="15">
        <f>'Chi phi &amp; Gia thanh'!$B4</f>
        <v>300</v>
      </c>
      <c r="E7" s="15">
        <f>'Chi phi &amp; Gia thanh'!$B4</f>
        <v>300</v>
      </c>
      <c r="F7" s="15">
        <f>'Chi phi &amp; Gia thanh'!$B4</f>
        <v>300</v>
      </c>
      <c r="G7" s="15">
        <f>'Chi phi &amp; Gia thanh'!$B4</f>
        <v>300</v>
      </c>
      <c r="H7" s="15">
        <f>'Chi phi &amp; Gia thanh'!$B4</f>
        <v>300</v>
      </c>
      <c r="I7" s="15">
        <f>'Chi phi &amp; Gia thanh'!$B4</f>
        <v>300</v>
      </c>
      <c r="J7" s="15">
        <f>'Chi phi &amp; Gia thanh'!$B4</f>
        <v>300</v>
      </c>
      <c r="K7" s="15">
        <f>'Chi phi &amp; Gia thanh'!$B4</f>
        <v>300</v>
      </c>
      <c r="L7" s="15">
        <f>'Chi phi &amp; Gia thanh'!$B4</f>
        <v>300</v>
      </c>
      <c r="M7" s="15">
        <f>'Chi phi &amp; Gia thanh'!$B4</f>
        <v>300</v>
      </c>
    </row>
    <row r="8" spans="1:13" x14ac:dyDescent="0.25">
      <c r="A8" s="9" t="str">
        <f>'Chi phi &amp; Gia thanh'!A5</f>
        <v>Tiền nước</v>
      </c>
      <c r="B8" s="15">
        <f>'Chi phi &amp; Gia thanh'!$B5</f>
        <v>30</v>
      </c>
      <c r="C8" s="15">
        <f>'Chi phi &amp; Gia thanh'!$B5</f>
        <v>30</v>
      </c>
      <c r="D8" s="15">
        <f>'Chi phi &amp; Gia thanh'!$B5</f>
        <v>30</v>
      </c>
      <c r="E8" s="15">
        <f>'Chi phi &amp; Gia thanh'!$B5</f>
        <v>30</v>
      </c>
      <c r="F8" s="15">
        <f>'Chi phi &amp; Gia thanh'!$B5</f>
        <v>30</v>
      </c>
      <c r="G8" s="15">
        <f>'Chi phi &amp; Gia thanh'!$B5</f>
        <v>30</v>
      </c>
      <c r="H8" s="15">
        <f>'Chi phi &amp; Gia thanh'!$B5</f>
        <v>30</v>
      </c>
      <c r="I8" s="15">
        <f>'Chi phi &amp; Gia thanh'!$B5</f>
        <v>30</v>
      </c>
      <c r="J8" s="15">
        <f>'Chi phi &amp; Gia thanh'!$B5</f>
        <v>30</v>
      </c>
      <c r="K8" s="15">
        <f>'Chi phi &amp; Gia thanh'!$B5</f>
        <v>30</v>
      </c>
      <c r="L8" s="15">
        <f>'Chi phi &amp; Gia thanh'!$B5</f>
        <v>30</v>
      </c>
      <c r="M8" s="15">
        <f>'Chi phi &amp; Gia thanh'!$B5</f>
        <v>30</v>
      </c>
    </row>
    <row r="9" spans="1:13" x14ac:dyDescent="0.25">
      <c r="A9" s="9" t="str">
        <f>'Chi phi &amp; Gia thanh'!A6</f>
        <v>Tiền mặt bằng</v>
      </c>
      <c r="B9" s="15">
        <f>'Chi phi &amp; Gia thanh'!$B6</f>
        <v>3000</v>
      </c>
      <c r="C9" s="15">
        <f>'Chi phi &amp; Gia thanh'!$B6</f>
        <v>3000</v>
      </c>
      <c r="D9" s="15">
        <f>'Chi phi &amp; Gia thanh'!$B6</f>
        <v>3000</v>
      </c>
      <c r="E9" s="15">
        <f>'Chi phi &amp; Gia thanh'!$B6</f>
        <v>3000</v>
      </c>
      <c r="F9" s="15">
        <f>'Chi phi &amp; Gia thanh'!$B6</f>
        <v>3000</v>
      </c>
      <c r="G9" s="15">
        <f>'Chi phi &amp; Gia thanh'!$B6</f>
        <v>3000</v>
      </c>
      <c r="H9" s="15">
        <f>'Chi phi &amp; Gia thanh'!$B6</f>
        <v>3000</v>
      </c>
      <c r="I9" s="15">
        <f>'Chi phi &amp; Gia thanh'!$B6</f>
        <v>3000</v>
      </c>
      <c r="J9" s="15">
        <f>'Chi phi &amp; Gia thanh'!$B6</f>
        <v>3000</v>
      </c>
      <c r="K9" s="15">
        <f>'Chi phi &amp; Gia thanh'!$B6</f>
        <v>3000</v>
      </c>
      <c r="L9" s="15">
        <f>'Chi phi &amp; Gia thanh'!$B6</f>
        <v>3000</v>
      </c>
      <c r="M9" s="15">
        <f>'Chi phi &amp; Gia thanh'!$B6</f>
        <v>3000</v>
      </c>
    </row>
    <row r="10" spans="1:13" x14ac:dyDescent="0.25">
      <c r="A10" s="9" t="str">
        <f>'Chi phi &amp; Gia thanh'!A7</f>
        <v>Lương thành viên</v>
      </c>
      <c r="B10" s="15">
        <f>'Chi phi &amp; Gia thanh'!$B7</f>
        <v>24000</v>
      </c>
      <c r="C10" s="15">
        <f>'Chi phi &amp; Gia thanh'!$B7</f>
        <v>24000</v>
      </c>
      <c r="D10" s="15">
        <f>'Chi phi &amp; Gia thanh'!$B7</f>
        <v>24000</v>
      </c>
      <c r="E10" s="15">
        <f>'Chi phi &amp; Gia thanh'!$B7</f>
        <v>24000</v>
      </c>
      <c r="F10" s="15">
        <f>'Chi phi &amp; Gia thanh'!$B7</f>
        <v>24000</v>
      </c>
      <c r="G10" s="15">
        <f>'Chi phi &amp; Gia thanh'!$B7</f>
        <v>24000</v>
      </c>
      <c r="H10" s="15">
        <f>'Chi phi &amp; Gia thanh'!$B7</f>
        <v>24000</v>
      </c>
      <c r="I10" s="15">
        <f>'Chi phi &amp; Gia thanh'!$B7</f>
        <v>24000</v>
      </c>
      <c r="J10" s="15">
        <f>'Chi phi &amp; Gia thanh'!$B7</f>
        <v>24000</v>
      </c>
      <c r="K10" s="15">
        <f>'Chi phi &amp; Gia thanh'!$B7</f>
        <v>24000</v>
      </c>
      <c r="L10" s="15">
        <f>'Chi phi &amp; Gia thanh'!$B7</f>
        <v>24000</v>
      </c>
      <c r="M10" s="15">
        <f>'Chi phi &amp; Gia thanh'!$B7</f>
        <v>24000</v>
      </c>
    </row>
    <row r="11" spans="1:13" x14ac:dyDescent="0.25">
      <c r="A11" s="9" t="str">
        <f>'Chi phi &amp; Gia thanh'!A8</f>
        <v>Tiền điện thoại</v>
      </c>
      <c r="B11" s="15">
        <f>'Chi phi &amp; Gia thanh'!$B8</f>
        <v>100</v>
      </c>
      <c r="C11" s="15">
        <f>'Chi phi &amp; Gia thanh'!$B8</f>
        <v>100</v>
      </c>
      <c r="D11" s="15">
        <f>'Chi phi &amp; Gia thanh'!$B8</f>
        <v>100</v>
      </c>
      <c r="E11" s="15">
        <f>'Chi phi &amp; Gia thanh'!$B8</f>
        <v>100</v>
      </c>
      <c r="F11" s="15">
        <f>'Chi phi &amp; Gia thanh'!$B8</f>
        <v>100</v>
      </c>
      <c r="G11" s="15">
        <f>'Chi phi &amp; Gia thanh'!$B8</f>
        <v>100</v>
      </c>
      <c r="H11" s="15">
        <f>'Chi phi &amp; Gia thanh'!$B8</f>
        <v>100</v>
      </c>
      <c r="I11" s="15">
        <f>'Chi phi &amp; Gia thanh'!$B8</f>
        <v>100</v>
      </c>
      <c r="J11" s="15">
        <f>'Chi phi &amp; Gia thanh'!$B8</f>
        <v>100</v>
      </c>
      <c r="K11" s="15">
        <f>'Chi phi &amp; Gia thanh'!$B8</f>
        <v>100</v>
      </c>
      <c r="L11" s="15">
        <f>'Chi phi &amp; Gia thanh'!$B8</f>
        <v>100</v>
      </c>
      <c r="M11" s="15">
        <f>'Chi phi &amp; Gia thanh'!$B8</f>
        <v>100</v>
      </c>
    </row>
    <row r="12" spans="1:13" x14ac:dyDescent="0.25">
      <c r="A12" s="9" t="str">
        <f>'Chi phi &amp; Gia thanh'!A9</f>
        <v>Thuế</v>
      </c>
      <c r="B12" s="15">
        <f>'Chi phi &amp; Gia thanh'!$B9</f>
        <v>83.333333333333329</v>
      </c>
      <c r="C12" s="15">
        <f>'Chi phi &amp; Gia thanh'!$B9</f>
        <v>83.333333333333329</v>
      </c>
      <c r="D12" s="15">
        <f>'Chi phi &amp; Gia thanh'!$B9</f>
        <v>83.333333333333329</v>
      </c>
      <c r="E12" s="15">
        <f>'Chi phi &amp; Gia thanh'!$B9</f>
        <v>83.333333333333329</v>
      </c>
      <c r="F12" s="15">
        <f>'Chi phi &amp; Gia thanh'!$B9</f>
        <v>83.333333333333329</v>
      </c>
      <c r="G12" s="15">
        <f>'Chi phi &amp; Gia thanh'!$B9</f>
        <v>83.333333333333329</v>
      </c>
      <c r="H12" s="15">
        <f>'Chi phi &amp; Gia thanh'!$B9</f>
        <v>83.333333333333329</v>
      </c>
      <c r="I12" s="15">
        <f>'Chi phi &amp; Gia thanh'!$B9</f>
        <v>83.333333333333329</v>
      </c>
      <c r="J12" s="15">
        <f>'Chi phi &amp; Gia thanh'!$B9</f>
        <v>83.333333333333329</v>
      </c>
      <c r="K12" s="15">
        <f>'Chi phi &amp; Gia thanh'!$B9</f>
        <v>83.333333333333329</v>
      </c>
      <c r="L12" s="15">
        <f>'Chi phi &amp; Gia thanh'!$B9</f>
        <v>83.333333333333329</v>
      </c>
      <c r="M12" s="15">
        <f>'Chi phi &amp; Gia thanh'!$B9</f>
        <v>83.333333333333329</v>
      </c>
    </row>
    <row r="13" spans="1:13" x14ac:dyDescent="0.25">
      <c r="A13" s="9" t="s">
        <v>89</v>
      </c>
      <c r="B13" s="15">
        <f>'Uoc luong san pham ban ra'!B26</f>
        <v>60900</v>
      </c>
      <c r="C13" s="15">
        <f>'Uoc luong san pham ban ra'!C26</f>
        <v>193900</v>
      </c>
      <c r="D13" s="15">
        <f>'Uoc luong san pham ban ra'!D26</f>
        <v>212500</v>
      </c>
      <c r="E13" s="15">
        <f>'Uoc luong san pham ban ra'!E26</f>
        <v>220600</v>
      </c>
      <c r="F13" s="15">
        <f>'Uoc luong san pham ban ra'!F26</f>
        <v>229700</v>
      </c>
      <c r="G13" s="15">
        <f>'Uoc luong san pham ban ra'!G26</f>
        <v>244100</v>
      </c>
      <c r="H13" s="15">
        <f>'Uoc luong san pham ban ra'!H26</f>
        <v>160500</v>
      </c>
      <c r="I13" s="15">
        <f>'Uoc luong san pham ban ra'!I26</f>
        <v>248500</v>
      </c>
      <c r="J13" s="15">
        <f>'Uoc luong san pham ban ra'!J26</f>
        <v>246700</v>
      </c>
      <c r="K13" s="15">
        <f>'Uoc luong san pham ban ra'!K26</f>
        <v>274900</v>
      </c>
      <c r="L13" s="15">
        <f>'Uoc luong san pham ban ra'!L26</f>
        <v>184700</v>
      </c>
      <c r="M13" s="15">
        <f>'Uoc luong san pham ban ra'!M26</f>
        <v>173200</v>
      </c>
    </row>
    <row r="14" spans="1:13" x14ac:dyDescent="0.25">
      <c r="A14" s="9" t="str">
        <f>'Chi phi &amp; Gia thanh'!A10</f>
        <v>Tiền mạng</v>
      </c>
      <c r="B14" s="15">
        <f>'Chi phi &amp; Gia thanh'!$B10</f>
        <v>250</v>
      </c>
      <c r="C14" s="15">
        <f>'Chi phi &amp; Gia thanh'!$B10</f>
        <v>250</v>
      </c>
      <c r="D14" s="15">
        <f>'Chi phi &amp; Gia thanh'!$B10</f>
        <v>250</v>
      </c>
      <c r="E14" s="15">
        <f>'Chi phi &amp; Gia thanh'!$B10</f>
        <v>250</v>
      </c>
      <c r="F14" s="15">
        <f>'Chi phi &amp; Gia thanh'!$B10</f>
        <v>250</v>
      </c>
      <c r="G14" s="15">
        <f>'Chi phi &amp; Gia thanh'!$B10</f>
        <v>250</v>
      </c>
      <c r="H14" s="15">
        <f>'Chi phi &amp; Gia thanh'!$B10</f>
        <v>250</v>
      </c>
      <c r="I14" s="15">
        <f>'Chi phi &amp; Gia thanh'!$B10</f>
        <v>250</v>
      </c>
      <c r="J14" s="15">
        <f>'Chi phi &amp; Gia thanh'!$B10</f>
        <v>250</v>
      </c>
      <c r="K14" s="15">
        <f>'Chi phi &amp; Gia thanh'!$B10</f>
        <v>250</v>
      </c>
      <c r="L14" s="15">
        <f>'Chi phi &amp; Gia thanh'!$B10</f>
        <v>250</v>
      </c>
      <c r="M14" s="15">
        <f>'Chi phi &amp; Gia thanh'!$B10</f>
        <v>250</v>
      </c>
    </row>
    <row r="15" spans="1:13" ht="30" x14ac:dyDescent="0.25">
      <c r="A15" s="32" t="str">
        <f>'Chi phi &amp; Gia thanh'!A11</f>
        <v>Tổng tiền khấu hao hàng tháng</v>
      </c>
      <c r="B15" s="15">
        <f>'Chi phi &amp; Gia thanh'!$B11</f>
        <v>511.70833333333337</v>
      </c>
      <c r="C15" s="15">
        <f>'Chi phi &amp; Gia thanh'!$B11</f>
        <v>511.70833333333337</v>
      </c>
      <c r="D15" s="15">
        <f>'Chi phi &amp; Gia thanh'!$B11</f>
        <v>511.70833333333337</v>
      </c>
      <c r="E15" s="15">
        <f>'Chi phi &amp; Gia thanh'!$B11</f>
        <v>511.70833333333337</v>
      </c>
      <c r="F15" s="15">
        <f>'Chi phi &amp; Gia thanh'!$B11</f>
        <v>511.70833333333337</v>
      </c>
      <c r="G15" s="15">
        <f>'Chi phi &amp; Gia thanh'!$B11</f>
        <v>511.70833333333337</v>
      </c>
      <c r="H15" s="15">
        <f>'Chi phi &amp; Gia thanh'!$B11</f>
        <v>511.70833333333337</v>
      </c>
      <c r="I15" s="15">
        <f>'Chi phi &amp; Gia thanh'!$B11</f>
        <v>511.70833333333337</v>
      </c>
      <c r="J15" s="15">
        <f>'Chi phi &amp; Gia thanh'!$B11</f>
        <v>511.70833333333337</v>
      </c>
      <c r="K15" s="15">
        <f>'Chi phi &amp; Gia thanh'!$B11</f>
        <v>511.70833333333337</v>
      </c>
      <c r="L15" s="15">
        <f>'Chi phi &amp; Gia thanh'!$B11</f>
        <v>511.70833333333337</v>
      </c>
      <c r="M15" s="15">
        <f>'Chi phi &amp; Gia thanh'!$B11</f>
        <v>511.70833333333337</v>
      </c>
    </row>
    <row r="16" spans="1:13" x14ac:dyDescent="0.25">
      <c r="A16" s="18" t="str">
        <f>'Chi phi &amp; Gia thanh'!$A$12</f>
        <v>Tổng chi phí</v>
      </c>
      <c r="B16" s="17">
        <f t="shared" ref="B16:M16" si="0">SUM(B6:B15)</f>
        <v>89300.041666666657</v>
      </c>
      <c r="C16" s="17">
        <f t="shared" si="0"/>
        <v>222300.04166666669</v>
      </c>
      <c r="D16" s="17">
        <f t="shared" si="0"/>
        <v>240900.04166666669</v>
      </c>
      <c r="E16" s="17">
        <f t="shared" si="0"/>
        <v>249000.04166666669</v>
      </c>
      <c r="F16" s="17">
        <f t="shared" si="0"/>
        <v>258100.04166666669</v>
      </c>
      <c r="G16" s="17">
        <f t="shared" si="0"/>
        <v>272500.04166666663</v>
      </c>
      <c r="H16" s="17">
        <f t="shared" si="0"/>
        <v>188900.04166666669</v>
      </c>
      <c r="I16" s="17">
        <f t="shared" si="0"/>
        <v>276900.04166666663</v>
      </c>
      <c r="J16" s="17">
        <f t="shared" si="0"/>
        <v>275100.04166666663</v>
      </c>
      <c r="K16" s="17">
        <f t="shared" si="0"/>
        <v>303300.04166666663</v>
      </c>
      <c r="L16" s="17">
        <f t="shared" si="0"/>
        <v>213100.04166666669</v>
      </c>
      <c r="M16" s="17">
        <f t="shared" si="0"/>
        <v>201600.04166666669</v>
      </c>
    </row>
    <row r="17" spans="1:13" x14ac:dyDescent="0.25">
      <c r="A17" s="18" t="s">
        <v>88</v>
      </c>
      <c r="B17" s="17">
        <f t="shared" ref="B17:M17" si="1">B4-B16</f>
        <v>-14924.041666666657</v>
      </c>
      <c r="C17" s="17">
        <f t="shared" si="1"/>
        <v>11668.958333333314</v>
      </c>
      <c r="D17" s="17">
        <f t="shared" si="1"/>
        <v>24276.958333333314</v>
      </c>
      <c r="E17" s="17">
        <f t="shared" si="1"/>
        <v>23274.958333333314</v>
      </c>
      <c r="F17" s="17">
        <f t="shared" si="1"/>
        <v>23675.958333333314</v>
      </c>
      <c r="G17" s="17">
        <f t="shared" si="1"/>
        <v>28998.958333333372</v>
      </c>
      <c r="H17" s="17">
        <f t="shared" si="1"/>
        <v>7783.9583333333139</v>
      </c>
      <c r="I17" s="17">
        <f t="shared" si="1"/>
        <v>27141.958333333372</v>
      </c>
      <c r="J17" s="17">
        <f t="shared" si="1"/>
        <v>27058.958333333372</v>
      </c>
      <c r="K17" s="17">
        <f t="shared" si="1"/>
        <v>27625.958333333372</v>
      </c>
      <c r="L17" s="17">
        <f t="shared" si="1"/>
        <v>17188.958333333314</v>
      </c>
      <c r="M17" s="17">
        <f t="shared" si="1"/>
        <v>21311.958333333314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A20" sqref="A20:B20"/>
    </sheetView>
  </sheetViews>
  <sheetFormatPr defaultRowHeight="15" x14ac:dyDescent="0.25"/>
  <cols>
    <col min="1" max="1" width="9.140625" style="28"/>
    <col min="2" max="2" width="28.42578125" style="6" bestFit="1" customWidth="1"/>
    <col min="3" max="3" width="7.5703125" style="6" bestFit="1" customWidth="1"/>
    <col min="4" max="7" width="9.140625" style="6"/>
    <col min="8" max="10" width="10.140625" style="6" bestFit="1" customWidth="1"/>
    <col min="11" max="13" width="11.140625" style="6" bestFit="1" customWidth="1"/>
    <col min="14" max="14" width="12.7109375" style="6" bestFit="1" customWidth="1"/>
  </cols>
  <sheetData>
    <row r="1" spans="1:14" s="11" customFormat="1" ht="16.5" customHeight="1" x14ac:dyDescent="0.25">
      <c r="A1" s="42" t="s">
        <v>91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s="11" customFormat="1" x14ac:dyDescent="0.25">
      <c r="A2" s="42"/>
      <c r="B2" s="43" t="s">
        <v>30</v>
      </c>
      <c r="C2" s="42" t="s">
        <v>92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s="11" customFormat="1" x14ac:dyDescent="0.25">
      <c r="A3" s="42"/>
      <c r="B3" s="43"/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</row>
    <row r="4" spans="1:14" x14ac:dyDescent="0.25">
      <c r="A4" s="43" t="s">
        <v>93</v>
      </c>
      <c r="B4" s="15" t="s">
        <v>94</v>
      </c>
      <c r="C4" s="15">
        <f>'Von ban dau'!$C$19</f>
        <v>293278</v>
      </c>
      <c r="D4" s="15">
        <f>C20</f>
        <v>278353.95833333337</v>
      </c>
      <c r="E4" s="15">
        <f>D20</f>
        <v>290022.91666666669</v>
      </c>
      <c r="F4" s="15">
        <f>E20</f>
        <v>314299.87500000006</v>
      </c>
      <c r="G4" s="15">
        <f>F20</f>
        <v>337574.83333333331</v>
      </c>
      <c r="H4" s="15">
        <f>G20</f>
        <v>361250.79166666657</v>
      </c>
      <c r="I4" s="15">
        <f>H20</f>
        <v>390249.74999999988</v>
      </c>
      <c r="J4" s="15">
        <f>I20</f>
        <v>398033.7083333332</v>
      </c>
      <c r="K4" s="15">
        <f>J20</f>
        <v>425175.66666666663</v>
      </c>
      <c r="L4" s="15">
        <f>K20</f>
        <v>452234.625</v>
      </c>
      <c r="M4" s="15">
        <f>L20</f>
        <v>479860.58333333337</v>
      </c>
      <c r="N4" s="15">
        <f>M20</f>
        <v>497049.54166666669</v>
      </c>
    </row>
    <row r="5" spans="1:14" x14ac:dyDescent="0.25">
      <c r="A5" s="43"/>
      <c r="B5" s="15" t="s">
        <v>95</v>
      </c>
      <c r="C5" s="15">
        <f>'Doanh Thu'!C32</f>
        <v>74376</v>
      </c>
      <c r="D5" s="15">
        <f>'Doanh Thu'!D32</f>
        <v>233969</v>
      </c>
      <c r="E5" s="15">
        <f>'Doanh Thu'!E32</f>
        <v>265177</v>
      </c>
      <c r="F5" s="15">
        <f>'Doanh Thu'!F32</f>
        <v>272275</v>
      </c>
      <c r="G5" s="15">
        <f>'Doanh Thu'!G32</f>
        <v>281776</v>
      </c>
      <c r="H5" s="15">
        <f>'Doanh Thu'!H32</f>
        <v>301499</v>
      </c>
      <c r="I5" s="15">
        <f>'Doanh Thu'!I32</f>
        <v>196684</v>
      </c>
      <c r="J5" s="15">
        <f>'Doanh Thu'!J32</f>
        <v>304042</v>
      </c>
      <c r="K5" s="15">
        <f>'Doanh Thu'!K32</f>
        <v>302159</v>
      </c>
      <c r="L5" s="15">
        <f>'Doanh Thu'!L32</f>
        <v>330926</v>
      </c>
      <c r="M5" s="15">
        <f>'Doanh Thu'!M32</f>
        <v>230289</v>
      </c>
      <c r="N5" s="15">
        <f>'Doanh Thu'!N32</f>
        <v>222912</v>
      </c>
    </row>
    <row r="6" spans="1:14" x14ac:dyDescent="0.25">
      <c r="A6" s="43"/>
      <c r="B6" s="15" t="s">
        <v>100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</row>
    <row r="7" spans="1:14" s="11" customFormat="1" x14ac:dyDescent="0.25">
      <c r="A7" s="43"/>
      <c r="B7" s="14" t="s">
        <v>97</v>
      </c>
      <c r="C7" s="14">
        <f>SUM(C4:C6)</f>
        <v>367654</v>
      </c>
      <c r="D7" s="14">
        <f t="shared" ref="D7:N7" si="0">SUM(D4:D6)</f>
        <v>512322.95833333337</v>
      </c>
      <c r="E7" s="14">
        <f t="shared" si="0"/>
        <v>555199.91666666674</v>
      </c>
      <c r="F7" s="14">
        <f t="shared" si="0"/>
        <v>586574.875</v>
      </c>
      <c r="G7" s="14">
        <f t="shared" si="0"/>
        <v>619350.83333333326</v>
      </c>
      <c r="H7" s="14">
        <f t="shared" si="0"/>
        <v>662749.79166666651</v>
      </c>
      <c r="I7" s="14">
        <f t="shared" si="0"/>
        <v>586933.74999999988</v>
      </c>
      <c r="J7" s="14">
        <f t="shared" si="0"/>
        <v>702075.70833333326</v>
      </c>
      <c r="K7" s="14">
        <f t="shared" si="0"/>
        <v>727334.66666666663</v>
      </c>
      <c r="L7" s="14">
        <f t="shared" si="0"/>
        <v>783160.625</v>
      </c>
      <c r="M7" s="14">
        <f t="shared" si="0"/>
        <v>710149.58333333337</v>
      </c>
      <c r="N7" s="14">
        <f t="shared" si="0"/>
        <v>719961.54166666674</v>
      </c>
    </row>
    <row r="8" spans="1:14" x14ac:dyDescent="0.25">
      <c r="A8" s="43" t="s">
        <v>96</v>
      </c>
      <c r="B8" s="15" t="str">
        <f>'Kế hoạch doanh thu và chi phí'!A6</f>
        <v>Bảo hiểm</v>
      </c>
      <c r="C8" s="15">
        <f>'Kế hoạch doanh thu và chi phí'!B6</f>
        <v>125</v>
      </c>
      <c r="D8" s="15">
        <f>'Kế hoạch doanh thu và chi phí'!C6</f>
        <v>125</v>
      </c>
      <c r="E8" s="15">
        <f>'Kế hoạch doanh thu và chi phí'!D6</f>
        <v>125</v>
      </c>
      <c r="F8" s="15">
        <f>'Kế hoạch doanh thu và chi phí'!E6</f>
        <v>125</v>
      </c>
      <c r="G8" s="15">
        <f>'Kế hoạch doanh thu và chi phí'!F6</f>
        <v>125</v>
      </c>
      <c r="H8" s="15">
        <f>'Kế hoạch doanh thu và chi phí'!G6</f>
        <v>125</v>
      </c>
      <c r="I8" s="15">
        <f>'Kế hoạch doanh thu và chi phí'!H6</f>
        <v>125</v>
      </c>
      <c r="J8" s="15">
        <f>'Kế hoạch doanh thu và chi phí'!I6</f>
        <v>125</v>
      </c>
      <c r="K8" s="15">
        <f>'Kế hoạch doanh thu và chi phí'!J6</f>
        <v>125</v>
      </c>
      <c r="L8" s="15">
        <f>'Kế hoạch doanh thu và chi phí'!K6</f>
        <v>125</v>
      </c>
      <c r="M8" s="15">
        <f>'Kế hoạch doanh thu và chi phí'!L6</f>
        <v>125</v>
      </c>
      <c r="N8" s="15">
        <f>'Kế hoạch doanh thu và chi phí'!M6</f>
        <v>125</v>
      </c>
    </row>
    <row r="9" spans="1:14" x14ac:dyDescent="0.25">
      <c r="A9" s="43"/>
      <c r="B9" s="15" t="str">
        <f>'Kế hoạch doanh thu và chi phí'!A7</f>
        <v>Tiền điện</v>
      </c>
      <c r="C9" s="15">
        <f>'Kế hoạch doanh thu và chi phí'!B7</f>
        <v>300</v>
      </c>
      <c r="D9" s="15">
        <f>'Kế hoạch doanh thu và chi phí'!C7</f>
        <v>300</v>
      </c>
      <c r="E9" s="15">
        <f>'Kế hoạch doanh thu và chi phí'!D7</f>
        <v>300</v>
      </c>
      <c r="F9" s="15">
        <f>'Kế hoạch doanh thu và chi phí'!E7</f>
        <v>300</v>
      </c>
      <c r="G9" s="15">
        <f>'Kế hoạch doanh thu và chi phí'!F7</f>
        <v>300</v>
      </c>
      <c r="H9" s="15">
        <f>'Kế hoạch doanh thu và chi phí'!G7</f>
        <v>300</v>
      </c>
      <c r="I9" s="15">
        <f>'Kế hoạch doanh thu và chi phí'!H7</f>
        <v>300</v>
      </c>
      <c r="J9" s="15">
        <f>'Kế hoạch doanh thu và chi phí'!I7</f>
        <v>300</v>
      </c>
      <c r="K9" s="15">
        <f>'Kế hoạch doanh thu và chi phí'!J7</f>
        <v>300</v>
      </c>
      <c r="L9" s="15">
        <f>'Kế hoạch doanh thu và chi phí'!K7</f>
        <v>300</v>
      </c>
      <c r="M9" s="15">
        <f>'Kế hoạch doanh thu và chi phí'!L7</f>
        <v>300</v>
      </c>
      <c r="N9" s="15">
        <f>'Kế hoạch doanh thu và chi phí'!M7</f>
        <v>300</v>
      </c>
    </row>
    <row r="10" spans="1:14" x14ac:dyDescent="0.25">
      <c r="A10" s="43"/>
      <c r="B10" s="15" t="str">
        <f>'Kế hoạch doanh thu và chi phí'!A8</f>
        <v>Tiền nước</v>
      </c>
      <c r="C10" s="15">
        <f>'Kế hoạch doanh thu và chi phí'!B8</f>
        <v>30</v>
      </c>
      <c r="D10" s="15">
        <f>'Kế hoạch doanh thu và chi phí'!C8</f>
        <v>30</v>
      </c>
      <c r="E10" s="15">
        <f>'Kế hoạch doanh thu và chi phí'!D8</f>
        <v>30</v>
      </c>
      <c r="F10" s="15">
        <f>'Kế hoạch doanh thu và chi phí'!E8</f>
        <v>30</v>
      </c>
      <c r="G10" s="15">
        <f>'Kế hoạch doanh thu và chi phí'!F8</f>
        <v>30</v>
      </c>
      <c r="H10" s="15">
        <f>'Kế hoạch doanh thu và chi phí'!G8</f>
        <v>30</v>
      </c>
      <c r="I10" s="15">
        <f>'Kế hoạch doanh thu và chi phí'!H8</f>
        <v>30</v>
      </c>
      <c r="J10" s="15">
        <f>'Kế hoạch doanh thu và chi phí'!I8</f>
        <v>30</v>
      </c>
      <c r="K10" s="15">
        <f>'Kế hoạch doanh thu và chi phí'!J8</f>
        <v>30</v>
      </c>
      <c r="L10" s="15">
        <f>'Kế hoạch doanh thu và chi phí'!K8</f>
        <v>30</v>
      </c>
      <c r="M10" s="15">
        <f>'Kế hoạch doanh thu và chi phí'!L8</f>
        <v>30</v>
      </c>
      <c r="N10" s="15">
        <f>'Kế hoạch doanh thu và chi phí'!M8</f>
        <v>30</v>
      </c>
    </row>
    <row r="11" spans="1:14" x14ac:dyDescent="0.25">
      <c r="A11" s="43"/>
      <c r="B11" s="15" t="str">
        <f>'Kế hoạch doanh thu và chi phí'!A9</f>
        <v>Tiền mặt bằng</v>
      </c>
      <c r="C11" s="15">
        <f>'Kế hoạch doanh thu và chi phí'!B9</f>
        <v>3000</v>
      </c>
      <c r="D11" s="15">
        <f>'Kế hoạch doanh thu và chi phí'!C9</f>
        <v>3000</v>
      </c>
      <c r="E11" s="15">
        <f>'Kế hoạch doanh thu và chi phí'!D9</f>
        <v>3000</v>
      </c>
      <c r="F11" s="15">
        <f>'Kế hoạch doanh thu và chi phí'!E9</f>
        <v>3000</v>
      </c>
      <c r="G11" s="15">
        <f>'Kế hoạch doanh thu và chi phí'!F9</f>
        <v>3000</v>
      </c>
      <c r="H11" s="15">
        <f>'Kế hoạch doanh thu và chi phí'!G9</f>
        <v>3000</v>
      </c>
      <c r="I11" s="15">
        <f>'Kế hoạch doanh thu và chi phí'!H9</f>
        <v>3000</v>
      </c>
      <c r="J11" s="15">
        <f>'Kế hoạch doanh thu và chi phí'!I9</f>
        <v>3000</v>
      </c>
      <c r="K11" s="15">
        <f>'Kế hoạch doanh thu và chi phí'!J9</f>
        <v>3000</v>
      </c>
      <c r="L11" s="15">
        <f>'Kế hoạch doanh thu và chi phí'!K9</f>
        <v>3000</v>
      </c>
      <c r="M11" s="15">
        <f>'Kế hoạch doanh thu và chi phí'!L9</f>
        <v>3000</v>
      </c>
      <c r="N11" s="15">
        <f>'Kế hoạch doanh thu và chi phí'!M9</f>
        <v>3000</v>
      </c>
    </row>
    <row r="12" spans="1:14" x14ac:dyDescent="0.25">
      <c r="A12" s="43"/>
      <c r="B12" s="15" t="str">
        <f>'Kế hoạch doanh thu và chi phí'!A10</f>
        <v>Lương thành viên</v>
      </c>
      <c r="C12" s="15">
        <f>'Kế hoạch doanh thu và chi phí'!B10</f>
        <v>24000</v>
      </c>
      <c r="D12" s="15">
        <f>'Kế hoạch doanh thu và chi phí'!C10</f>
        <v>24000</v>
      </c>
      <c r="E12" s="15">
        <f>'Kế hoạch doanh thu và chi phí'!D10</f>
        <v>24000</v>
      </c>
      <c r="F12" s="15">
        <f>'Kế hoạch doanh thu và chi phí'!E10</f>
        <v>24000</v>
      </c>
      <c r="G12" s="15">
        <f>'Kế hoạch doanh thu và chi phí'!F10</f>
        <v>24000</v>
      </c>
      <c r="H12" s="15">
        <f>'Kế hoạch doanh thu và chi phí'!G10</f>
        <v>24000</v>
      </c>
      <c r="I12" s="15">
        <f>'Kế hoạch doanh thu và chi phí'!H10</f>
        <v>24000</v>
      </c>
      <c r="J12" s="15">
        <f>'Kế hoạch doanh thu và chi phí'!I10</f>
        <v>24000</v>
      </c>
      <c r="K12" s="15">
        <f>'Kế hoạch doanh thu và chi phí'!J10</f>
        <v>24000</v>
      </c>
      <c r="L12" s="15">
        <f>'Kế hoạch doanh thu và chi phí'!K10</f>
        <v>24000</v>
      </c>
      <c r="M12" s="15">
        <f>'Kế hoạch doanh thu và chi phí'!L10</f>
        <v>24000</v>
      </c>
      <c r="N12" s="15">
        <f>'Kế hoạch doanh thu và chi phí'!M10</f>
        <v>24000</v>
      </c>
    </row>
    <row r="13" spans="1:14" x14ac:dyDescent="0.25">
      <c r="A13" s="43"/>
      <c r="B13" s="15" t="str">
        <f>'Kế hoạch doanh thu và chi phí'!A11</f>
        <v>Tiền điện thoại</v>
      </c>
      <c r="C13" s="15">
        <f>'Kế hoạch doanh thu và chi phí'!B11</f>
        <v>100</v>
      </c>
      <c r="D13" s="15">
        <f>'Kế hoạch doanh thu và chi phí'!C11</f>
        <v>100</v>
      </c>
      <c r="E13" s="15">
        <f>'Kế hoạch doanh thu và chi phí'!D11</f>
        <v>100</v>
      </c>
      <c r="F13" s="15">
        <f>'Kế hoạch doanh thu và chi phí'!E11</f>
        <v>100</v>
      </c>
      <c r="G13" s="15">
        <f>'Kế hoạch doanh thu và chi phí'!F11</f>
        <v>100</v>
      </c>
      <c r="H13" s="15">
        <f>'Kế hoạch doanh thu và chi phí'!G11</f>
        <v>100</v>
      </c>
      <c r="I13" s="15">
        <f>'Kế hoạch doanh thu và chi phí'!H11</f>
        <v>100</v>
      </c>
      <c r="J13" s="15">
        <f>'Kế hoạch doanh thu và chi phí'!I11</f>
        <v>100</v>
      </c>
      <c r="K13" s="15">
        <f>'Kế hoạch doanh thu và chi phí'!J11</f>
        <v>100</v>
      </c>
      <c r="L13" s="15">
        <f>'Kế hoạch doanh thu và chi phí'!K11</f>
        <v>100</v>
      </c>
      <c r="M13" s="15">
        <f>'Kế hoạch doanh thu và chi phí'!L11</f>
        <v>100</v>
      </c>
      <c r="N13" s="15">
        <f>'Kế hoạch doanh thu và chi phí'!M11</f>
        <v>100</v>
      </c>
    </row>
    <row r="14" spans="1:14" x14ac:dyDescent="0.25">
      <c r="A14" s="43"/>
      <c r="B14" s="15" t="str">
        <f>'Kế hoạch doanh thu và chi phí'!A12</f>
        <v>Thuế</v>
      </c>
      <c r="C14" s="15">
        <f>'Kế hoạch doanh thu và chi phí'!B12</f>
        <v>83.333333333333329</v>
      </c>
      <c r="D14" s="15">
        <f>'Kế hoạch doanh thu và chi phí'!C12</f>
        <v>83.333333333333329</v>
      </c>
      <c r="E14" s="15">
        <f>'Kế hoạch doanh thu và chi phí'!D12</f>
        <v>83.333333333333329</v>
      </c>
      <c r="F14" s="15">
        <f>'Kế hoạch doanh thu và chi phí'!E12</f>
        <v>83.333333333333329</v>
      </c>
      <c r="G14" s="15">
        <f>'Kế hoạch doanh thu và chi phí'!F12</f>
        <v>83.333333333333329</v>
      </c>
      <c r="H14" s="15">
        <f>'Kế hoạch doanh thu và chi phí'!G12</f>
        <v>83.333333333333329</v>
      </c>
      <c r="I14" s="15">
        <f>'Kế hoạch doanh thu và chi phí'!H12</f>
        <v>83.333333333333329</v>
      </c>
      <c r="J14" s="15">
        <f>'Kế hoạch doanh thu và chi phí'!I12</f>
        <v>83.333333333333329</v>
      </c>
      <c r="K14" s="15">
        <f>'Kế hoạch doanh thu và chi phí'!J12</f>
        <v>83.333333333333329</v>
      </c>
      <c r="L14" s="15">
        <f>'Kế hoạch doanh thu và chi phí'!K12</f>
        <v>83.333333333333329</v>
      </c>
      <c r="M14" s="15">
        <f>'Kế hoạch doanh thu và chi phí'!L12</f>
        <v>83.333333333333329</v>
      </c>
      <c r="N14" s="15">
        <f>'Kế hoạch doanh thu và chi phí'!M12</f>
        <v>83.333333333333329</v>
      </c>
    </row>
    <row r="15" spans="1:14" x14ac:dyDescent="0.25">
      <c r="A15" s="43"/>
      <c r="B15" s="15" t="str">
        <f>'Kế hoạch doanh thu và chi phí'!A13</f>
        <v>Tiền nhập linh kiện</v>
      </c>
      <c r="C15" s="15">
        <f>'Kế hoạch doanh thu và chi phí'!B13</f>
        <v>60900</v>
      </c>
      <c r="D15" s="15">
        <f>'Kế hoạch doanh thu và chi phí'!C13</f>
        <v>193900</v>
      </c>
      <c r="E15" s="15">
        <f>'Kế hoạch doanh thu và chi phí'!D13</f>
        <v>212500</v>
      </c>
      <c r="F15" s="15">
        <f>'Kế hoạch doanh thu và chi phí'!E13</f>
        <v>220600</v>
      </c>
      <c r="G15" s="15">
        <f>'Kế hoạch doanh thu và chi phí'!F13</f>
        <v>229700</v>
      </c>
      <c r="H15" s="15">
        <f>'Kế hoạch doanh thu và chi phí'!G13</f>
        <v>244100</v>
      </c>
      <c r="I15" s="15">
        <f>'Kế hoạch doanh thu và chi phí'!H13</f>
        <v>160500</v>
      </c>
      <c r="J15" s="15">
        <f>'Kế hoạch doanh thu và chi phí'!I13</f>
        <v>248500</v>
      </c>
      <c r="K15" s="15">
        <f>'Kế hoạch doanh thu và chi phí'!J13</f>
        <v>246700</v>
      </c>
      <c r="L15" s="15">
        <f>'Kế hoạch doanh thu và chi phí'!K13</f>
        <v>274900</v>
      </c>
      <c r="M15" s="15">
        <f>'Kế hoạch doanh thu và chi phí'!L13</f>
        <v>184700</v>
      </c>
      <c r="N15" s="15">
        <f>'Kế hoạch doanh thu và chi phí'!M13</f>
        <v>173200</v>
      </c>
    </row>
    <row r="16" spans="1:14" x14ac:dyDescent="0.25">
      <c r="A16" s="43"/>
      <c r="B16" s="15" t="str">
        <f>'Kế hoạch doanh thu và chi phí'!A14</f>
        <v>Tiền mạng</v>
      </c>
      <c r="C16" s="15">
        <f>'Kế hoạch doanh thu và chi phí'!B14</f>
        <v>250</v>
      </c>
      <c r="D16" s="15">
        <f>'Kế hoạch doanh thu và chi phí'!C14</f>
        <v>250</v>
      </c>
      <c r="E16" s="15">
        <f>'Kế hoạch doanh thu và chi phí'!D14</f>
        <v>250</v>
      </c>
      <c r="F16" s="15">
        <f>'Kế hoạch doanh thu và chi phí'!E14</f>
        <v>250</v>
      </c>
      <c r="G16" s="15">
        <f>'Kế hoạch doanh thu và chi phí'!F14</f>
        <v>250</v>
      </c>
      <c r="H16" s="15">
        <f>'Kế hoạch doanh thu và chi phí'!G14</f>
        <v>250</v>
      </c>
      <c r="I16" s="15">
        <f>'Kế hoạch doanh thu và chi phí'!H14</f>
        <v>250</v>
      </c>
      <c r="J16" s="15">
        <f>'Kế hoạch doanh thu và chi phí'!I14</f>
        <v>250</v>
      </c>
      <c r="K16" s="15">
        <f>'Kế hoạch doanh thu và chi phí'!J14</f>
        <v>250</v>
      </c>
      <c r="L16" s="15">
        <f>'Kế hoạch doanh thu và chi phí'!K14</f>
        <v>250</v>
      </c>
      <c r="M16" s="15">
        <f>'Kế hoạch doanh thu và chi phí'!L14</f>
        <v>250</v>
      </c>
      <c r="N16" s="15">
        <f>'Kế hoạch doanh thu và chi phí'!M14</f>
        <v>250</v>
      </c>
    </row>
    <row r="17" spans="1:14" x14ac:dyDescent="0.25">
      <c r="A17" s="43"/>
      <c r="B17" s="15" t="str">
        <f>'Kế hoạch doanh thu và chi phí'!A15</f>
        <v>Tổng tiền khấu hao hàng tháng</v>
      </c>
      <c r="C17" s="15">
        <f>'Kế hoạch doanh thu và chi phí'!B15</f>
        <v>511.70833333333337</v>
      </c>
      <c r="D17" s="15">
        <f>'Kế hoạch doanh thu và chi phí'!C15</f>
        <v>511.70833333333337</v>
      </c>
      <c r="E17" s="15">
        <f>'Kế hoạch doanh thu và chi phí'!D15</f>
        <v>511.70833333333337</v>
      </c>
      <c r="F17" s="15">
        <f>'Kế hoạch doanh thu và chi phí'!E15</f>
        <v>511.70833333333337</v>
      </c>
      <c r="G17" s="15">
        <f>'Kế hoạch doanh thu và chi phí'!F15</f>
        <v>511.70833333333337</v>
      </c>
      <c r="H17" s="15">
        <f>'Kế hoạch doanh thu và chi phí'!G15</f>
        <v>511.70833333333337</v>
      </c>
      <c r="I17" s="15">
        <f>'Kế hoạch doanh thu và chi phí'!H15</f>
        <v>511.70833333333337</v>
      </c>
      <c r="J17" s="15">
        <f>'Kế hoạch doanh thu và chi phí'!I15</f>
        <v>511.70833333333337</v>
      </c>
      <c r="K17" s="15">
        <f>'Kế hoạch doanh thu và chi phí'!J15</f>
        <v>511.70833333333337</v>
      </c>
      <c r="L17" s="15">
        <f>'Kế hoạch doanh thu và chi phí'!K15</f>
        <v>511.70833333333337</v>
      </c>
      <c r="M17" s="15">
        <f>'Kế hoạch doanh thu và chi phí'!L15</f>
        <v>511.70833333333337</v>
      </c>
      <c r="N17" s="15">
        <f>'Kế hoạch doanh thu và chi phí'!M15</f>
        <v>511.70833333333337</v>
      </c>
    </row>
    <row r="18" spans="1:14" x14ac:dyDescent="0.25">
      <c r="A18" s="43"/>
      <c r="B18" s="15" t="s">
        <v>99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</row>
    <row r="19" spans="1:14" s="11" customFormat="1" x14ac:dyDescent="0.25">
      <c r="A19" s="43"/>
      <c r="B19" s="14" t="s">
        <v>98</v>
      </c>
      <c r="C19" s="14">
        <f>SUM(C8:C18)</f>
        <v>89300.041666666657</v>
      </c>
      <c r="D19" s="14">
        <f t="shared" ref="D19:N19" si="1">SUM(D8:D18)</f>
        <v>222300.04166666669</v>
      </c>
      <c r="E19" s="14">
        <f t="shared" si="1"/>
        <v>240900.04166666669</v>
      </c>
      <c r="F19" s="14">
        <f t="shared" si="1"/>
        <v>249000.04166666669</v>
      </c>
      <c r="G19" s="14">
        <f t="shared" si="1"/>
        <v>258100.04166666669</v>
      </c>
      <c r="H19" s="14">
        <f t="shared" si="1"/>
        <v>272500.04166666663</v>
      </c>
      <c r="I19" s="14">
        <f t="shared" si="1"/>
        <v>188900.04166666669</v>
      </c>
      <c r="J19" s="14">
        <f t="shared" si="1"/>
        <v>276900.04166666663</v>
      </c>
      <c r="K19" s="14">
        <f t="shared" si="1"/>
        <v>275100.04166666663</v>
      </c>
      <c r="L19" s="14">
        <f t="shared" si="1"/>
        <v>303300.04166666663</v>
      </c>
      <c r="M19" s="14">
        <f t="shared" si="1"/>
        <v>213100.04166666669</v>
      </c>
      <c r="N19" s="14">
        <f t="shared" si="1"/>
        <v>201600.04166666669</v>
      </c>
    </row>
    <row r="20" spans="1:14" x14ac:dyDescent="0.25">
      <c r="A20" s="42" t="s">
        <v>101</v>
      </c>
      <c r="B20" s="42"/>
      <c r="C20" s="44">
        <f>C7-C19</f>
        <v>278353.95833333337</v>
      </c>
      <c r="D20" s="44">
        <f t="shared" ref="D20:N20" si="2">D7-D19</f>
        <v>290022.91666666669</v>
      </c>
      <c r="E20" s="44">
        <f t="shared" si="2"/>
        <v>314299.87500000006</v>
      </c>
      <c r="F20" s="44">
        <f t="shared" si="2"/>
        <v>337574.83333333331</v>
      </c>
      <c r="G20" s="44">
        <f t="shared" si="2"/>
        <v>361250.79166666657</v>
      </c>
      <c r="H20" s="44">
        <f t="shared" si="2"/>
        <v>390249.74999999988</v>
      </c>
      <c r="I20" s="44">
        <f t="shared" si="2"/>
        <v>398033.7083333332</v>
      </c>
      <c r="J20" s="44">
        <f t="shared" si="2"/>
        <v>425175.66666666663</v>
      </c>
      <c r="K20" s="44">
        <f t="shared" si="2"/>
        <v>452234.625</v>
      </c>
      <c r="L20" s="44">
        <f t="shared" si="2"/>
        <v>479860.58333333337</v>
      </c>
      <c r="M20" s="44">
        <f t="shared" si="2"/>
        <v>497049.54166666669</v>
      </c>
      <c r="N20" s="44">
        <f t="shared" si="2"/>
        <v>518361.50000000006</v>
      </c>
    </row>
  </sheetData>
  <mergeCells count="7">
    <mergeCell ref="A20:B20"/>
    <mergeCell ref="B2:B3"/>
    <mergeCell ref="C2:N2"/>
    <mergeCell ref="A1:N1"/>
    <mergeCell ref="A2:A3"/>
    <mergeCell ref="A4:A7"/>
    <mergeCell ref="A8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Von ban dau</vt:lpstr>
      <vt:lpstr>Uoc luong san pham ban ra</vt:lpstr>
      <vt:lpstr>Von dau tu &amp; von luu dong</vt:lpstr>
      <vt:lpstr>Chi phi &amp; Gia thanh</vt:lpstr>
      <vt:lpstr>Doanh Thu</vt:lpstr>
      <vt:lpstr>Kế hoạch doanh thu và chi phí</vt:lpstr>
      <vt:lpstr>Lưu chuyển tiền mặt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2017-08-23T03:21:54Z</dcterms:modified>
</cp:coreProperties>
</file>