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00" activeTab="1"/>
  </bookViews>
  <sheets>
    <sheet name="Von ban dau" sheetId="1" r:id="rId1"/>
    <sheet name="Uoc luong san pham ban ra" sheetId="2" r:id="rId2"/>
    <sheet name="Von dau tu &amp; von luu dong" sheetId="3" r:id="rId3"/>
    <sheet name="Chi phi &amp; Gia thanh" sheetId="4" r:id="rId4"/>
    <sheet name="Doanh Thu" sheetId="6" r:id="rId5"/>
  </sheets>
  <calcPr calcId="162913"/>
</workbook>
</file>

<file path=xl/calcChain.xml><?xml version="1.0" encoding="utf-8"?>
<calcChain xmlns="http://schemas.openxmlformats.org/spreadsheetml/2006/main">
  <c r="C25" i="2" l="1"/>
  <c r="D25" i="2"/>
  <c r="E25" i="2"/>
  <c r="F25" i="2"/>
  <c r="G25" i="2"/>
  <c r="H25" i="2"/>
  <c r="I25" i="2"/>
  <c r="J25" i="2"/>
  <c r="K25" i="2"/>
  <c r="L25" i="2"/>
  <c r="M25" i="2"/>
  <c r="B25" i="2"/>
  <c r="C24" i="2"/>
  <c r="D24" i="2"/>
  <c r="E24" i="2"/>
  <c r="F24" i="2"/>
  <c r="G24" i="2"/>
  <c r="H24" i="2"/>
  <c r="I24" i="2"/>
  <c r="J24" i="2"/>
  <c r="K24" i="2"/>
  <c r="L24" i="2"/>
  <c r="M24" i="2"/>
  <c r="C23" i="2"/>
  <c r="D23" i="2"/>
  <c r="E23" i="2"/>
  <c r="F23" i="2"/>
  <c r="G23" i="2"/>
  <c r="H23" i="2"/>
  <c r="I23" i="2"/>
  <c r="J23" i="2"/>
  <c r="K23" i="2"/>
  <c r="L23" i="2"/>
  <c r="M23" i="2"/>
  <c r="C22" i="2"/>
  <c r="D22" i="2"/>
  <c r="E22" i="2"/>
  <c r="F22" i="2"/>
  <c r="G22" i="2"/>
  <c r="H22" i="2"/>
  <c r="I22" i="2"/>
  <c r="J22" i="2"/>
  <c r="K22" i="2"/>
  <c r="L22" i="2"/>
  <c r="M22" i="2"/>
  <c r="L21" i="2"/>
  <c r="M21" i="2"/>
  <c r="C21" i="2"/>
  <c r="D21" i="2"/>
  <c r="E21" i="2"/>
  <c r="F21" i="2"/>
  <c r="G21" i="2"/>
  <c r="H21" i="2"/>
  <c r="I21" i="2"/>
  <c r="J21" i="2"/>
  <c r="K21" i="2"/>
  <c r="C20" i="2"/>
  <c r="D20" i="2"/>
  <c r="E20" i="2"/>
  <c r="F20" i="2"/>
  <c r="G20" i="2"/>
  <c r="H20" i="2"/>
  <c r="I20" i="2"/>
  <c r="J20" i="2"/>
  <c r="K20" i="2"/>
  <c r="L20" i="2"/>
  <c r="M20" i="2"/>
  <c r="C19" i="2"/>
  <c r="D19" i="2"/>
  <c r="E19" i="2"/>
  <c r="F19" i="2"/>
  <c r="G19" i="2"/>
  <c r="H19" i="2"/>
  <c r="I19" i="2"/>
  <c r="J19" i="2"/>
  <c r="K19" i="2"/>
  <c r="L19" i="2"/>
  <c r="M19" i="2"/>
  <c r="C18" i="2"/>
  <c r="D18" i="2"/>
  <c r="E18" i="2"/>
  <c r="F18" i="2"/>
  <c r="G18" i="2"/>
  <c r="H18" i="2"/>
  <c r="I18" i="2"/>
  <c r="J18" i="2"/>
  <c r="K18" i="2"/>
  <c r="L18" i="2"/>
  <c r="M18" i="2"/>
  <c r="C17" i="2"/>
  <c r="D17" i="2"/>
  <c r="E17" i="2"/>
  <c r="F17" i="2"/>
  <c r="G17" i="2"/>
  <c r="H17" i="2"/>
  <c r="I17" i="2"/>
  <c r="J17" i="2"/>
  <c r="K17" i="2"/>
  <c r="L17" i="2"/>
  <c r="M17" i="2"/>
  <c r="C16" i="2"/>
  <c r="D16" i="2"/>
  <c r="E16" i="2"/>
  <c r="F16" i="2"/>
  <c r="G16" i="2"/>
  <c r="H16" i="2"/>
  <c r="I16" i="2"/>
  <c r="J16" i="2"/>
  <c r="K16" i="2"/>
  <c r="L16" i="2"/>
  <c r="M16" i="2"/>
  <c r="B24" i="2"/>
  <c r="B22" i="2"/>
  <c r="B23" i="2"/>
  <c r="B21" i="2"/>
  <c r="B20" i="2"/>
  <c r="B19" i="2"/>
  <c r="B18" i="2"/>
  <c r="B17" i="2"/>
  <c r="B16" i="2"/>
  <c r="C15" i="2"/>
  <c r="D15" i="2"/>
  <c r="E15" i="2"/>
  <c r="F15" i="2"/>
  <c r="G15" i="2"/>
  <c r="H15" i="2"/>
  <c r="I15" i="2"/>
  <c r="J15" i="2"/>
  <c r="K15" i="2"/>
  <c r="L15" i="2"/>
  <c r="M15" i="2"/>
  <c r="B1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A16" i="2"/>
  <c r="A17" i="2"/>
  <c r="A18" i="2"/>
  <c r="A19" i="2"/>
  <c r="A20" i="2"/>
  <c r="A21" i="2"/>
  <c r="A22" i="2"/>
  <c r="A23" i="2"/>
  <c r="A24" i="2"/>
  <c r="Q3" i="2" l="1"/>
  <c r="Q4" i="2"/>
  <c r="Q5" i="2"/>
  <c r="Q6" i="2"/>
  <c r="Q7" i="2"/>
  <c r="Q8" i="2"/>
  <c r="Q9" i="2"/>
  <c r="Q10" i="2"/>
  <c r="Q11" i="2"/>
  <c r="Q2" i="2"/>
  <c r="D32" i="6" l="1"/>
  <c r="E32" i="6"/>
  <c r="F32" i="6"/>
  <c r="G32" i="6"/>
  <c r="H32" i="6"/>
  <c r="I32" i="6"/>
  <c r="J32" i="6"/>
  <c r="K32" i="6"/>
  <c r="L32" i="6"/>
  <c r="M32" i="6"/>
  <c r="N32" i="6"/>
  <c r="C32" i="6"/>
  <c r="D30" i="6"/>
  <c r="E30" i="6"/>
  <c r="F30" i="6"/>
  <c r="G30" i="6"/>
  <c r="G31" i="6" s="1"/>
  <c r="H30" i="6"/>
  <c r="I30" i="6"/>
  <c r="J30" i="6"/>
  <c r="K30" i="6"/>
  <c r="K31" i="6" s="1"/>
  <c r="L30" i="6"/>
  <c r="M30" i="6"/>
  <c r="N30" i="6"/>
  <c r="C30" i="6"/>
  <c r="D27" i="6"/>
  <c r="E27" i="6"/>
  <c r="F27" i="6"/>
  <c r="G27" i="6"/>
  <c r="H27" i="6"/>
  <c r="I27" i="6"/>
  <c r="J27" i="6"/>
  <c r="K27" i="6"/>
  <c r="L27" i="6"/>
  <c r="M27" i="6"/>
  <c r="N27" i="6"/>
  <c r="C27" i="6"/>
  <c r="D24" i="6"/>
  <c r="E24" i="6"/>
  <c r="F24" i="6"/>
  <c r="G24" i="6"/>
  <c r="G25" i="6" s="1"/>
  <c r="H24" i="6"/>
  <c r="I24" i="6"/>
  <c r="J24" i="6"/>
  <c r="K24" i="6"/>
  <c r="K25" i="6" s="1"/>
  <c r="L24" i="6"/>
  <c r="M24" i="6"/>
  <c r="N24" i="6"/>
  <c r="C24" i="6"/>
  <c r="D21" i="6"/>
  <c r="E21" i="6"/>
  <c r="F21" i="6"/>
  <c r="G21" i="6"/>
  <c r="H21" i="6"/>
  <c r="I21" i="6"/>
  <c r="J21" i="6"/>
  <c r="K21" i="6"/>
  <c r="L21" i="6"/>
  <c r="M21" i="6"/>
  <c r="N21" i="6"/>
  <c r="C21" i="6"/>
  <c r="D18" i="6"/>
  <c r="E18" i="6"/>
  <c r="F18" i="6"/>
  <c r="G18" i="6"/>
  <c r="G19" i="6" s="1"/>
  <c r="H18" i="6"/>
  <c r="I18" i="6"/>
  <c r="J18" i="6"/>
  <c r="K18" i="6"/>
  <c r="K19" i="6" s="1"/>
  <c r="L18" i="6"/>
  <c r="M18" i="6"/>
  <c r="N18" i="6"/>
  <c r="C18" i="6"/>
  <c r="D15" i="6"/>
  <c r="E15" i="6"/>
  <c r="F15" i="6"/>
  <c r="G15" i="6"/>
  <c r="H15" i="6"/>
  <c r="I15" i="6"/>
  <c r="J15" i="6"/>
  <c r="K15" i="6"/>
  <c r="L15" i="6"/>
  <c r="M15" i="6"/>
  <c r="N15" i="6"/>
  <c r="C15" i="6"/>
  <c r="D12" i="6"/>
  <c r="E12" i="6"/>
  <c r="F12" i="6"/>
  <c r="G12" i="6"/>
  <c r="G13" i="6" s="1"/>
  <c r="H12" i="6"/>
  <c r="I12" i="6"/>
  <c r="J12" i="6"/>
  <c r="K12" i="6"/>
  <c r="K13" i="6" s="1"/>
  <c r="L12" i="6"/>
  <c r="M12" i="6"/>
  <c r="N12" i="6"/>
  <c r="C12" i="6"/>
  <c r="D9" i="6"/>
  <c r="E9" i="6"/>
  <c r="F9" i="6"/>
  <c r="G9" i="6"/>
  <c r="H9" i="6"/>
  <c r="I9" i="6"/>
  <c r="J9" i="6"/>
  <c r="K9" i="6"/>
  <c r="L9" i="6"/>
  <c r="M9" i="6"/>
  <c r="N9" i="6"/>
  <c r="C9" i="6"/>
  <c r="D6" i="6"/>
  <c r="E6" i="6"/>
  <c r="F6" i="6"/>
  <c r="G6" i="6"/>
  <c r="H6" i="6"/>
  <c r="I6" i="6"/>
  <c r="J6" i="6"/>
  <c r="K6" i="6"/>
  <c r="L6" i="6"/>
  <c r="M6" i="6"/>
  <c r="N6" i="6"/>
  <c r="C6" i="6"/>
  <c r="C7" i="6" s="1"/>
  <c r="D4" i="6"/>
  <c r="E4" i="6"/>
  <c r="F4" i="6"/>
  <c r="G4" i="6"/>
  <c r="H4" i="6"/>
  <c r="I4" i="6"/>
  <c r="J4" i="6"/>
  <c r="K4" i="6"/>
  <c r="L4" i="6"/>
  <c r="M4" i="6"/>
  <c r="N4" i="6"/>
  <c r="D3" i="6"/>
  <c r="E3" i="6"/>
  <c r="F3" i="6"/>
  <c r="G3" i="6"/>
  <c r="H3" i="6"/>
  <c r="I3" i="6"/>
  <c r="J3" i="6"/>
  <c r="K3" i="6"/>
  <c r="L3" i="6"/>
  <c r="M3" i="6"/>
  <c r="N3" i="6"/>
  <c r="C4" i="6"/>
  <c r="C3" i="6"/>
  <c r="D10" i="6"/>
  <c r="E10" i="6"/>
  <c r="F10" i="6"/>
  <c r="G10" i="6"/>
  <c r="H10" i="6"/>
  <c r="I10" i="6"/>
  <c r="J10" i="6"/>
  <c r="K10" i="6"/>
  <c r="L10" i="6"/>
  <c r="M10" i="6"/>
  <c r="N10" i="6"/>
  <c r="D13" i="6"/>
  <c r="E13" i="6"/>
  <c r="F13" i="6"/>
  <c r="H13" i="6"/>
  <c r="I13" i="6"/>
  <c r="J13" i="6"/>
  <c r="L13" i="6"/>
  <c r="M13" i="6"/>
  <c r="N13" i="6"/>
  <c r="D16" i="6"/>
  <c r="E16" i="6"/>
  <c r="F16" i="6"/>
  <c r="G16" i="6"/>
  <c r="H16" i="6"/>
  <c r="I16" i="6"/>
  <c r="J16" i="6"/>
  <c r="K16" i="6"/>
  <c r="L16" i="6"/>
  <c r="M16" i="6"/>
  <c r="N16" i="6"/>
  <c r="D19" i="6"/>
  <c r="E19" i="6"/>
  <c r="F19" i="6"/>
  <c r="H19" i="6"/>
  <c r="I19" i="6"/>
  <c r="J19" i="6"/>
  <c r="L19" i="6"/>
  <c r="M19" i="6"/>
  <c r="N19" i="6"/>
  <c r="D22" i="6"/>
  <c r="E22" i="6"/>
  <c r="F22" i="6"/>
  <c r="G22" i="6"/>
  <c r="H22" i="6"/>
  <c r="I22" i="6"/>
  <c r="J22" i="6"/>
  <c r="K22" i="6"/>
  <c r="L22" i="6"/>
  <c r="M22" i="6"/>
  <c r="N22" i="6"/>
  <c r="D25" i="6"/>
  <c r="E25" i="6"/>
  <c r="F25" i="6"/>
  <c r="H25" i="6"/>
  <c r="I25" i="6"/>
  <c r="J25" i="6"/>
  <c r="L25" i="6"/>
  <c r="M25" i="6"/>
  <c r="N25" i="6"/>
  <c r="D28" i="6"/>
  <c r="E28" i="6"/>
  <c r="F28" i="6"/>
  <c r="G28" i="6"/>
  <c r="H28" i="6"/>
  <c r="I28" i="6"/>
  <c r="J28" i="6"/>
  <c r="K28" i="6"/>
  <c r="L28" i="6"/>
  <c r="M28" i="6"/>
  <c r="N28" i="6"/>
  <c r="D31" i="6"/>
  <c r="E31" i="6"/>
  <c r="F31" i="6"/>
  <c r="H31" i="6"/>
  <c r="I31" i="6"/>
  <c r="J31" i="6"/>
  <c r="L31" i="6"/>
  <c r="M31" i="6"/>
  <c r="N31" i="6"/>
  <c r="C31" i="6"/>
  <c r="C28" i="6"/>
  <c r="C25" i="6"/>
  <c r="C22" i="6"/>
  <c r="C19" i="6"/>
  <c r="C16" i="6"/>
  <c r="C13" i="6"/>
  <c r="C10" i="6"/>
  <c r="D7" i="6"/>
  <c r="E7" i="6"/>
  <c r="F7" i="6"/>
  <c r="G7" i="6"/>
  <c r="H7" i="6"/>
  <c r="I7" i="6"/>
  <c r="J7" i="6"/>
  <c r="K7" i="6"/>
  <c r="L7" i="6"/>
  <c r="M7" i="6"/>
  <c r="N7" i="6"/>
  <c r="C29" i="6" l="1"/>
  <c r="D29" i="6"/>
  <c r="E29" i="6"/>
  <c r="F29" i="6"/>
  <c r="G29" i="6"/>
  <c r="H29" i="6"/>
  <c r="I29" i="6"/>
  <c r="J29" i="6"/>
  <c r="K29" i="6"/>
  <c r="L29" i="6"/>
  <c r="M29" i="6"/>
  <c r="N29" i="6"/>
  <c r="C26" i="6"/>
  <c r="D26" i="6"/>
  <c r="E26" i="6"/>
  <c r="F26" i="6"/>
  <c r="G26" i="6"/>
  <c r="H26" i="6"/>
  <c r="I26" i="6"/>
  <c r="J26" i="6"/>
  <c r="K26" i="6"/>
  <c r="L26" i="6"/>
  <c r="M26" i="6"/>
  <c r="N26" i="6"/>
  <c r="C20" i="6"/>
  <c r="D20" i="6"/>
  <c r="E20" i="6"/>
  <c r="F20" i="6"/>
  <c r="G20" i="6"/>
  <c r="H20" i="6"/>
  <c r="I20" i="6"/>
  <c r="J20" i="6"/>
  <c r="K20" i="6"/>
  <c r="L20" i="6"/>
  <c r="M20" i="6"/>
  <c r="N20" i="6"/>
  <c r="C17" i="6"/>
  <c r="D17" i="6"/>
  <c r="E17" i="6"/>
  <c r="F17" i="6"/>
  <c r="G17" i="6"/>
  <c r="H17" i="6"/>
  <c r="I17" i="6"/>
  <c r="J17" i="6"/>
  <c r="K17" i="6"/>
  <c r="L17" i="6"/>
  <c r="M17" i="6"/>
  <c r="N17" i="6"/>
  <c r="C14" i="6"/>
  <c r="D14" i="6"/>
  <c r="E14" i="6"/>
  <c r="F14" i="6"/>
  <c r="G14" i="6"/>
  <c r="H14" i="6"/>
  <c r="I14" i="6"/>
  <c r="J14" i="6"/>
  <c r="K14" i="6"/>
  <c r="L14" i="6"/>
  <c r="M14" i="6"/>
  <c r="N14" i="6"/>
  <c r="C11" i="6"/>
  <c r="D11" i="6"/>
  <c r="E11" i="6"/>
  <c r="F11" i="6"/>
  <c r="G11" i="6"/>
  <c r="H11" i="6"/>
  <c r="I11" i="6"/>
  <c r="J11" i="6"/>
  <c r="K11" i="6"/>
  <c r="L11" i="6"/>
  <c r="M11" i="6"/>
  <c r="N11" i="6"/>
  <c r="C8" i="6"/>
  <c r="D8" i="6"/>
  <c r="E8" i="6"/>
  <c r="F8" i="6"/>
  <c r="G8" i="6"/>
  <c r="H8" i="6"/>
  <c r="I8" i="6"/>
  <c r="J8" i="6"/>
  <c r="K8" i="6"/>
  <c r="L8" i="6"/>
  <c r="M8" i="6"/>
  <c r="N8" i="6"/>
  <c r="C5" i="6"/>
  <c r="D5" i="6"/>
  <c r="E5" i="6"/>
  <c r="F5" i="6"/>
  <c r="G5" i="6"/>
  <c r="H5" i="6"/>
  <c r="I5" i="6"/>
  <c r="J5" i="6"/>
  <c r="K5" i="6"/>
  <c r="L5" i="6"/>
  <c r="M5" i="6"/>
  <c r="N5" i="6"/>
  <c r="C2" i="6"/>
  <c r="D2" i="6"/>
  <c r="E2" i="6"/>
  <c r="F2" i="6"/>
  <c r="G2" i="6"/>
  <c r="H2" i="6"/>
  <c r="I2" i="6"/>
  <c r="J2" i="6"/>
  <c r="K2" i="6"/>
  <c r="L2" i="6"/>
  <c r="M2" i="6"/>
  <c r="N2" i="6"/>
  <c r="N3" i="2"/>
  <c r="O3" i="2" s="1"/>
  <c r="N4" i="2"/>
  <c r="N5" i="2"/>
  <c r="O5" i="2" s="1"/>
  <c r="N6" i="2"/>
  <c r="O6" i="2" s="1"/>
  <c r="N7" i="2"/>
  <c r="N8" i="2"/>
  <c r="N9" i="2"/>
  <c r="N10" i="2"/>
  <c r="O10" i="2" s="1"/>
  <c r="N11" i="2"/>
  <c r="O11" i="2" s="1"/>
  <c r="N2" i="2"/>
  <c r="O2" i="2" s="1"/>
  <c r="O4" i="2"/>
  <c r="O7" i="2"/>
  <c r="O8" i="2"/>
  <c r="O9" i="2"/>
  <c r="A29" i="6"/>
  <c r="A26" i="6"/>
  <c r="A23" i="6"/>
  <c r="A20" i="6"/>
  <c r="A17" i="6"/>
  <c r="A14" i="6"/>
  <c r="A11" i="6"/>
  <c r="A8" i="6"/>
  <c r="A5" i="6"/>
  <c r="A2" i="6"/>
  <c r="C16" i="1" l="1"/>
  <c r="C15" i="1"/>
  <c r="C14" i="1"/>
  <c r="C13" i="1"/>
  <c r="C12" i="1"/>
  <c r="C11" i="1"/>
  <c r="C10" i="1"/>
  <c r="C9" i="1"/>
  <c r="C8" i="1"/>
  <c r="C7" i="1"/>
  <c r="C4" i="1"/>
  <c r="C3" i="1"/>
  <c r="C17" i="1" l="1"/>
  <c r="C5" i="1"/>
  <c r="C18" i="1" s="1"/>
  <c r="Q12" i="2"/>
  <c r="K2" i="4"/>
  <c r="J2" i="4"/>
  <c r="J3" i="4"/>
  <c r="J4" i="4"/>
  <c r="J5" i="4"/>
  <c r="J6" i="4"/>
  <c r="J7" i="4"/>
  <c r="J8" i="4"/>
  <c r="J9" i="4"/>
  <c r="J10" i="4"/>
  <c r="J11" i="4"/>
  <c r="J12" i="4"/>
  <c r="H2" i="4"/>
  <c r="H3" i="4"/>
  <c r="H4" i="4"/>
  <c r="H5" i="4"/>
  <c r="H6" i="4"/>
  <c r="H7" i="4"/>
  <c r="H8" i="4"/>
  <c r="H9" i="4"/>
  <c r="H10" i="4"/>
  <c r="H11" i="4"/>
  <c r="H12" i="4"/>
  <c r="F13" i="4"/>
  <c r="E2" i="4"/>
  <c r="E3" i="4"/>
  <c r="E4" i="4"/>
  <c r="E5" i="4"/>
  <c r="E6" i="4"/>
  <c r="E7" i="4"/>
  <c r="E8" i="4"/>
  <c r="E9" i="4"/>
  <c r="E10" i="4"/>
  <c r="E11" i="4"/>
  <c r="E12" i="4"/>
  <c r="A11" i="4"/>
  <c r="A5" i="4"/>
  <c r="A6" i="4"/>
  <c r="A7" i="4"/>
  <c r="A8" i="4"/>
  <c r="A9" i="4"/>
  <c r="A10" i="4"/>
  <c r="A4" i="4"/>
  <c r="A3" i="4"/>
  <c r="F4" i="3" l="1"/>
  <c r="B8" i="3"/>
  <c r="B9" i="4" s="1"/>
  <c r="B6" i="3"/>
  <c r="B7" i="4" s="1"/>
  <c r="C14" i="3"/>
  <c r="G4" i="3" s="1"/>
  <c r="I4" i="3" s="1"/>
  <c r="I5" i="3" s="1"/>
  <c r="B11" i="4" s="1"/>
  <c r="C13" i="3"/>
  <c r="C12" i="3"/>
  <c r="B10" i="3"/>
  <c r="B9" i="3"/>
  <c r="B10" i="4" s="1"/>
  <c r="C11" i="3"/>
  <c r="B7" i="3"/>
  <c r="B8" i="4" s="1"/>
  <c r="B5" i="3"/>
  <c r="B6" i="4" s="1"/>
  <c r="B4" i="3"/>
  <c r="B5" i="4" s="1"/>
  <c r="B3" i="3"/>
  <c r="B4" i="4" s="1"/>
  <c r="B2" i="3"/>
  <c r="B3" i="4" s="1"/>
  <c r="B12" i="4" l="1"/>
  <c r="C15" i="3"/>
  <c r="B15" i="3"/>
  <c r="I5" i="4" l="1"/>
  <c r="I9" i="4"/>
  <c r="I3" i="4"/>
  <c r="I6" i="4"/>
  <c r="I10" i="4"/>
  <c r="I4" i="4"/>
  <c r="I8" i="4"/>
  <c r="I12" i="4"/>
  <c r="I7" i="4"/>
  <c r="I11" i="4"/>
  <c r="K6" i="4"/>
  <c r="K9" i="4"/>
  <c r="L9" i="4" s="1"/>
  <c r="M9" i="4" s="1"/>
  <c r="N9" i="4" s="1"/>
  <c r="K5" i="4"/>
  <c r="L5" i="4" s="1"/>
  <c r="M5" i="4" s="1"/>
  <c r="N5" i="4" s="1"/>
  <c r="K10" i="4"/>
  <c r="L10" i="4" s="1"/>
  <c r="N10" i="4" s="1"/>
  <c r="K3" i="4"/>
  <c r="L3" i="4" s="1"/>
  <c r="N3" i="4" s="1"/>
  <c r="K8" i="4"/>
  <c r="L8" i="4" s="1"/>
  <c r="N8" i="4" s="1"/>
  <c r="K4" i="4"/>
  <c r="L4" i="4" s="1"/>
  <c r="N4" i="4" s="1"/>
  <c r="K11" i="4"/>
  <c r="L11" i="4" s="1"/>
  <c r="M11" i="4" s="1"/>
  <c r="N11" i="4" s="1"/>
  <c r="K7" i="4"/>
  <c r="L7" i="4" s="1"/>
  <c r="M7" i="4" s="1"/>
  <c r="N7" i="4" s="1"/>
  <c r="K12" i="4"/>
  <c r="L12" i="4" s="1"/>
  <c r="M12" i="4" s="1"/>
  <c r="N12" i="4" s="1"/>
  <c r="L6" i="4" l="1"/>
  <c r="M6" i="4" s="1"/>
  <c r="N6" i="4" s="1"/>
</calcChain>
</file>

<file path=xl/sharedStrings.xml><?xml version="1.0" encoding="utf-8"?>
<sst xmlns="http://schemas.openxmlformats.org/spreadsheetml/2006/main" count="134" uniqueCount="104">
  <si>
    <t>Tháng 1</t>
  </si>
  <si>
    <t>Tháng 2</t>
  </si>
  <si>
    <t>Tháng 3</t>
  </si>
  <si>
    <t>Tháng 4</t>
  </si>
  <si>
    <t>Tháng 5</t>
  </si>
  <si>
    <t>Tháng 6</t>
  </si>
  <si>
    <t>Ram</t>
  </si>
  <si>
    <t>Ổ cứng</t>
  </si>
  <si>
    <t>bàn phím/chuột</t>
  </si>
  <si>
    <t>Màn hình</t>
  </si>
  <si>
    <t>USB</t>
  </si>
  <si>
    <t>Mainboard</t>
  </si>
  <si>
    <t>Sản phẩm</t>
  </si>
  <si>
    <t>Danh  mục</t>
  </si>
  <si>
    <t>Vốn lưu động (một tháng)</t>
  </si>
  <si>
    <t>Bảo hiểm</t>
  </si>
  <si>
    <t>Tiền điện</t>
  </si>
  <si>
    <t>Tiền nước</t>
  </si>
  <si>
    <t>Tiền trọ</t>
  </si>
  <si>
    <t>Lương thành viên</t>
  </si>
  <si>
    <t>Tiền điện thoại</t>
  </si>
  <si>
    <t>Giấy phép kinh doanh</t>
  </si>
  <si>
    <t>Thuế</t>
  </si>
  <si>
    <t>Tiền mạng</t>
  </si>
  <si>
    <t>Tiền linh kiện thay thế</t>
  </si>
  <si>
    <t>Tiền trang thiết bị sửa chữa</t>
  </si>
  <si>
    <t>Tiền thùng hàng</t>
  </si>
  <si>
    <t>Tiền cơ sở vật chất</t>
  </si>
  <si>
    <t>Giá nhập hàng một tháng</t>
  </si>
  <si>
    <t>Tổng tiền nhập hàng(1 tháng)</t>
  </si>
  <si>
    <t>Ghi chú</t>
  </si>
  <si>
    <t>2 bộ đồ nghề</t>
  </si>
  <si>
    <t>Bàn ghế, máy móc</t>
  </si>
  <si>
    <t>4 thành viên</t>
  </si>
  <si>
    <t>Vốn đầu tư</t>
  </si>
  <si>
    <t>Tiền khấu hao</t>
  </si>
  <si>
    <t>Giá</t>
  </si>
  <si>
    <t>Thời gian sử dụng dự tính</t>
  </si>
  <si>
    <t>Tiền khấu hao hàng tháng</t>
  </si>
  <si>
    <t>Danh mục</t>
  </si>
  <si>
    <t>Chi phí hàng tháng (không tính nhập hàng)</t>
  </si>
  <si>
    <t xml:space="preserve">Số tiền </t>
  </si>
  <si>
    <t>ghi chú</t>
  </si>
  <si>
    <t>Tổng tiền khấu hao hàng tháng</t>
  </si>
  <si>
    <t>Tổng chi phí</t>
  </si>
  <si>
    <t>Tỉ lệ chi phí của từng sản phẩm trên tổng chi phí</t>
  </si>
  <si>
    <t>tỉ lệ (%)</t>
  </si>
  <si>
    <t>Dịch vụ Sửa PC</t>
  </si>
  <si>
    <t>Dịch vụ Sửa Laptop</t>
  </si>
  <si>
    <t>PC (bán)</t>
  </si>
  <si>
    <t>Tổng</t>
  </si>
  <si>
    <t>Giá thành sản phẩm</t>
  </si>
  <si>
    <t>Chi phí hàng tháng</t>
  </si>
  <si>
    <t>Giá nhập sản phẩm</t>
  </si>
  <si>
    <t>Bình quân bán được(1 tháng)</t>
  </si>
  <si>
    <t>Bình  quân bán được(1 năm)</t>
  </si>
  <si>
    <t>Giá thành sản xuất</t>
  </si>
  <si>
    <t>Tiền lời mong muốn</t>
  </si>
  <si>
    <t>Giá Thành bán ra</t>
  </si>
  <si>
    <t>STT</t>
  </si>
  <si>
    <t>Hạng mục</t>
  </si>
  <si>
    <t>Số tiền(1000)</t>
  </si>
  <si>
    <t>Tiền hiện có</t>
  </si>
  <si>
    <t>Tiền lương*2</t>
  </si>
  <si>
    <t>Tổng thu trong 2 tháng</t>
  </si>
  <si>
    <t>Tiền thuê trọ</t>
  </si>
  <si>
    <t>Tiền sinh hoạt phí</t>
  </si>
  <si>
    <t>Bộ Vít JAKEMY JM 8150(x2)</t>
  </si>
  <si>
    <t>Mạng+điện+nước</t>
  </si>
  <si>
    <t>Ghế cho khách(x10)</t>
  </si>
  <si>
    <t>Bàn(x3), ghế(x4)</t>
  </si>
  <si>
    <t xml:space="preserve">Thuê server </t>
  </si>
  <si>
    <t>Thuê văn phòng</t>
  </si>
  <si>
    <t>Thùng hàng xe máy</t>
  </si>
  <si>
    <t>Linh kiện máy tính</t>
  </si>
  <si>
    <t>Tổng phí</t>
  </si>
  <si>
    <t>Tiền có bắt đầu để kinh doanh</t>
  </si>
  <si>
    <t>Thu (2 tháng đầu)</t>
  </si>
  <si>
    <t>Chi(2 tháng đầu)</t>
  </si>
  <si>
    <t>Số hàng bán ra</t>
  </si>
  <si>
    <t>Giá bán trung bình cho 1 sản phẩm</t>
  </si>
  <si>
    <t>Doanh thu hàng tháng</t>
  </si>
  <si>
    <t>Linh kiện khác (Nguồn, quạt tản nhiệt, GPU,….vv)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</si>
  <si>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</si>
  <si>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</si>
  <si>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</si>
  <si>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</si>
  <si>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</si>
  <si>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</si>
  <si>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</si>
  <si>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</si>
  <si>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</si>
  <si>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</si>
  <si>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</si>
  <si>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</si>
  <si>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7</t>
  </si>
  <si>
    <t>Tháng 8</t>
  </si>
  <si>
    <t>Tháng 9</t>
  </si>
  <si>
    <t>Tháng 10</t>
  </si>
  <si>
    <t>Tháng 11</t>
  </si>
  <si>
    <t>Tháng 12</t>
  </si>
  <si>
    <t>Tổng doanh thu bán hàng theo tháng</t>
  </si>
  <si>
    <t>Tổng Tiền nhập sản phẩm theo từng tháng</t>
  </si>
  <si>
    <t>Tính tiền nhập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</si>
</sst>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7">
    <xf numFmtId="0" fontId="0" fillId="0" borderId="0" xfId="0"/>
    <xf numFmtId="0" fontId="2" fillId="4" borderId="3" xfId="1" applyFill="1" applyBorder="1"/>
    <xf numFmtId="0" fontId="4" fillId="4" borderId="3" xfId="1" applyFont="1" applyFill="1" applyBorder="1"/>
    <xf numFmtId="1" fontId="4" fillId="4" borderId="3" xfId="1" applyNumberFormat="1" applyFont="1" applyFill="1" applyBorder="1"/>
    <xf numFmtId="0" fontId="2" fillId="4" borderId="3" xfId="1" applyFont="1" applyFill="1" applyBorder="1"/>
    <xf numFmtId="3" fontId="2" fillId="4" borderId="3" xfId="1" applyNumberFormat="1" applyFont="1" applyFill="1" applyBorder="1"/>
    <xf numFmtId="3" fontId="4" fillId="4" borderId="3" xfId="1" applyNumberFormat="1" applyFont="1" applyFill="1" applyBorder="1"/>
    <xf numFmtId="3" fontId="0" fillId="0" borderId="0" xfId="0" applyNumberFormat="1"/>
    <xf numFmtId="3" fontId="2" fillId="4" borderId="3" xfId="1" applyNumberFormat="1" applyFont="1" applyFill="1" applyBorder="1" applyAlignment="1">
      <alignment wrapText="1"/>
    </xf>
    <xf numFmtId="0" fontId="3" fillId="4" borderId="3" xfId="2" applyFont="1" applyFill="1" applyBorder="1"/>
    <xf numFmtId="0" fontId="0" fillId="4" borderId="3" xfId="2" applyFont="1" applyFill="1" applyBorder="1"/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0" fontId="0" fillId="0" borderId="0" xfId="0" applyAlignment="1">
      <alignment horizontal="center"/>
    </xf>
    <xf numFmtId="3" fontId="3" fillId="4" borderId="3" xfId="2" applyNumberFormat="1" applyFont="1" applyFill="1" applyBorder="1"/>
    <xf numFmtId="3" fontId="0" fillId="4" borderId="3" xfId="2" applyNumberFormat="1" applyFont="1" applyFill="1" applyBorder="1"/>
    <xf numFmtId="3" fontId="3" fillId="0" borderId="3" xfId="0" applyNumberFormat="1" applyFont="1" applyBorder="1"/>
    <xf numFmtId="3" fontId="0" fillId="0" borderId="3" xfId="0" applyNumberFormat="1" applyBorder="1"/>
    <xf numFmtId="0" fontId="3" fillId="5" borderId="3" xfId="0" applyFont="1" applyFill="1" applyBorder="1"/>
    <xf numFmtId="3" fontId="0" fillId="5" borderId="3" xfId="0" applyNumberFormat="1" applyFill="1" applyBorder="1"/>
    <xf numFmtId="0" fontId="0" fillId="5" borderId="3" xfId="0" applyFill="1" applyBorder="1"/>
    <xf numFmtId="0" fontId="2" fillId="2" borderId="1" xfId="1"/>
    <xf numFmtId="0" fontId="2" fillId="2" borderId="1" xfId="1" applyAlignment="1">
      <alignment horizontal="center"/>
    </xf>
    <xf numFmtId="0" fontId="4" fillId="2" borderId="1" xfId="1" applyFont="1"/>
    <xf numFmtId="0" fontId="2" fillId="5" borderId="1" xfId="1" applyFill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3" fontId="0" fillId="0" borderId="10" xfId="0" applyNumberFormat="1" applyBorder="1"/>
    <xf numFmtId="3" fontId="0" fillId="0" borderId="12" xfId="0" applyNumberFormat="1" applyBorder="1"/>
    <xf numFmtId="0" fontId="3" fillId="5" borderId="6" xfId="0" applyFont="1" applyFill="1" applyBorder="1"/>
    <xf numFmtId="3" fontId="3" fillId="5" borderId="6" xfId="0" applyNumberFormat="1" applyFont="1" applyFill="1" applyBorder="1"/>
    <xf numFmtId="0" fontId="3" fillId="5" borderId="0" xfId="0" applyFont="1" applyFill="1"/>
    <xf numFmtId="0" fontId="3" fillId="5" borderId="14" xfId="0" applyFont="1" applyFill="1" applyBorder="1"/>
    <xf numFmtId="3" fontId="3" fillId="5" borderId="0" xfId="0" applyNumberFormat="1" applyFont="1" applyFill="1"/>
    <xf numFmtId="0" fontId="2" fillId="5" borderId="1" xfId="1" applyFill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3" fontId="3" fillId="0" borderId="0" xfId="0" applyNumberFormat="1" applyFont="1"/>
    <xf numFmtId="0" fontId="3" fillId="5" borderId="15" xfId="0" applyFont="1" applyFill="1" applyBorder="1" applyAlignment="1">
      <alignment horizontal="center"/>
    </xf>
  </cellXfs>
  <cellStyles count="3">
    <cellStyle name="Normal" xfId="0" builtinId="0"/>
    <cellStyle name="Note" xfId="2" builtinId="10"/>
    <cellStyle name="Output" xfId="1" builtinId="21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0" sqref="C10"/>
    </sheetView>
  </sheetViews>
  <sheetFormatPr defaultRowHeight="15" x14ac:dyDescent="0.25"/>
  <cols>
    <col min="1" max="1" width="4" bestFit="1" customWidth="1"/>
    <col min="2" max="2" width="25.140625" bestFit="1" customWidth="1"/>
    <col min="3" max="3" width="12.5703125" bestFit="1" customWidth="1"/>
  </cols>
  <sheetData>
    <row r="1" spans="1:3" x14ac:dyDescent="0.25">
      <c r="A1" s="22" t="s">
        <v>59</v>
      </c>
      <c r="B1" s="22" t="s">
        <v>60</v>
      </c>
      <c r="C1" s="22" t="s">
        <v>61</v>
      </c>
    </row>
    <row r="2" spans="1:3" x14ac:dyDescent="0.25">
      <c r="A2" s="38" t="s">
        <v>77</v>
      </c>
      <c r="B2" s="38"/>
      <c r="C2" s="38"/>
    </row>
    <row r="3" spans="1:3" x14ac:dyDescent="0.25">
      <c r="A3" s="23">
        <v>1</v>
      </c>
      <c r="B3" s="22" t="s">
        <v>62</v>
      </c>
      <c r="C3" s="24">
        <f>75000*4</f>
        <v>300000</v>
      </c>
    </row>
    <row r="4" spans="1:3" x14ac:dyDescent="0.25">
      <c r="A4" s="23">
        <v>2</v>
      </c>
      <c r="B4" s="22" t="s">
        <v>63</v>
      </c>
      <c r="C4" s="24">
        <f>2700*1*2</f>
        <v>5400</v>
      </c>
    </row>
    <row r="5" spans="1:3" x14ac:dyDescent="0.25">
      <c r="A5" s="22"/>
      <c r="B5" s="22" t="s">
        <v>64</v>
      </c>
      <c r="C5" s="24">
        <f>C3+C4</f>
        <v>305400</v>
      </c>
    </row>
    <row r="6" spans="1:3" x14ac:dyDescent="0.25">
      <c r="A6" s="38" t="s">
        <v>78</v>
      </c>
      <c r="B6" s="38"/>
      <c r="C6" s="38"/>
    </row>
    <row r="7" spans="1:3" x14ac:dyDescent="0.25">
      <c r="A7" s="23">
        <v>1</v>
      </c>
      <c r="B7" s="22" t="s">
        <v>65</v>
      </c>
      <c r="C7" s="24">
        <f>1500*2</f>
        <v>3000</v>
      </c>
    </row>
    <row r="8" spans="1:3" x14ac:dyDescent="0.25">
      <c r="A8" s="23">
        <v>2</v>
      </c>
      <c r="B8" s="22" t="s">
        <v>66</v>
      </c>
      <c r="C8" s="24">
        <f>2000*4*2</f>
        <v>16000</v>
      </c>
    </row>
    <row r="9" spans="1:3" x14ac:dyDescent="0.25">
      <c r="A9" s="23">
        <v>3</v>
      </c>
      <c r="B9" s="22" t="s">
        <v>67</v>
      </c>
      <c r="C9" s="24">
        <f>210*2</f>
        <v>420</v>
      </c>
    </row>
    <row r="10" spans="1:3" x14ac:dyDescent="0.25">
      <c r="A10" s="23">
        <v>4</v>
      </c>
      <c r="B10" s="22" t="s">
        <v>68</v>
      </c>
      <c r="C10" s="24">
        <f>700*2</f>
        <v>1400</v>
      </c>
    </row>
    <row r="11" spans="1:3" x14ac:dyDescent="0.25">
      <c r="A11" s="23">
        <v>5</v>
      </c>
      <c r="B11" s="22" t="s">
        <v>69</v>
      </c>
      <c r="C11" s="24">
        <f>50*10</f>
        <v>500</v>
      </c>
    </row>
    <row r="12" spans="1:3" x14ac:dyDescent="0.25">
      <c r="A12" s="23">
        <v>6</v>
      </c>
      <c r="B12" s="22" t="s">
        <v>70</v>
      </c>
      <c r="C12" s="24">
        <f>1054 * 3</f>
        <v>3162</v>
      </c>
    </row>
    <row r="13" spans="1:3" x14ac:dyDescent="0.25">
      <c r="A13" s="23">
        <v>7</v>
      </c>
      <c r="B13" s="22" t="s">
        <v>71</v>
      </c>
      <c r="C13" s="24">
        <f>250*1</f>
        <v>250</v>
      </c>
    </row>
    <row r="14" spans="1:3" x14ac:dyDescent="0.25">
      <c r="A14" s="23">
        <v>8</v>
      </c>
      <c r="B14" s="22" t="s">
        <v>72</v>
      </c>
      <c r="C14" s="24">
        <f>3000</f>
        <v>3000</v>
      </c>
    </row>
    <row r="15" spans="1:3" x14ac:dyDescent="0.25">
      <c r="A15" s="23">
        <v>9</v>
      </c>
      <c r="B15" s="22" t="s">
        <v>73</v>
      </c>
      <c r="C15" s="24">
        <f>150</f>
        <v>150</v>
      </c>
    </row>
    <row r="16" spans="1:3" x14ac:dyDescent="0.25">
      <c r="A16" s="23">
        <v>10</v>
      </c>
      <c r="B16" s="22" t="s">
        <v>74</v>
      </c>
      <c r="C16" s="24">
        <f>100000</f>
        <v>100000</v>
      </c>
    </row>
    <row r="17" spans="1:3" x14ac:dyDescent="0.25">
      <c r="A17" s="22"/>
      <c r="B17" s="22" t="s">
        <v>75</v>
      </c>
      <c r="C17" s="24">
        <f>SUM(C7:C16)</f>
        <v>127882</v>
      </c>
    </row>
    <row r="18" spans="1:3" x14ac:dyDescent="0.25">
      <c r="A18" s="38" t="s">
        <v>76</v>
      </c>
      <c r="B18" s="38"/>
      <c r="C18" s="25">
        <f>C5-C17</f>
        <v>177518</v>
      </c>
    </row>
  </sheetData>
  <mergeCells count="3">
    <mergeCell ref="A2:C2"/>
    <mergeCell ref="A6:C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4" workbookViewId="0">
      <selection activeCell="N16" sqref="N16"/>
    </sheetView>
  </sheetViews>
  <sheetFormatPr defaultRowHeight="15" x14ac:dyDescent="0.25"/>
  <cols>
    <col min="1" max="1" width="45" style="13" bestFit="1" customWidth="1"/>
    <col min="2" max="10" width="7.7109375" bestFit="1" customWidth="1"/>
    <col min="11" max="13" width="8.7109375" bestFit="1" customWidth="1"/>
    <col min="14" max="14" width="27.42578125" bestFit="1" customWidth="1"/>
    <col min="15" max="15" width="26.7109375" bestFit="1" customWidth="1"/>
    <col min="16" max="16" width="35.42578125" style="7" bestFit="1" customWidth="1"/>
    <col min="17" max="17" width="23.42578125" style="7" bestFit="1" customWidth="1"/>
  </cols>
  <sheetData>
    <row r="1" spans="1:17" x14ac:dyDescent="0.2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54</v>
      </c>
      <c r="O1" s="1" t="s">
        <v>55</v>
      </c>
      <c r="P1" s="8" t="s">
        <v>53</v>
      </c>
      <c r="Q1" s="5" t="s">
        <v>28</v>
      </c>
    </row>
    <row r="2" spans="1:17" x14ac:dyDescent="0.25">
      <c r="A2" s="4" t="s">
        <v>47</v>
      </c>
      <c r="B2" s="2">
        <v>8</v>
      </c>
      <c r="C2" s="2">
        <v>20</v>
      </c>
      <c r="D2" s="2">
        <v>40</v>
      </c>
      <c r="E2" s="2">
        <v>41</v>
      </c>
      <c r="F2" s="2">
        <v>37</v>
      </c>
      <c r="G2" s="2">
        <v>45</v>
      </c>
      <c r="H2" s="2">
        <v>45</v>
      </c>
      <c r="I2" s="2">
        <v>40</v>
      </c>
      <c r="J2" s="2">
        <v>42</v>
      </c>
      <c r="K2" s="2">
        <v>39</v>
      </c>
      <c r="L2" s="2">
        <v>45</v>
      </c>
      <c r="M2" s="2">
        <v>50</v>
      </c>
      <c r="N2" s="3">
        <f>_xlfn.FLOOR.MATH(AVERAGE(B2:M2))</f>
        <v>37</v>
      </c>
      <c r="O2" s="2">
        <f t="shared" ref="O2:O11" si="0">N2*12</f>
        <v>444</v>
      </c>
      <c r="P2" s="6">
        <v>0</v>
      </c>
      <c r="Q2" s="6">
        <f>N2*P2</f>
        <v>0</v>
      </c>
    </row>
    <row r="3" spans="1:17" x14ac:dyDescent="0.25">
      <c r="A3" s="4" t="s">
        <v>48</v>
      </c>
      <c r="B3" s="2">
        <v>13</v>
      </c>
      <c r="C3" s="2">
        <v>16</v>
      </c>
      <c r="D3" s="2">
        <v>55</v>
      </c>
      <c r="E3" s="2">
        <v>50</v>
      </c>
      <c r="F3" s="2">
        <v>37</v>
      </c>
      <c r="G3" s="2">
        <v>35</v>
      </c>
      <c r="H3" s="2">
        <v>33</v>
      </c>
      <c r="I3" s="2">
        <v>40</v>
      </c>
      <c r="J3" s="2">
        <v>42</v>
      </c>
      <c r="K3" s="2">
        <v>41</v>
      </c>
      <c r="L3" s="2">
        <v>37</v>
      </c>
      <c r="M3" s="2">
        <v>44</v>
      </c>
      <c r="N3" s="3">
        <f t="shared" ref="N3:N11" si="1">_xlfn.FLOOR.MATH(AVERAGE(B3:M3))</f>
        <v>36</v>
      </c>
      <c r="O3" s="2">
        <f t="shared" si="0"/>
        <v>432</v>
      </c>
      <c r="P3" s="6">
        <v>0</v>
      </c>
      <c r="Q3" s="6">
        <f t="shared" ref="Q3:Q11" si="2">N3*P3</f>
        <v>0</v>
      </c>
    </row>
    <row r="4" spans="1:17" x14ac:dyDescent="0.25">
      <c r="A4" s="4" t="s">
        <v>49</v>
      </c>
      <c r="B4" s="2">
        <v>2</v>
      </c>
      <c r="C4" s="2">
        <v>8</v>
      </c>
      <c r="D4" s="2">
        <v>7</v>
      </c>
      <c r="E4" s="2">
        <v>10</v>
      </c>
      <c r="F4" s="2">
        <v>10</v>
      </c>
      <c r="G4" s="2">
        <v>9</v>
      </c>
      <c r="H4" s="2">
        <v>5</v>
      </c>
      <c r="I4" s="2">
        <v>11</v>
      </c>
      <c r="J4" s="2">
        <v>12</v>
      </c>
      <c r="K4" s="2">
        <v>15</v>
      </c>
      <c r="L4" s="2">
        <v>7</v>
      </c>
      <c r="M4" s="2">
        <v>8</v>
      </c>
      <c r="N4" s="3">
        <f t="shared" si="1"/>
        <v>8</v>
      </c>
      <c r="O4" s="2">
        <f t="shared" si="0"/>
        <v>96</v>
      </c>
      <c r="P4" s="6">
        <v>8000</v>
      </c>
      <c r="Q4" s="6">
        <f t="shared" si="2"/>
        <v>64000</v>
      </c>
    </row>
    <row r="5" spans="1:17" x14ac:dyDescent="0.25">
      <c r="A5" s="4" t="s">
        <v>6</v>
      </c>
      <c r="B5" s="2">
        <v>5</v>
      </c>
      <c r="C5" s="2">
        <v>15</v>
      </c>
      <c r="D5" s="2">
        <v>20</v>
      </c>
      <c r="E5" s="2">
        <v>17</v>
      </c>
      <c r="F5" s="2">
        <v>20</v>
      </c>
      <c r="G5" s="2">
        <v>22</v>
      </c>
      <c r="H5" s="2">
        <v>16</v>
      </c>
      <c r="I5" s="2">
        <v>18</v>
      </c>
      <c r="J5" s="2">
        <v>15</v>
      </c>
      <c r="K5" s="2">
        <v>17</v>
      </c>
      <c r="L5" s="2">
        <v>10</v>
      </c>
      <c r="M5" s="2">
        <v>13</v>
      </c>
      <c r="N5" s="3">
        <f t="shared" si="1"/>
        <v>15</v>
      </c>
      <c r="O5" s="2">
        <f t="shared" si="0"/>
        <v>180</v>
      </c>
      <c r="P5" s="6">
        <v>900</v>
      </c>
      <c r="Q5" s="6">
        <f t="shared" si="2"/>
        <v>13500</v>
      </c>
    </row>
    <row r="6" spans="1:17" x14ac:dyDescent="0.25">
      <c r="A6" s="4" t="s">
        <v>7</v>
      </c>
      <c r="B6" s="2">
        <v>1</v>
      </c>
      <c r="C6" s="2">
        <v>10</v>
      </c>
      <c r="D6" s="2">
        <v>10</v>
      </c>
      <c r="E6" s="2">
        <v>10</v>
      </c>
      <c r="F6" s="2">
        <v>7</v>
      </c>
      <c r="G6" s="2">
        <v>9</v>
      </c>
      <c r="H6" s="2">
        <v>1</v>
      </c>
      <c r="I6" s="2">
        <v>10</v>
      </c>
      <c r="J6" s="2">
        <v>10</v>
      </c>
      <c r="K6" s="2">
        <v>10</v>
      </c>
      <c r="L6" s="2">
        <v>7</v>
      </c>
      <c r="M6" s="2">
        <v>9</v>
      </c>
      <c r="N6" s="3">
        <f t="shared" si="1"/>
        <v>7</v>
      </c>
      <c r="O6" s="2">
        <f t="shared" si="0"/>
        <v>84</v>
      </c>
      <c r="P6" s="6">
        <v>2500</v>
      </c>
      <c r="Q6" s="6">
        <f t="shared" si="2"/>
        <v>17500</v>
      </c>
    </row>
    <row r="7" spans="1:17" x14ac:dyDescent="0.25">
      <c r="A7" s="4" t="s">
        <v>8</v>
      </c>
      <c r="B7" s="2">
        <v>10</v>
      </c>
      <c r="C7" s="2">
        <v>30</v>
      </c>
      <c r="D7" s="2">
        <v>50</v>
      </c>
      <c r="E7" s="2">
        <v>45</v>
      </c>
      <c r="F7" s="2">
        <v>50</v>
      </c>
      <c r="G7" s="2">
        <v>56</v>
      </c>
      <c r="H7" s="2">
        <v>55</v>
      </c>
      <c r="I7" s="2">
        <v>56</v>
      </c>
      <c r="J7" s="2">
        <v>44</v>
      </c>
      <c r="K7" s="2">
        <v>45</v>
      </c>
      <c r="L7" s="2">
        <v>50</v>
      </c>
      <c r="M7" s="2">
        <v>42</v>
      </c>
      <c r="N7" s="3">
        <f t="shared" si="1"/>
        <v>44</v>
      </c>
      <c r="O7" s="2">
        <f t="shared" si="0"/>
        <v>528</v>
      </c>
      <c r="P7" s="6">
        <v>300</v>
      </c>
      <c r="Q7" s="6">
        <f t="shared" si="2"/>
        <v>13200</v>
      </c>
    </row>
    <row r="8" spans="1:17" x14ac:dyDescent="0.25">
      <c r="A8" s="4" t="s">
        <v>9</v>
      </c>
      <c r="B8" s="2">
        <v>2</v>
      </c>
      <c r="C8" s="2">
        <v>6</v>
      </c>
      <c r="D8" s="2">
        <v>10</v>
      </c>
      <c r="E8" s="2">
        <v>9</v>
      </c>
      <c r="F8" s="2">
        <v>11</v>
      </c>
      <c r="G8" s="2">
        <v>12</v>
      </c>
      <c r="H8" s="2">
        <v>8</v>
      </c>
      <c r="I8" s="2">
        <v>10</v>
      </c>
      <c r="J8" s="2">
        <v>11</v>
      </c>
      <c r="K8" s="2">
        <v>9</v>
      </c>
      <c r="L8" s="2">
        <v>7</v>
      </c>
      <c r="M8" s="2">
        <v>5</v>
      </c>
      <c r="N8" s="3">
        <f t="shared" si="1"/>
        <v>8</v>
      </c>
      <c r="O8" s="2">
        <f t="shared" si="0"/>
        <v>96</v>
      </c>
      <c r="P8" s="6">
        <v>3000</v>
      </c>
      <c r="Q8" s="6">
        <f t="shared" si="2"/>
        <v>24000</v>
      </c>
    </row>
    <row r="9" spans="1:17" x14ac:dyDescent="0.25">
      <c r="A9" s="4" t="s">
        <v>10</v>
      </c>
      <c r="B9" s="2">
        <v>7</v>
      </c>
      <c r="C9" s="2">
        <v>22</v>
      </c>
      <c r="D9" s="2">
        <v>30</v>
      </c>
      <c r="E9" s="2">
        <v>24</v>
      </c>
      <c r="F9" s="2">
        <v>31</v>
      </c>
      <c r="G9" s="2">
        <v>35</v>
      </c>
      <c r="H9" s="2">
        <v>28</v>
      </c>
      <c r="I9" s="2">
        <v>25</v>
      </c>
      <c r="J9" s="2">
        <v>30</v>
      </c>
      <c r="K9" s="2">
        <v>33</v>
      </c>
      <c r="L9" s="2">
        <v>31</v>
      </c>
      <c r="M9" s="2">
        <v>12</v>
      </c>
      <c r="N9" s="3">
        <f t="shared" si="1"/>
        <v>25</v>
      </c>
      <c r="O9" s="2">
        <f t="shared" si="0"/>
        <v>300</v>
      </c>
      <c r="P9" s="6">
        <v>200</v>
      </c>
      <c r="Q9" s="6">
        <f t="shared" si="2"/>
        <v>5000</v>
      </c>
    </row>
    <row r="10" spans="1:17" x14ac:dyDescent="0.25">
      <c r="A10" s="4" t="s">
        <v>11</v>
      </c>
      <c r="B10" s="2">
        <v>1</v>
      </c>
      <c r="C10" s="2">
        <v>5</v>
      </c>
      <c r="D10" s="2">
        <v>5</v>
      </c>
      <c r="E10" s="2">
        <v>5</v>
      </c>
      <c r="F10" s="2">
        <v>6</v>
      </c>
      <c r="G10" s="2">
        <v>9</v>
      </c>
      <c r="H10" s="2">
        <v>6</v>
      </c>
      <c r="I10" s="2">
        <v>8</v>
      </c>
      <c r="J10" s="2">
        <v>8</v>
      </c>
      <c r="K10" s="2">
        <v>7</v>
      </c>
      <c r="L10" s="2">
        <v>6</v>
      </c>
      <c r="M10" s="2">
        <v>4</v>
      </c>
      <c r="N10" s="3">
        <f t="shared" si="1"/>
        <v>5</v>
      </c>
      <c r="O10" s="2">
        <f t="shared" si="0"/>
        <v>60</v>
      </c>
      <c r="P10" s="6">
        <v>2500</v>
      </c>
      <c r="Q10" s="6">
        <f t="shared" si="2"/>
        <v>12500</v>
      </c>
    </row>
    <row r="11" spans="1:17" x14ac:dyDescent="0.25">
      <c r="A11" s="4" t="s">
        <v>82</v>
      </c>
      <c r="B11" s="2">
        <v>10</v>
      </c>
      <c r="C11" s="2">
        <v>19</v>
      </c>
      <c r="D11" s="2">
        <v>20</v>
      </c>
      <c r="E11" s="2">
        <v>17</v>
      </c>
      <c r="F11" s="2">
        <v>18</v>
      </c>
      <c r="G11" s="2">
        <v>19</v>
      </c>
      <c r="H11" s="2">
        <v>17</v>
      </c>
      <c r="I11" s="2">
        <v>19</v>
      </c>
      <c r="J11" s="2">
        <v>16</v>
      </c>
      <c r="K11" s="2">
        <v>20</v>
      </c>
      <c r="L11" s="2">
        <v>18</v>
      </c>
      <c r="M11" s="2">
        <v>14</v>
      </c>
      <c r="N11" s="3">
        <f t="shared" si="1"/>
        <v>17</v>
      </c>
      <c r="O11" s="2">
        <f t="shared" si="0"/>
        <v>204</v>
      </c>
      <c r="P11" s="6">
        <v>2500</v>
      </c>
      <c r="Q11" s="6">
        <f t="shared" si="2"/>
        <v>42500</v>
      </c>
    </row>
    <row r="12" spans="1:17" x14ac:dyDescent="0.25">
      <c r="P12" s="4" t="s">
        <v>29</v>
      </c>
      <c r="Q12" s="5">
        <f>SUM(Q2:Q11)</f>
        <v>192200</v>
      </c>
    </row>
    <row r="13" spans="1:17" x14ac:dyDescent="0.25">
      <c r="A13" s="46" t="s">
        <v>103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7" s="13" customFormat="1" x14ac:dyDescent="0.25">
      <c r="A14" s="12" t="str">
        <f t="shared" ref="A14:M14" si="3">A1</f>
        <v>Sản phẩm</v>
      </c>
      <c r="B14" s="17" t="str">
        <f t="shared" si="3"/>
        <v>Tháng 1</v>
      </c>
      <c r="C14" s="12" t="str">
        <f t="shared" si="3"/>
        <v>Tháng 2</v>
      </c>
      <c r="D14" s="12" t="str">
        <f t="shared" si="3"/>
        <v>Tháng 3</v>
      </c>
      <c r="E14" s="12" t="str">
        <f t="shared" si="3"/>
        <v>Tháng 4</v>
      </c>
      <c r="F14" s="12" t="str">
        <f t="shared" si="3"/>
        <v>Tháng 5</v>
      </c>
      <c r="G14" s="12" t="str">
        <f t="shared" si="3"/>
        <v>Tháng 6</v>
      </c>
      <c r="H14" s="12" t="str">
        <f t="shared" si="3"/>
        <v>Tháng 7</v>
      </c>
      <c r="I14" s="12" t="str">
        <f t="shared" si="3"/>
        <v>Tháng 8</v>
      </c>
      <c r="J14" s="12" t="str">
        <f t="shared" si="3"/>
        <v>Tháng 9</v>
      </c>
      <c r="K14" s="12" t="str">
        <f t="shared" si="3"/>
        <v>Tháng 10</v>
      </c>
      <c r="L14" s="12" t="str">
        <f t="shared" si="3"/>
        <v>Tháng 11</v>
      </c>
      <c r="M14" s="12" t="str">
        <f t="shared" si="3"/>
        <v>Tháng 12</v>
      </c>
      <c r="P14" s="45"/>
      <c r="Q14" s="45"/>
    </row>
    <row r="15" spans="1:17" x14ac:dyDescent="0.25">
      <c r="A15" s="12" t="str">
        <f t="shared" ref="A15:M15" si="4">A2</f>
        <v>Dịch vụ Sửa PC</v>
      </c>
      <c r="B15" s="18">
        <f>B2*$P2</f>
        <v>0</v>
      </c>
      <c r="C15" s="18">
        <f t="shared" ref="C15:M15" si="5">C2*$P2</f>
        <v>0</v>
      </c>
      <c r="D15" s="18">
        <f t="shared" si="5"/>
        <v>0</v>
      </c>
      <c r="E15" s="18">
        <f t="shared" si="5"/>
        <v>0</v>
      </c>
      <c r="F15" s="18">
        <f t="shared" si="5"/>
        <v>0</v>
      </c>
      <c r="G15" s="18">
        <f t="shared" si="5"/>
        <v>0</v>
      </c>
      <c r="H15" s="18">
        <f t="shared" si="5"/>
        <v>0</v>
      </c>
      <c r="I15" s="18">
        <f t="shared" si="5"/>
        <v>0</v>
      </c>
      <c r="J15" s="18">
        <f t="shared" si="5"/>
        <v>0</v>
      </c>
      <c r="K15" s="18">
        <f t="shared" si="5"/>
        <v>0</v>
      </c>
      <c r="L15" s="18">
        <f t="shared" si="5"/>
        <v>0</v>
      </c>
      <c r="M15" s="18">
        <f t="shared" si="5"/>
        <v>0</v>
      </c>
    </row>
    <row r="16" spans="1:17" x14ac:dyDescent="0.25">
      <c r="A16" s="12" t="str">
        <f t="shared" ref="A16:M16" si="6">A3</f>
        <v>Dịch vụ Sửa Laptop</v>
      </c>
      <c r="B16" s="18">
        <f>B3*$P3</f>
        <v>0</v>
      </c>
      <c r="C16" s="18">
        <f t="shared" ref="C16:M16" si="7">C3*$P3</f>
        <v>0</v>
      </c>
      <c r="D16" s="18">
        <f t="shared" si="7"/>
        <v>0</v>
      </c>
      <c r="E16" s="18">
        <f t="shared" si="7"/>
        <v>0</v>
      </c>
      <c r="F16" s="18">
        <f t="shared" si="7"/>
        <v>0</v>
      </c>
      <c r="G16" s="18">
        <f t="shared" si="7"/>
        <v>0</v>
      </c>
      <c r="H16" s="18">
        <f t="shared" si="7"/>
        <v>0</v>
      </c>
      <c r="I16" s="18">
        <f t="shared" si="7"/>
        <v>0</v>
      </c>
      <c r="J16" s="18">
        <f t="shared" si="7"/>
        <v>0</v>
      </c>
      <c r="K16" s="18">
        <f t="shared" si="7"/>
        <v>0</v>
      </c>
      <c r="L16" s="18">
        <f t="shared" si="7"/>
        <v>0</v>
      </c>
      <c r="M16" s="18">
        <f t="shared" si="7"/>
        <v>0</v>
      </c>
    </row>
    <row r="17" spans="1:13" x14ac:dyDescent="0.25">
      <c r="A17" s="12" t="str">
        <f t="shared" ref="A17:M17" si="8">A4</f>
        <v>PC (bán)</v>
      </c>
      <c r="B17" s="18">
        <f>B4*$P4</f>
        <v>16000</v>
      </c>
      <c r="C17" s="18">
        <f t="shared" ref="C17:M17" si="9">C4*$P4</f>
        <v>64000</v>
      </c>
      <c r="D17" s="18">
        <f t="shared" si="9"/>
        <v>56000</v>
      </c>
      <c r="E17" s="18">
        <f t="shared" si="9"/>
        <v>80000</v>
      </c>
      <c r="F17" s="18">
        <f t="shared" si="9"/>
        <v>80000</v>
      </c>
      <c r="G17" s="18">
        <f t="shared" si="9"/>
        <v>72000</v>
      </c>
      <c r="H17" s="18">
        <f t="shared" si="9"/>
        <v>40000</v>
      </c>
      <c r="I17" s="18">
        <f t="shared" si="9"/>
        <v>88000</v>
      </c>
      <c r="J17" s="18">
        <f t="shared" si="9"/>
        <v>96000</v>
      </c>
      <c r="K17" s="18">
        <f t="shared" si="9"/>
        <v>120000</v>
      </c>
      <c r="L17" s="18">
        <f t="shared" si="9"/>
        <v>56000</v>
      </c>
      <c r="M17" s="18">
        <f t="shared" si="9"/>
        <v>64000</v>
      </c>
    </row>
    <row r="18" spans="1:13" x14ac:dyDescent="0.25">
      <c r="A18" s="12" t="str">
        <f t="shared" ref="A18:M18" si="10">A5</f>
        <v>Ram</v>
      </c>
      <c r="B18" s="18">
        <f>B5*$P5</f>
        <v>4500</v>
      </c>
      <c r="C18" s="18">
        <f t="shared" ref="C18:M18" si="11">C5*$P5</f>
        <v>13500</v>
      </c>
      <c r="D18" s="18">
        <f t="shared" si="11"/>
        <v>18000</v>
      </c>
      <c r="E18" s="18">
        <f t="shared" si="11"/>
        <v>15300</v>
      </c>
      <c r="F18" s="18">
        <f t="shared" si="11"/>
        <v>18000</v>
      </c>
      <c r="G18" s="18">
        <f t="shared" si="11"/>
        <v>19800</v>
      </c>
      <c r="H18" s="18">
        <f t="shared" si="11"/>
        <v>14400</v>
      </c>
      <c r="I18" s="18">
        <f t="shared" si="11"/>
        <v>16200</v>
      </c>
      <c r="J18" s="18">
        <f t="shared" si="11"/>
        <v>13500</v>
      </c>
      <c r="K18" s="18">
        <f t="shared" si="11"/>
        <v>15300</v>
      </c>
      <c r="L18" s="18">
        <f t="shared" si="11"/>
        <v>9000</v>
      </c>
      <c r="M18" s="18">
        <f t="shared" si="11"/>
        <v>11700</v>
      </c>
    </row>
    <row r="19" spans="1:13" x14ac:dyDescent="0.25">
      <c r="A19" s="12" t="str">
        <f t="shared" ref="A19:M19" si="12">A6</f>
        <v>Ổ cứng</v>
      </c>
      <c r="B19" s="18">
        <f>B6*$P6</f>
        <v>2500</v>
      </c>
      <c r="C19" s="18">
        <f t="shared" ref="C19:M19" si="13">C6*$P6</f>
        <v>25000</v>
      </c>
      <c r="D19" s="18">
        <f t="shared" si="13"/>
        <v>25000</v>
      </c>
      <c r="E19" s="18">
        <f t="shared" si="13"/>
        <v>25000</v>
      </c>
      <c r="F19" s="18">
        <f t="shared" si="13"/>
        <v>17500</v>
      </c>
      <c r="G19" s="18">
        <f t="shared" si="13"/>
        <v>22500</v>
      </c>
      <c r="H19" s="18">
        <f t="shared" si="13"/>
        <v>2500</v>
      </c>
      <c r="I19" s="18">
        <f t="shared" si="13"/>
        <v>25000</v>
      </c>
      <c r="J19" s="18">
        <f t="shared" si="13"/>
        <v>25000</v>
      </c>
      <c r="K19" s="18">
        <f t="shared" si="13"/>
        <v>25000</v>
      </c>
      <c r="L19" s="18">
        <f t="shared" si="13"/>
        <v>17500</v>
      </c>
      <c r="M19" s="18">
        <f t="shared" si="13"/>
        <v>22500</v>
      </c>
    </row>
    <row r="20" spans="1:13" x14ac:dyDescent="0.25">
      <c r="A20" s="12" t="str">
        <f t="shared" ref="A20:M20" si="14">A7</f>
        <v>bàn phím/chuột</v>
      </c>
      <c r="B20" s="18">
        <f>B7*$P7</f>
        <v>3000</v>
      </c>
      <c r="C20" s="18">
        <f t="shared" ref="C20:M20" si="15">C7*$P7</f>
        <v>9000</v>
      </c>
      <c r="D20" s="18">
        <f t="shared" si="15"/>
        <v>15000</v>
      </c>
      <c r="E20" s="18">
        <f t="shared" si="15"/>
        <v>13500</v>
      </c>
      <c r="F20" s="18">
        <f t="shared" si="15"/>
        <v>15000</v>
      </c>
      <c r="G20" s="18">
        <f t="shared" si="15"/>
        <v>16800</v>
      </c>
      <c r="H20" s="18">
        <f t="shared" si="15"/>
        <v>16500</v>
      </c>
      <c r="I20" s="18">
        <f t="shared" si="15"/>
        <v>16800</v>
      </c>
      <c r="J20" s="18">
        <f t="shared" si="15"/>
        <v>13200</v>
      </c>
      <c r="K20" s="18">
        <f t="shared" si="15"/>
        <v>13500</v>
      </c>
      <c r="L20" s="18">
        <f t="shared" si="15"/>
        <v>15000</v>
      </c>
      <c r="M20" s="18">
        <f t="shared" si="15"/>
        <v>12600</v>
      </c>
    </row>
    <row r="21" spans="1:13" x14ac:dyDescent="0.25">
      <c r="A21" s="12" t="str">
        <f t="shared" ref="A21:M21" si="16">A8</f>
        <v>Màn hình</v>
      </c>
      <c r="B21" s="18">
        <f>B8*$P8</f>
        <v>6000</v>
      </c>
      <c r="C21" s="18">
        <f t="shared" ref="C21:M21" si="17">C8*$P8</f>
        <v>18000</v>
      </c>
      <c r="D21" s="18">
        <f t="shared" si="17"/>
        <v>30000</v>
      </c>
      <c r="E21" s="18">
        <f t="shared" si="17"/>
        <v>27000</v>
      </c>
      <c r="F21" s="18">
        <f t="shared" si="17"/>
        <v>33000</v>
      </c>
      <c r="G21" s="18">
        <f t="shared" si="17"/>
        <v>36000</v>
      </c>
      <c r="H21" s="18">
        <f t="shared" si="17"/>
        <v>24000</v>
      </c>
      <c r="I21" s="18">
        <f t="shared" si="17"/>
        <v>30000</v>
      </c>
      <c r="J21" s="18">
        <f t="shared" si="17"/>
        <v>33000</v>
      </c>
      <c r="K21" s="18">
        <f t="shared" si="17"/>
        <v>27000</v>
      </c>
      <c r="L21" s="18">
        <f t="shared" si="17"/>
        <v>21000</v>
      </c>
      <c r="M21" s="18">
        <f t="shared" si="17"/>
        <v>15000</v>
      </c>
    </row>
    <row r="22" spans="1:13" x14ac:dyDescent="0.25">
      <c r="A22" s="12" t="str">
        <f t="shared" ref="A22:M22" si="18">A9</f>
        <v>USB</v>
      </c>
      <c r="B22" s="18">
        <f>B9*$P9</f>
        <v>1400</v>
      </c>
      <c r="C22" s="18">
        <f t="shared" ref="C22:M22" si="19">C9*$P9</f>
        <v>4400</v>
      </c>
      <c r="D22" s="18">
        <f t="shared" si="19"/>
        <v>6000</v>
      </c>
      <c r="E22" s="18">
        <f t="shared" si="19"/>
        <v>4800</v>
      </c>
      <c r="F22" s="18">
        <f t="shared" si="19"/>
        <v>6200</v>
      </c>
      <c r="G22" s="18">
        <f t="shared" si="19"/>
        <v>7000</v>
      </c>
      <c r="H22" s="18">
        <f t="shared" si="19"/>
        <v>5600</v>
      </c>
      <c r="I22" s="18">
        <f t="shared" si="19"/>
        <v>5000</v>
      </c>
      <c r="J22" s="18">
        <f t="shared" si="19"/>
        <v>6000</v>
      </c>
      <c r="K22" s="18">
        <f t="shared" si="19"/>
        <v>6600</v>
      </c>
      <c r="L22" s="18">
        <f t="shared" si="19"/>
        <v>6200</v>
      </c>
      <c r="M22" s="18">
        <f t="shared" si="19"/>
        <v>2400</v>
      </c>
    </row>
    <row r="23" spans="1:13" x14ac:dyDescent="0.25">
      <c r="A23" s="12" t="str">
        <f t="shared" ref="A23:M23" si="20">A10</f>
        <v>Mainboard</v>
      </c>
      <c r="B23" s="18">
        <f>B10*$P10</f>
        <v>2500</v>
      </c>
      <c r="C23" s="18">
        <f t="shared" ref="C23:M23" si="21">C10*$P10</f>
        <v>12500</v>
      </c>
      <c r="D23" s="18">
        <f t="shared" si="21"/>
        <v>12500</v>
      </c>
      <c r="E23" s="18">
        <f t="shared" si="21"/>
        <v>12500</v>
      </c>
      <c r="F23" s="18">
        <f t="shared" si="21"/>
        <v>15000</v>
      </c>
      <c r="G23" s="18">
        <f t="shared" si="21"/>
        <v>22500</v>
      </c>
      <c r="H23" s="18">
        <f t="shared" si="21"/>
        <v>15000</v>
      </c>
      <c r="I23" s="18">
        <f t="shared" si="21"/>
        <v>20000</v>
      </c>
      <c r="J23" s="18">
        <f t="shared" si="21"/>
        <v>20000</v>
      </c>
      <c r="K23" s="18">
        <f t="shared" si="21"/>
        <v>17500</v>
      </c>
      <c r="L23" s="18">
        <f t="shared" si="21"/>
        <v>15000</v>
      </c>
      <c r="M23" s="18">
        <f t="shared" si="21"/>
        <v>10000</v>
      </c>
    </row>
    <row r="24" spans="1:13" x14ac:dyDescent="0.25">
      <c r="A24" s="12" t="str">
        <f t="shared" ref="A24:M24" si="22">A11</f>
        <v>Linh kiện khác (Nguồn, quạt tản nhiệt, GPU,….vv)</v>
      </c>
      <c r="B24" s="18">
        <f>B11*$P11</f>
        <v>25000</v>
      </c>
      <c r="C24" s="18">
        <f t="shared" ref="C24:M24" si="23">C11*$P11</f>
        <v>47500</v>
      </c>
      <c r="D24" s="18">
        <f t="shared" si="23"/>
        <v>50000</v>
      </c>
      <c r="E24" s="18">
        <f t="shared" si="23"/>
        <v>42500</v>
      </c>
      <c r="F24" s="18">
        <f t="shared" si="23"/>
        <v>45000</v>
      </c>
      <c r="G24" s="18">
        <f t="shared" si="23"/>
        <v>47500</v>
      </c>
      <c r="H24" s="18">
        <f t="shared" si="23"/>
        <v>42500</v>
      </c>
      <c r="I24" s="18">
        <f t="shared" si="23"/>
        <v>47500</v>
      </c>
      <c r="J24" s="18">
        <f t="shared" si="23"/>
        <v>40000</v>
      </c>
      <c r="K24" s="18">
        <f t="shared" si="23"/>
        <v>50000</v>
      </c>
      <c r="L24" s="18">
        <f t="shared" si="23"/>
        <v>45000</v>
      </c>
      <c r="M24" s="18">
        <f t="shared" si="23"/>
        <v>35000</v>
      </c>
    </row>
    <row r="25" spans="1:13" x14ac:dyDescent="0.25">
      <c r="A25" s="19" t="s">
        <v>102</v>
      </c>
      <c r="B25" s="20">
        <f>SUM(B15:B24)</f>
        <v>60900</v>
      </c>
      <c r="C25" s="20">
        <f t="shared" ref="C25:M25" si="24">SUM(C15:C24)</f>
        <v>193900</v>
      </c>
      <c r="D25" s="20">
        <f t="shared" si="24"/>
        <v>212500</v>
      </c>
      <c r="E25" s="20">
        <f t="shared" si="24"/>
        <v>220600</v>
      </c>
      <c r="F25" s="20">
        <f t="shared" si="24"/>
        <v>229700</v>
      </c>
      <c r="G25" s="20">
        <f t="shared" si="24"/>
        <v>244100</v>
      </c>
      <c r="H25" s="20">
        <f t="shared" si="24"/>
        <v>160500</v>
      </c>
      <c r="I25" s="20">
        <f t="shared" si="24"/>
        <v>248500</v>
      </c>
      <c r="J25" s="20">
        <f t="shared" si="24"/>
        <v>246700</v>
      </c>
      <c r="K25" s="20">
        <f t="shared" si="24"/>
        <v>274900</v>
      </c>
      <c r="L25" s="20">
        <f t="shared" si="24"/>
        <v>184700</v>
      </c>
      <c r="M25" s="20">
        <f t="shared" si="24"/>
        <v>173200</v>
      </c>
    </row>
  </sheetData>
  <mergeCells count="1">
    <mergeCell ref="A13:M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5" sqref="B5"/>
    </sheetView>
  </sheetViews>
  <sheetFormatPr defaultRowHeight="15" x14ac:dyDescent="0.25"/>
  <cols>
    <col min="1" max="1" width="25.5703125" bestFit="1" customWidth="1"/>
    <col min="2" max="2" width="24.42578125" style="7" bestFit="1" customWidth="1"/>
    <col min="3" max="3" width="22.28515625" style="7" bestFit="1" customWidth="1"/>
    <col min="4" max="4" width="17" bestFit="1" customWidth="1"/>
    <col min="6" max="6" width="17.5703125" bestFit="1" customWidth="1"/>
    <col min="8" max="8" width="29" bestFit="1" customWidth="1"/>
    <col min="9" max="9" width="23.85546875" bestFit="1" customWidth="1"/>
  </cols>
  <sheetData>
    <row r="1" spans="1:9" x14ac:dyDescent="0.25">
      <c r="A1" s="9" t="s">
        <v>13</v>
      </c>
      <c r="B1" s="15" t="s">
        <v>14</v>
      </c>
      <c r="C1" s="15" t="s">
        <v>34</v>
      </c>
      <c r="D1" s="9" t="s">
        <v>30</v>
      </c>
      <c r="F1" s="9" t="s">
        <v>35</v>
      </c>
    </row>
    <row r="2" spans="1:9" x14ac:dyDescent="0.25">
      <c r="A2" s="9" t="s">
        <v>15</v>
      </c>
      <c r="B2" s="16">
        <f>1500/12</f>
        <v>125</v>
      </c>
      <c r="C2" s="16"/>
      <c r="D2" s="10"/>
    </row>
    <row r="3" spans="1:9" x14ac:dyDescent="0.25">
      <c r="A3" s="9" t="s">
        <v>16</v>
      </c>
      <c r="B3" s="16">
        <f>300</f>
        <v>300</v>
      </c>
      <c r="C3" s="16"/>
      <c r="D3" s="10"/>
      <c r="F3" s="12" t="s">
        <v>39</v>
      </c>
      <c r="G3" s="9" t="s">
        <v>36</v>
      </c>
      <c r="H3" s="9" t="s">
        <v>37</v>
      </c>
      <c r="I3" s="9" t="s">
        <v>38</v>
      </c>
    </row>
    <row r="4" spans="1:9" x14ac:dyDescent="0.25">
      <c r="A4" s="9" t="s">
        <v>17</v>
      </c>
      <c r="B4" s="16">
        <f>30</f>
        <v>30</v>
      </c>
      <c r="C4" s="16"/>
      <c r="D4" s="10"/>
      <c r="F4" s="17" t="str">
        <f>$A$14</f>
        <v>Tiền cơ sở vật chất</v>
      </c>
      <c r="G4" s="18">
        <f>$C$14</f>
        <v>10000</v>
      </c>
      <c r="H4" s="18">
        <v>4</v>
      </c>
      <c r="I4" s="18">
        <f>G4/(H4*12)</f>
        <v>208.33333333333334</v>
      </c>
    </row>
    <row r="5" spans="1:9" x14ac:dyDescent="0.25">
      <c r="A5" s="9" t="s">
        <v>18</v>
      </c>
      <c r="B5" s="16">
        <f>3000</f>
        <v>3000</v>
      </c>
      <c r="C5" s="16"/>
      <c r="D5" s="10"/>
      <c r="F5" s="7"/>
      <c r="G5" s="7"/>
      <c r="H5" s="17" t="s">
        <v>43</v>
      </c>
      <c r="I5" s="18">
        <f>SUM(I4)</f>
        <v>208.33333333333334</v>
      </c>
    </row>
    <row r="6" spans="1:9" x14ac:dyDescent="0.25">
      <c r="A6" s="9" t="s">
        <v>19</v>
      </c>
      <c r="B6" s="16">
        <f>6000*4</f>
        <v>24000</v>
      </c>
      <c r="C6" s="16"/>
      <c r="D6" s="10" t="s">
        <v>33</v>
      </c>
    </row>
    <row r="7" spans="1:9" x14ac:dyDescent="0.25">
      <c r="A7" s="9" t="s">
        <v>20</v>
      </c>
      <c r="B7" s="16">
        <f>100</f>
        <v>100</v>
      </c>
      <c r="C7" s="16"/>
      <c r="D7" s="10"/>
    </row>
    <row r="8" spans="1:9" x14ac:dyDescent="0.25">
      <c r="A8" s="9" t="s">
        <v>22</v>
      </c>
      <c r="B8" s="16">
        <f>1000/12</f>
        <v>83.333333333333329</v>
      </c>
      <c r="C8" s="16"/>
      <c r="D8" s="10"/>
    </row>
    <row r="9" spans="1:9" x14ac:dyDescent="0.25">
      <c r="A9" s="9" t="s">
        <v>23</v>
      </c>
      <c r="B9" s="16">
        <f>250</f>
        <v>250</v>
      </c>
      <c r="C9" s="16"/>
      <c r="D9" s="10"/>
    </row>
    <row r="10" spans="1:9" x14ac:dyDescent="0.25">
      <c r="A10" s="9" t="s">
        <v>24</v>
      </c>
      <c r="B10" s="16">
        <f>20000</f>
        <v>20000</v>
      </c>
      <c r="C10" s="16"/>
      <c r="D10" s="10"/>
    </row>
    <row r="11" spans="1:9" x14ac:dyDescent="0.25">
      <c r="A11" s="9" t="s">
        <v>21</v>
      </c>
      <c r="B11" s="16"/>
      <c r="C11" s="16">
        <f>1000</f>
        <v>1000</v>
      </c>
      <c r="D11" s="10"/>
    </row>
    <row r="12" spans="1:9" x14ac:dyDescent="0.25">
      <c r="A12" s="9" t="s">
        <v>25</v>
      </c>
      <c r="B12" s="16"/>
      <c r="C12" s="16">
        <f>500*2</f>
        <v>1000</v>
      </c>
      <c r="D12" s="10" t="s">
        <v>31</v>
      </c>
    </row>
    <row r="13" spans="1:9" x14ac:dyDescent="0.25">
      <c r="A13" s="9" t="s">
        <v>26</v>
      </c>
      <c r="B13" s="16"/>
      <c r="C13" s="16">
        <f>150*2</f>
        <v>300</v>
      </c>
      <c r="D13" s="10"/>
    </row>
    <row r="14" spans="1:9" x14ac:dyDescent="0.25">
      <c r="A14" s="9" t="s">
        <v>27</v>
      </c>
      <c r="B14" s="16"/>
      <c r="C14" s="16">
        <f>10000</f>
        <v>10000</v>
      </c>
      <c r="D14" s="10" t="s">
        <v>32</v>
      </c>
    </row>
    <row r="15" spans="1:9" x14ac:dyDescent="0.25">
      <c r="B15" s="16">
        <f>SUM(B2:B10)</f>
        <v>47888.333333333328</v>
      </c>
      <c r="C15" s="16">
        <f>SUM(C12:C14)</f>
        <v>11300</v>
      </c>
      <c r="D15" s="10"/>
    </row>
    <row r="17" spans="13:13" x14ac:dyDescent="0.25">
      <c r="M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D1" workbookViewId="0">
      <selection activeCell="N12" sqref="N12"/>
    </sheetView>
  </sheetViews>
  <sheetFormatPr defaultRowHeight="15" x14ac:dyDescent="0.25"/>
  <cols>
    <col min="1" max="1" width="29" bestFit="1" customWidth="1"/>
    <col min="2" max="2" width="12" style="7" bestFit="1" customWidth="1"/>
    <col min="3" max="3" width="18.42578125" customWidth="1"/>
    <col min="5" max="5" width="44.5703125" bestFit="1" customWidth="1"/>
    <col min="6" max="6" width="7.85546875" bestFit="1" customWidth="1"/>
    <col min="8" max="8" width="44.5703125" bestFit="1" customWidth="1"/>
    <col min="9" max="9" width="17.42578125" style="7" bestFit="1" customWidth="1"/>
    <col min="10" max="10" width="18" bestFit="1" customWidth="1"/>
    <col min="11" max="11" width="27.42578125" bestFit="1" customWidth="1"/>
    <col min="12" max="12" width="20" style="7" bestFit="1" customWidth="1"/>
    <col min="13" max="13" width="19.140625" style="7" bestFit="1" customWidth="1"/>
    <col min="14" max="14" width="15.85546875" style="7" bestFit="1" customWidth="1"/>
  </cols>
  <sheetData>
    <row r="1" spans="1:14" x14ac:dyDescent="0.25">
      <c r="A1" s="39" t="s">
        <v>40</v>
      </c>
      <c r="B1" s="39"/>
      <c r="C1" s="39"/>
      <c r="D1" s="14"/>
      <c r="E1" s="40" t="s">
        <v>45</v>
      </c>
      <c r="F1" s="41"/>
      <c r="H1" s="39" t="s">
        <v>51</v>
      </c>
      <c r="I1" s="39"/>
      <c r="J1" s="39"/>
      <c r="K1" s="39"/>
      <c r="L1" s="39"/>
      <c r="M1" s="39"/>
      <c r="N1" s="39"/>
    </row>
    <row r="2" spans="1:14" s="13" customFormat="1" x14ac:dyDescent="0.25">
      <c r="A2" s="9" t="s">
        <v>13</v>
      </c>
      <c r="B2" s="17" t="s">
        <v>41</v>
      </c>
      <c r="C2" s="12" t="s">
        <v>42</v>
      </c>
      <c r="E2" s="12" t="str">
        <f>'Uoc luong san pham ban ra'!A1</f>
        <v>Sản phẩm</v>
      </c>
      <c r="F2" s="12" t="s">
        <v>46</v>
      </c>
      <c r="H2" s="12" t="str">
        <f>'Uoc luong san pham ban ra'!A1</f>
        <v>Sản phẩm</v>
      </c>
      <c r="I2" s="17" t="s">
        <v>52</v>
      </c>
      <c r="J2" s="17" t="str">
        <f>'Uoc luong san pham ban ra'!P1</f>
        <v>Giá nhập sản phẩm</v>
      </c>
      <c r="K2" s="12" t="str">
        <f>'Uoc luong san pham ban ra'!N1</f>
        <v>Bình quân bán được(1 tháng)</v>
      </c>
      <c r="L2" s="17" t="s">
        <v>56</v>
      </c>
      <c r="M2" s="17" t="s">
        <v>57</v>
      </c>
      <c r="N2" s="17" t="s">
        <v>58</v>
      </c>
    </row>
    <row r="3" spans="1:14" x14ac:dyDescent="0.25">
      <c r="A3" s="11" t="str">
        <f>'Von dau tu &amp; von luu dong'!$A$2</f>
        <v>Bảo hiểm</v>
      </c>
      <c r="B3" s="18">
        <f>'Von dau tu &amp; von luu dong'!$B$2</f>
        <v>125</v>
      </c>
      <c r="C3" s="11"/>
      <c r="E3" s="11" t="str">
        <f>'Uoc luong san pham ban ra'!A2</f>
        <v>Dịch vụ Sửa PC</v>
      </c>
      <c r="F3" s="11">
        <v>5</v>
      </c>
      <c r="H3" s="11" t="str">
        <f>'Uoc luong san pham ban ra'!A2</f>
        <v>Dịch vụ Sửa PC</v>
      </c>
      <c r="I3" s="18">
        <f>_xlfn.FLOOR.MATH(B$12 * F3 / 100)</f>
        <v>1404</v>
      </c>
      <c r="J3" s="18">
        <f>'Uoc luong san pham ban ra'!P2</f>
        <v>0</v>
      </c>
      <c r="K3" s="11">
        <f>'Uoc luong san pham ban ra'!N2</f>
        <v>37</v>
      </c>
      <c r="L3" s="18">
        <f>_xlfn.FLOOR.MATH(J3+I3/K3)</f>
        <v>37</v>
      </c>
      <c r="M3" s="18">
        <v>80</v>
      </c>
      <c r="N3" s="18">
        <f>SUM(M3+L3)</f>
        <v>117</v>
      </c>
    </row>
    <row r="4" spans="1:14" x14ac:dyDescent="0.25">
      <c r="A4" s="11" t="str">
        <f>'Von dau tu &amp; von luu dong'!$A$3</f>
        <v>Tiền điện</v>
      </c>
      <c r="B4" s="18">
        <f>'Von dau tu &amp; von luu dong'!$B$3</f>
        <v>300</v>
      </c>
      <c r="C4" s="11"/>
      <c r="E4" s="11" t="str">
        <f>'Uoc luong san pham ban ra'!A3</f>
        <v>Dịch vụ Sửa Laptop</v>
      </c>
      <c r="F4" s="11">
        <v>5</v>
      </c>
      <c r="H4" s="11" t="str">
        <f>'Uoc luong san pham ban ra'!A3</f>
        <v>Dịch vụ Sửa Laptop</v>
      </c>
      <c r="I4" s="18">
        <f t="shared" ref="I4:I12" si="0">_xlfn.FLOOR.MATH(B$12 * F4 / 100)</f>
        <v>1404</v>
      </c>
      <c r="J4" s="18">
        <f>'Uoc luong san pham ban ra'!P3</f>
        <v>0</v>
      </c>
      <c r="K4" s="11">
        <f>'Uoc luong san pham ban ra'!N3</f>
        <v>36</v>
      </c>
      <c r="L4" s="18">
        <f t="shared" ref="L4:L12" si="1">_xlfn.FLOOR.MATH(J4+I4/K4)</f>
        <v>39</v>
      </c>
      <c r="M4" s="18">
        <v>80</v>
      </c>
      <c r="N4" s="18">
        <f t="shared" ref="N4:N12" si="2">SUM(M4+L4)</f>
        <v>119</v>
      </c>
    </row>
    <row r="5" spans="1:14" x14ac:dyDescent="0.25">
      <c r="A5" s="11" t="str">
        <f>'Von dau tu &amp; von luu dong'!A4</f>
        <v>Tiền nước</v>
      </c>
      <c r="B5" s="18">
        <f>'Von dau tu &amp; von luu dong'!B4</f>
        <v>30</v>
      </c>
      <c r="C5" s="11"/>
      <c r="E5" s="11" t="str">
        <f>'Uoc luong san pham ban ra'!A4</f>
        <v>PC (bán)</v>
      </c>
      <c r="F5" s="11">
        <v>20</v>
      </c>
      <c r="H5" s="11" t="str">
        <f>'Uoc luong san pham ban ra'!A4</f>
        <v>PC (bán)</v>
      </c>
      <c r="I5" s="18">
        <f t="shared" si="0"/>
        <v>5619</v>
      </c>
      <c r="J5" s="18">
        <f>'Uoc luong san pham ban ra'!P4</f>
        <v>8000</v>
      </c>
      <c r="K5" s="11">
        <f>'Uoc luong san pham ban ra'!N4</f>
        <v>8</v>
      </c>
      <c r="L5" s="18">
        <f>_xlfn.FLOOR.MATH(J5+I5/K5)</f>
        <v>8702</v>
      </c>
      <c r="M5" s="18">
        <f>_xlfn.FLOOR.MATH(L5*3%)</f>
        <v>261</v>
      </c>
      <c r="N5" s="18">
        <f t="shared" si="2"/>
        <v>8963</v>
      </c>
    </row>
    <row r="6" spans="1:14" x14ac:dyDescent="0.25">
      <c r="A6" s="11" t="str">
        <f>'Von dau tu &amp; von luu dong'!A5</f>
        <v>Tiền trọ</v>
      </c>
      <c r="B6" s="18">
        <f>'Von dau tu &amp; von luu dong'!B5</f>
        <v>3000</v>
      </c>
      <c r="C6" s="11"/>
      <c r="E6" s="11" t="str">
        <f>'Uoc luong san pham ban ra'!A5</f>
        <v>Ram</v>
      </c>
      <c r="F6" s="11">
        <v>10</v>
      </c>
      <c r="H6" s="11" t="str">
        <f>'Uoc luong san pham ban ra'!A5</f>
        <v>Ram</v>
      </c>
      <c r="I6" s="18">
        <f t="shared" si="0"/>
        <v>2809</v>
      </c>
      <c r="J6" s="18">
        <f>'Uoc luong san pham ban ra'!P5</f>
        <v>900</v>
      </c>
      <c r="K6" s="11">
        <f>'Uoc luong san pham ban ra'!N5</f>
        <v>15</v>
      </c>
      <c r="L6" s="18">
        <f t="shared" si="1"/>
        <v>1087</v>
      </c>
      <c r="M6" s="18">
        <f>_xlfn.FLOOR.MATH(L6*5%)</f>
        <v>54</v>
      </c>
      <c r="N6" s="18">
        <f t="shared" si="2"/>
        <v>1141</v>
      </c>
    </row>
    <row r="7" spans="1:14" x14ac:dyDescent="0.25">
      <c r="A7" s="11" t="str">
        <f>'Von dau tu &amp; von luu dong'!A6</f>
        <v>Lương thành viên</v>
      </c>
      <c r="B7" s="18">
        <f>'Von dau tu &amp; von luu dong'!B6</f>
        <v>24000</v>
      </c>
      <c r="C7" s="11"/>
      <c r="E7" s="11" t="str">
        <f>'Uoc luong san pham ban ra'!A6</f>
        <v>Ổ cứng</v>
      </c>
      <c r="F7" s="11">
        <v>10</v>
      </c>
      <c r="H7" s="11" t="str">
        <f>'Uoc luong san pham ban ra'!A6</f>
        <v>Ổ cứng</v>
      </c>
      <c r="I7" s="18">
        <f t="shared" si="0"/>
        <v>2809</v>
      </c>
      <c r="J7" s="18">
        <f>'Uoc luong san pham ban ra'!P6</f>
        <v>2500</v>
      </c>
      <c r="K7" s="11">
        <f>'Uoc luong san pham ban ra'!N6</f>
        <v>7</v>
      </c>
      <c r="L7" s="18">
        <f t="shared" si="1"/>
        <v>2901</v>
      </c>
      <c r="M7" s="18">
        <f>_xlfn.FLOOR.MATH(L7*4%)</f>
        <v>116</v>
      </c>
      <c r="N7" s="18">
        <f t="shared" si="2"/>
        <v>3017</v>
      </c>
    </row>
    <row r="8" spans="1:14" x14ac:dyDescent="0.25">
      <c r="A8" s="11" t="str">
        <f>'Von dau tu &amp; von luu dong'!A7</f>
        <v>Tiền điện thoại</v>
      </c>
      <c r="B8" s="18">
        <f>'Von dau tu &amp; von luu dong'!B7</f>
        <v>100</v>
      </c>
      <c r="C8" s="11"/>
      <c r="E8" s="11" t="str">
        <f>'Uoc luong san pham ban ra'!A7</f>
        <v>bàn phím/chuột</v>
      </c>
      <c r="F8" s="11">
        <v>10</v>
      </c>
      <c r="H8" s="11" t="str">
        <f>'Uoc luong san pham ban ra'!A7</f>
        <v>bàn phím/chuột</v>
      </c>
      <c r="I8" s="18">
        <f t="shared" si="0"/>
        <v>2809</v>
      </c>
      <c r="J8" s="18">
        <f>'Uoc luong san pham ban ra'!P7</f>
        <v>300</v>
      </c>
      <c r="K8" s="11">
        <f>'Uoc luong san pham ban ra'!N7</f>
        <v>44</v>
      </c>
      <c r="L8" s="18">
        <f t="shared" si="1"/>
        <v>363</v>
      </c>
      <c r="M8" s="18">
        <v>50</v>
      </c>
      <c r="N8" s="18">
        <f t="shared" si="2"/>
        <v>413</v>
      </c>
    </row>
    <row r="9" spans="1:14" x14ac:dyDescent="0.25">
      <c r="A9" s="11" t="str">
        <f>'Von dau tu &amp; von luu dong'!A8</f>
        <v>Thuế</v>
      </c>
      <c r="B9" s="18">
        <f>'Von dau tu &amp; von luu dong'!B8</f>
        <v>83.333333333333329</v>
      </c>
      <c r="C9" s="11"/>
      <c r="E9" s="11" t="str">
        <f>'Uoc luong san pham ban ra'!A8</f>
        <v>Màn hình</v>
      </c>
      <c r="F9" s="11">
        <v>10</v>
      </c>
      <c r="H9" s="11" t="str">
        <f>'Uoc luong san pham ban ra'!A8</f>
        <v>Màn hình</v>
      </c>
      <c r="I9" s="18">
        <f t="shared" si="0"/>
        <v>2809</v>
      </c>
      <c r="J9" s="18">
        <f>'Uoc luong san pham ban ra'!P8</f>
        <v>3000</v>
      </c>
      <c r="K9" s="11">
        <f>'Uoc luong san pham ban ra'!N8</f>
        <v>8</v>
      </c>
      <c r="L9" s="18">
        <f t="shared" si="1"/>
        <v>3351</v>
      </c>
      <c r="M9" s="18">
        <f>_xlfn.FLOOR.MATH(L9*5%)</f>
        <v>167</v>
      </c>
      <c r="N9" s="18">
        <f t="shared" si="2"/>
        <v>3518</v>
      </c>
    </row>
    <row r="10" spans="1:14" x14ac:dyDescent="0.25">
      <c r="A10" s="11" t="str">
        <f>'Von dau tu &amp; von luu dong'!A9</f>
        <v>Tiền mạng</v>
      </c>
      <c r="B10" s="18">
        <f>'Von dau tu &amp; von luu dong'!B9</f>
        <v>250</v>
      </c>
      <c r="C10" s="11"/>
      <c r="E10" s="11" t="str">
        <f>'Uoc luong san pham ban ra'!A9</f>
        <v>USB</v>
      </c>
      <c r="F10" s="11">
        <v>5</v>
      </c>
      <c r="H10" s="11" t="str">
        <f>'Uoc luong san pham ban ra'!A9</f>
        <v>USB</v>
      </c>
      <c r="I10" s="18">
        <f t="shared" si="0"/>
        <v>1404</v>
      </c>
      <c r="J10" s="18">
        <f>'Uoc luong san pham ban ra'!P9</f>
        <v>200</v>
      </c>
      <c r="K10" s="11">
        <f>'Uoc luong san pham ban ra'!N9</f>
        <v>25</v>
      </c>
      <c r="L10" s="18">
        <f t="shared" si="1"/>
        <v>256</v>
      </c>
      <c r="M10" s="18">
        <v>20</v>
      </c>
      <c r="N10" s="18">
        <f t="shared" si="2"/>
        <v>276</v>
      </c>
    </row>
    <row r="11" spans="1:14" x14ac:dyDescent="0.25">
      <c r="A11" s="11" t="str">
        <f>'Von dau tu &amp; von luu dong'!$H$5</f>
        <v>Tổng tiền khấu hao hàng tháng</v>
      </c>
      <c r="B11" s="18">
        <f>'Von dau tu &amp; von luu dong'!$I$5</f>
        <v>208.33333333333334</v>
      </c>
      <c r="C11" s="11"/>
      <c r="E11" s="11" t="str">
        <f>'Uoc luong san pham ban ra'!A10</f>
        <v>Mainboard</v>
      </c>
      <c r="F11" s="11">
        <v>10</v>
      </c>
      <c r="H11" s="11" t="str">
        <f>'Uoc luong san pham ban ra'!A10</f>
        <v>Mainboard</v>
      </c>
      <c r="I11" s="18">
        <f t="shared" si="0"/>
        <v>2809</v>
      </c>
      <c r="J11" s="18">
        <f>'Uoc luong san pham ban ra'!P10</f>
        <v>2500</v>
      </c>
      <c r="K11" s="11">
        <f>'Uoc luong san pham ban ra'!N10</f>
        <v>5</v>
      </c>
      <c r="L11" s="18">
        <f t="shared" si="1"/>
        <v>3061</v>
      </c>
      <c r="M11" s="18">
        <f>_xlfn.FLOOR.MATH(L11*5%)</f>
        <v>153</v>
      </c>
      <c r="N11" s="18">
        <f t="shared" si="2"/>
        <v>3214</v>
      </c>
    </row>
    <row r="12" spans="1:14" x14ac:dyDescent="0.25">
      <c r="A12" s="19" t="s">
        <v>44</v>
      </c>
      <c r="B12" s="20">
        <f>SUM(B3:B11)</f>
        <v>28096.666666666664</v>
      </c>
      <c r="C12" s="21"/>
      <c r="E12" s="11" t="str">
        <f>'Uoc luong san pham ban ra'!A11</f>
        <v>Linh kiện khác (Nguồn, quạt tản nhiệt, GPU,….vv)</v>
      </c>
      <c r="F12" s="11">
        <v>15</v>
      </c>
      <c r="H12" s="11" t="str">
        <f>'Uoc luong san pham ban ra'!A11</f>
        <v>Linh kiện khác (Nguồn, quạt tản nhiệt, GPU,….vv)</v>
      </c>
      <c r="I12" s="18">
        <f t="shared" si="0"/>
        <v>4214</v>
      </c>
      <c r="J12" s="18">
        <f>'Uoc luong san pham ban ra'!P11</f>
        <v>2500</v>
      </c>
      <c r="K12" s="11">
        <f>'Uoc luong san pham ban ra'!N11</f>
        <v>17</v>
      </c>
      <c r="L12" s="18">
        <f t="shared" si="1"/>
        <v>2747</v>
      </c>
      <c r="M12" s="18">
        <f>_xlfn.FLOOR.MATH(L12*5%)</f>
        <v>137</v>
      </c>
      <c r="N12" s="18">
        <f t="shared" si="2"/>
        <v>2884</v>
      </c>
    </row>
    <row r="13" spans="1:14" x14ac:dyDescent="0.25">
      <c r="E13" s="19" t="s">
        <v>50</v>
      </c>
      <c r="F13" s="19">
        <f>SUM(F3:F12)</f>
        <v>100</v>
      </c>
    </row>
  </sheetData>
  <mergeCells count="3">
    <mergeCell ref="A1:C1"/>
    <mergeCell ref="E1:F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I31" sqref="I31"/>
    </sheetView>
  </sheetViews>
  <sheetFormatPr defaultRowHeight="15" x14ac:dyDescent="0.25"/>
  <cols>
    <col min="1" max="1" width="45" style="13" bestFit="1" customWidth="1"/>
    <col min="2" max="2" width="34" bestFit="1" customWidth="1"/>
    <col min="3" max="14" width="9.140625" style="7"/>
  </cols>
  <sheetData>
    <row r="1" spans="1:14" s="35" customFormat="1" ht="16.5" customHeight="1" thickBot="1" x14ac:dyDescent="0.3">
      <c r="A1" s="33" t="s">
        <v>12</v>
      </c>
      <c r="B1" s="33" t="s">
        <v>39</v>
      </c>
      <c r="C1" s="34" t="s">
        <v>83</v>
      </c>
      <c r="D1" s="34" t="s">
        <v>84</v>
      </c>
      <c r="E1" s="34" t="s">
        <v>85</v>
      </c>
      <c r="F1" s="34" t="s">
        <v>86</v>
      </c>
      <c r="G1" s="34" t="s">
        <v>87</v>
      </c>
      <c r="H1" s="34" t="s">
        <v>88</v>
      </c>
      <c r="I1" s="34" t="s">
        <v>89</v>
      </c>
      <c r="J1" s="34" t="s">
        <v>90</v>
      </c>
      <c r="K1" s="34" t="s">
        <v>91</v>
      </c>
      <c r="L1" s="34" t="s">
        <v>92</v>
      </c>
      <c r="M1" s="34" t="s">
        <v>93</v>
      </c>
      <c r="N1" s="34" t="s">
        <v>94</v>
      </c>
    </row>
    <row r="2" spans="1:14" s="27" customFormat="1" ht="15" customHeight="1" x14ac:dyDescent="0.25">
      <c r="A2" s="42" t="str">
        <f>'Uoc luong san pham ban ra'!A2</f>
        <v>Dịch vụ Sửa PC</v>
      </c>
      <c r="B2" s="26" t="s">
        <v>79</v>
      </c>
      <c r="C2" s="31">
        <f>'Uoc luong san pham ban ra'!B2</f>
        <v>8</v>
      </c>
      <c r="D2" s="31">
        <f>'Uoc luong san pham ban ra'!C2</f>
        <v>20</v>
      </c>
      <c r="E2" s="31">
        <f>'Uoc luong san pham ban ra'!D2</f>
        <v>40</v>
      </c>
      <c r="F2" s="31">
        <f>'Uoc luong san pham ban ra'!E2</f>
        <v>41</v>
      </c>
      <c r="G2" s="31">
        <f>'Uoc luong san pham ban ra'!F2</f>
        <v>37</v>
      </c>
      <c r="H2" s="31">
        <f>'Uoc luong san pham ban ra'!G2</f>
        <v>45</v>
      </c>
      <c r="I2" s="31">
        <f>'Uoc luong san pham ban ra'!H2</f>
        <v>45</v>
      </c>
      <c r="J2" s="31">
        <f>'Uoc luong san pham ban ra'!I2</f>
        <v>40</v>
      </c>
      <c r="K2" s="31">
        <f>'Uoc luong san pham ban ra'!J2</f>
        <v>42</v>
      </c>
      <c r="L2" s="31">
        <f>'Uoc luong san pham ban ra'!K2</f>
        <v>39</v>
      </c>
      <c r="M2" s="31">
        <f>'Uoc luong san pham ban ra'!L2</f>
        <v>45</v>
      </c>
      <c r="N2" s="31">
        <f>'Uoc luong san pham ban ra'!M2</f>
        <v>50</v>
      </c>
    </row>
    <row r="3" spans="1:14" s="28" customFormat="1" x14ac:dyDescent="0.25">
      <c r="A3" s="43"/>
      <c r="B3" s="11" t="s">
        <v>80</v>
      </c>
      <c r="C3" s="18">
        <f>'Chi phi &amp; Gia thanh'!$N$3</f>
        <v>117</v>
      </c>
      <c r="D3" s="18">
        <f>'Chi phi &amp; Gia thanh'!$N$3</f>
        <v>117</v>
      </c>
      <c r="E3" s="18">
        <f>'Chi phi &amp; Gia thanh'!$N$3</f>
        <v>117</v>
      </c>
      <c r="F3" s="18">
        <f>'Chi phi &amp; Gia thanh'!$N$3</f>
        <v>117</v>
      </c>
      <c r="G3" s="18">
        <f>'Chi phi &amp; Gia thanh'!$N$3</f>
        <v>117</v>
      </c>
      <c r="H3" s="18">
        <f>'Chi phi &amp; Gia thanh'!$N$3</f>
        <v>117</v>
      </c>
      <c r="I3" s="18">
        <f>'Chi phi &amp; Gia thanh'!$N$3</f>
        <v>117</v>
      </c>
      <c r="J3" s="18">
        <f>'Chi phi &amp; Gia thanh'!$N$3</f>
        <v>117</v>
      </c>
      <c r="K3" s="18">
        <f>'Chi phi &amp; Gia thanh'!$N$3</f>
        <v>117</v>
      </c>
      <c r="L3" s="18">
        <f>'Chi phi &amp; Gia thanh'!$N$3</f>
        <v>117</v>
      </c>
      <c r="M3" s="18">
        <f>'Chi phi &amp; Gia thanh'!$N$3</f>
        <v>117</v>
      </c>
      <c r="N3" s="18">
        <f>'Chi phi &amp; Gia thanh'!$N$3</f>
        <v>117</v>
      </c>
    </row>
    <row r="4" spans="1:14" s="30" customFormat="1" ht="15.75" thickBot="1" x14ac:dyDescent="0.3">
      <c r="A4" s="44"/>
      <c r="B4" s="29" t="s">
        <v>81</v>
      </c>
      <c r="C4" s="32">
        <f>C2*C3</f>
        <v>936</v>
      </c>
      <c r="D4" s="32">
        <f t="shared" ref="D4:N4" si="0">D2*D3</f>
        <v>2340</v>
      </c>
      <c r="E4" s="32">
        <f t="shared" si="0"/>
        <v>4680</v>
      </c>
      <c r="F4" s="32">
        <f t="shared" si="0"/>
        <v>4797</v>
      </c>
      <c r="G4" s="32">
        <f t="shared" si="0"/>
        <v>4329</v>
      </c>
      <c r="H4" s="32">
        <f t="shared" si="0"/>
        <v>5265</v>
      </c>
      <c r="I4" s="32">
        <f t="shared" si="0"/>
        <v>5265</v>
      </c>
      <c r="J4" s="32">
        <f t="shared" si="0"/>
        <v>4680</v>
      </c>
      <c r="K4" s="32">
        <f t="shared" si="0"/>
        <v>4914</v>
      </c>
      <c r="L4" s="32">
        <f t="shared" si="0"/>
        <v>4563</v>
      </c>
      <c r="M4" s="32">
        <f t="shared" si="0"/>
        <v>5265</v>
      </c>
      <c r="N4" s="32">
        <f t="shared" si="0"/>
        <v>5850</v>
      </c>
    </row>
    <row r="5" spans="1:14" s="27" customFormat="1" x14ac:dyDescent="0.25">
      <c r="A5" s="42" t="str">
        <f>'Uoc luong san pham ban ra'!$A$3</f>
        <v>Dịch vụ Sửa Laptop</v>
      </c>
      <c r="B5" s="26" t="s">
        <v>79</v>
      </c>
      <c r="C5" s="31">
        <f>'Uoc luong san pham ban ra'!B3</f>
        <v>13</v>
      </c>
      <c r="D5" s="31">
        <f>'Uoc luong san pham ban ra'!C3</f>
        <v>16</v>
      </c>
      <c r="E5" s="31">
        <f>'Uoc luong san pham ban ra'!D3</f>
        <v>55</v>
      </c>
      <c r="F5" s="31">
        <f>'Uoc luong san pham ban ra'!E3</f>
        <v>50</v>
      </c>
      <c r="G5" s="31">
        <f>'Uoc luong san pham ban ra'!F3</f>
        <v>37</v>
      </c>
      <c r="H5" s="31">
        <f>'Uoc luong san pham ban ra'!G3</f>
        <v>35</v>
      </c>
      <c r="I5" s="31">
        <f>'Uoc luong san pham ban ra'!H3</f>
        <v>33</v>
      </c>
      <c r="J5" s="31">
        <f>'Uoc luong san pham ban ra'!I3</f>
        <v>40</v>
      </c>
      <c r="K5" s="31">
        <f>'Uoc luong san pham ban ra'!J3</f>
        <v>42</v>
      </c>
      <c r="L5" s="31">
        <f>'Uoc luong san pham ban ra'!K3</f>
        <v>41</v>
      </c>
      <c r="M5" s="31">
        <f>'Uoc luong san pham ban ra'!L3</f>
        <v>37</v>
      </c>
      <c r="N5" s="31">
        <f>'Uoc luong san pham ban ra'!M3</f>
        <v>44</v>
      </c>
    </row>
    <row r="6" spans="1:14" s="28" customFormat="1" x14ac:dyDescent="0.25">
      <c r="A6" s="43"/>
      <c r="B6" s="11" t="s">
        <v>80</v>
      </c>
      <c r="C6" s="18">
        <f>'Chi phi &amp; Gia thanh'!$N$4</f>
        <v>119</v>
      </c>
      <c r="D6" s="18">
        <f>'Chi phi &amp; Gia thanh'!$N$4</f>
        <v>119</v>
      </c>
      <c r="E6" s="18">
        <f>'Chi phi &amp; Gia thanh'!$N$4</f>
        <v>119</v>
      </c>
      <c r="F6" s="18">
        <f>'Chi phi &amp; Gia thanh'!$N$4</f>
        <v>119</v>
      </c>
      <c r="G6" s="18">
        <f>'Chi phi &amp; Gia thanh'!$N$4</f>
        <v>119</v>
      </c>
      <c r="H6" s="18">
        <f>'Chi phi &amp; Gia thanh'!$N$4</f>
        <v>119</v>
      </c>
      <c r="I6" s="18">
        <f>'Chi phi &amp; Gia thanh'!$N$4</f>
        <v>119</v>
      </c>
      <c r="J6" s="18">
        <f>'Chi phi &amp; Gia thanh'!$N$4</f>
        <v>119</v>
      </c>
      <c r="K6" s="18">
        <f>'Chi phi &amp; Gia thanh'!$N$4</f>
        <v>119</v>
      </c>
      <c r="L6" s="18">
        <f>'Chi phi &amp; Gia thanh'!$N$4</f>
        <v>119</v>
      </c>
      <c r="M6" s="18">
        <f>'Chi phi &amp; Gia thanh'!$N$4</f>
        <v>119</v>
      </c>
      <c r="N6" s="18">
        <f>'Chi phi &amp; Gia thanh'!$N$4</f>
        <v>119</v>
      </c>
    </row>
    <row r="7" spans="1:14" s="30" customFormat="1" ht="15.75" thickBot="1" x14ac:dyDescent="0.3">
      <c r="A7" s="44"/>
      <c r="B7" s="29" t="s">
        <v>81</v>
      </c>
      <c r="C7" s="32">
        <f>C5*C6</f>
        <v>1547</v>
      </c>
      <c r="D7" s="32">
        <f t="shared" ref="D7:N7" si="1">D5*D6</f>
        <v>1904</v>
      </c>
      <c r="E7" s="32">
        <f t="shared" si="1"/>
        <v>6545</v>
      </c>
      <c r="F7" s="32">
        <f t="shared" si="1"/>
        <v>5950</v>
      </c>
      <c r="G7" s="32">
        <f t="shared" si="1"/>
        <v>4403</v>
      </c>
      <c r="H7" s="32">
        <f t="shared" si="1"/>
        <v>4165</v>
      </c>
      <c r="I7" s="32">
        <f t="shared" si="1"/>
        <v>3927</v>
      </c>
      <c r="J7" s="32">
        <f t="shared" si="1"/>
        <v>4760</v>
      </c>
      <c r="K7" s="32">
        <f t="shared" si="1"/>
        <v>4998</v>
      </c>
      <c r="L7" s="32">
        <f t="shared" si="1"/>
        <v>4879</v>
      </c>
      <c r="M7" s="32">
        <f t="shared" si="1"/>
        <v>4403</v>
      </c>
      <c r="N7" s="32">
        <f t="shared" si="1"/>
        <v>5236</v>
      </c>
    </row>
    <row r="8" spans="1:14" s="27" customFormat="1" x14ac:dyDescent="0.25">
      <c r="A8" s="42" t="str">
        <f>'Uoc luong san pham ban ra'!$A$4</f>
        <v>PC (bán)</v>
      </c>
      <c r="B8" s="26" t="s">
        <v>79</v>
      </c>
      <c r="C8" s="31">
        <f>'Uoc luong san pham ban ra'!B4</f>
        <v>2</v>
      </c>
      <c r="D8" s="31">
        <f>'Uoc luong san pham ban ra'!C4</f>
        <v>8</v>
      </c>
      <c r="E8" s="31">
        <f>'Uoc luong san pham ban ra'!D4</f>
        <v>7</v>
      </c>
      <c r="F8" s="31">
        <f>'Uoc luong san pham ban ra'!E4</f>
        <v>10</v>
      </c>
      <c r="G8" s="31">
        <f>'Uoc luong san pham ban ra'!F4</f>
        <v>10</v>
      </c>
      <c r="H8" s="31">
        <f>'Uoc luong san pham ban ra'!G4</f>
        <v>9</v>
      </c>
      <c r="I8" s="31">
        <f>'Uoc luong san pham ban ra'!H4</f>
        <v>5</v>
      </c>
      <c r="J8" s="31">
        <f>'Uoc luong san pham ban ra'!I4</f>
        <v>11</v>
      </c>
      <c r="K8" s="31">
        <f>'Uoc luong san pham ban ra'!J4</f>
        <v>12</v>
      </c>
      <c r="L8" s="31">
        <f>'Uoc luong san pham ban ra'!K4</f>
        <v>15</v>
      </c>
      <c r="M8" s="31">
        <f>'Uoc luong san pham ban ra'!L4</f>
        <v>7</v>
      </c>
      <c r="N8" s="31">
        <f>'Uoc luong san pham ban ra'!M4</f>
        <v>8</v>
      </c>
    </row>
    <row r="9" spans="1:14" s="28" customFormat="1" x14ac:dyDescent="0.25">
      <c r="A9" s="43"/>
      <c r="B9" s="11" t="s">
        <v>80</v>
      </c>
      <c r="C9" s="18">
        <f>'Chi phi &amp; Gia thanh'!$N$5</f>
        <v>8963</v>
      </c>
      <c r="D9" s="18">
        <f>'Chi phi &amp; Gia thanh'!$N$5</f>
        <v>8963</v>
      </c>
      <c r="E9" s="18">
        <f>'Chi phi &amp; Gia thanh'!$N$5</f>
        <v>8963</v>
      </c>
      <c r="F9" s="18">
        <f>'Chi phi &amp; Gia thanh'!$N$5</f>
        <v>8963</v>
      </c>
      <c r="G9" s="18">
        <f>'Chi phi &amp; Gia thanh'!$N$5</f>
        <v>8963</v>
      </c>
      <c r="H9" s="18">
        <f>'Chi phi &amp; Gia thanh'!$N$5</f>
        <v>8963</v>
      </c>
      <c r="I9" s="18">
        <f>'Chi phi &amp; Gia thanh'!$N$5</f>
        <v>8963</v>
      </c>
      <c r="J9" s="18">
        <f>'Chi phi &amp; Gia thanh'!$N$5</f>
        <v>8963</v>
      </c>
      <c r="K9" s="18">
        <f>'Chi phi &amp; Gia thanh'!$N$5</f>
        <v>8963</v>
      </c>
      <c r="L9" s="18">
        <f>'Chi phi &amp; Gia thanh'!$N$5</f>
        <v>8963</v>
      </c>
      <c r="M9" s="18">
        <f>'Chi phi &amp; Gia thanh'!$N$5</f>
        <v>8963</v>
      </c>
      <c r="N9" s="18">
        <f>'Chi phi &amp; Gia thanh'!$N$5</f>
        <v>8963</v>
      </c>
    </row>
    <row r="10" spans="1:14" s="30" customFormat="1" ht="15.75" thickBot="1" x14ac:dyDescent="0.3">
      <c r="A10" s="44"/>
      <c r="B10" s="29" t="s">
        <v>81</v>
      </c>
      <c r="C10" s="32">
        <f>C8*C9</f>
        <v>17926</v>
      </c>
      <c r="D10" s="32">
        <f t="shared" ref="D10:N10" si="2">D8*D9</f>
        <v>71704</v>
      </c>
      <c r="E10" s="32">
        <f t="shared" si="2"/>
        <v>62741</v>
      </c>
      <c r="F10" s="32">
        <f t="shared" si="2"/>
        <v>89630</v>
      </c>
      <c r="G10" s="32">
        <f t="shared" si="2"/>
        <v>89630</v>
      </c>
      <c r="H10" s="32">
        <f t="shared" si="2"/>
        <v>80667</v>
      </c>
      <c r="I10" s="32">
        <f t="shared" si="2"/>
        <v>44815</v>
      </c>
      <c r="J10" s="32">
        <f t="shared" si="2"/>
        <v>98593</v>
      </c>
      <c r="K10" s="32">
        <f t="shared" si="2"/>
        <v>107556</v>
      </c>
      <c r="L10" s="32">
        <f t="shared" si="2"/>
        <v>134445</v>
      </c>
      <c r="M10" s="32">
        <f t="shared" si="2"/>
        <v>62741</v>
      </c>
      <c r="N10" s="32">
        <f t="shared" si="2"/>
        <v>71704</v>
      </c>
    </row>
    <row r="11" spans="1:14" s="27" customFormat="1" x14ac:dyDescent="0.25">
      <c r="A11" s="42" t="str">
        <f>'Uoc luong san pham ban ra'!$A$5</f>
        <v>Ram</v>
      </c>
      <c r="B11" s="26" t="s">
        <v>79</v>
      </c>
      <c r="C11" s="31">
        <f>'Uoc luong san pham ban ra'!B5</f>
        <v>5</v>
      </c>
      <c r="D11" s="31">
        <f>'Uoc luong san pham ban ra'!C5</f>
        <v>15</v>
      </c>
      <c r="E11" s="31">
        <f>'Uoc luong san pham ban ra'!D5</f>
        <v>20</v>
      </c>
      <c r="F11" s="31">
        <f>'Uoc luong san pham ban ra'!E5</f>
        <v>17</v>
      </c>
      <c r="G11" s="31">
        <f>'Uoc luong san pham ban ra'!F5</f>
        <v>20</v>
      </c>
      <c r="H11" s="31">
        <f>'Uoc luong san pham ban ra'!G5</f>
        <v>22</v>
      </c>
      <c r="I11" s="31">
        <f>'Uoc luong san pham ban ra'!H5</f>
        <v>16</v>
      </c>
      <c r="J11" s="31">
        <f>'Uoc luong san pham ban ra'!I5</f>
        <v>18</v>
      </c>
      <c r="K11" s="31">
        <f>'Uoc luong san pham ban ra'!J5</f>
        <v>15</v>
      </c>
      <c r="L11" s="31">
        <f>'Uoc luong san pham ban ra'!K5</f>
        <v>17</v>
      </c>
      <c r="M11" s="31">
        <f>'Uoc luong san pham ban ra'!L5</f>
        <v>10</v>
      </c>
      <c r="N11" s="31">
        <f>'Uoc luong san pham ban ra'!M5</f>
        <v>13</v>
      </c>
    </row>
    <row r="12" spans="1:14" s="28" customFormat="1" x14ac:dyDescent="0.25">
      <c r="A12" s="43"/>
      <c r="B12" s="11" t="s">
        <v>80</v>
      </c>
      <c r="C12" s="18">
        <f>'Chi phi &amp; Gia thanh'!$N$6</f>
        <v>1141</v>
      </c>
      <c r="D12" s="18">
        <f>'Chi phi &amp; Gia thanh'!$N$6</f>
        <v>1141</v>
      </c>
      <c r="E12" s="18">
        <f>'Chi phi &amp; Gia thanh'!$N$6</f>
        <v>1141</v>
      </c>
      <c r="F12" s="18">
        <f>'Chi phi &amp; Gia thanh'!$N$6</f>
        <v>1141</v>
      </c>
      <c r="G12" s="18">
        <f>'Chi phi &amp; Gia thanh'!$N$6</f>
        <v>1141</v>
      </c>
      <c r="H12" s="18">
        <f>'Chi phi &amp; Gia thanh'!$N$6</f>
        <v>1141</v>
      </c>
      <c r="I12" s="18">
        <f>'Chi phi &amp; Gia thanh'!$N$6</f>
        <v>1141</v>
      </c>
      <c r="J12" s="18">
        <f>'Chi phi &amp; Gia thanh'!$N$6</f>
        <v>1141</v>
      </c>
      <c r="K12" s="18">
        <f>'Chi phi &amp; Gia thanh'!$N$6</f>
        <v>1141</v>
      </c>
      <c r="L12" s="18">
        <f>'Chi phi &amp; Gia thanh'!$N$6</f>
        <v>1141</v>
      </c>
      <c r="M12" s="18">
        <f>'Chi phi &amp; Gia thanh'!$N$6</f>
        <v>1141</v>
      </c>
      <c r="N12" s="18">
        <f>'Chi phi &amp; Gia thanh'!$N$6</f>
        <v>1141</v>
      </c>
    </row>
    <row r="13" spans="1:14" s="30" customFormat="1" ht="15.75" thickBot="1" x14ac:dyDescent="0.3">
      <c r="A13" s="44"/>
      <c r="B13" s="29" t="s">
        <v>81</v>
      </c>
      <c r="C13" s="32">
        <f>C11*C12</f>
        <v>5705</v>
      </c>
      <c r="D13" s="32">
        <f t="shared" ref="D13:N13" si="3">D11*D12</f>
        <v>17115</v>
      </c>
      <c r="E13" s="32">
        <f t="shared" si="3"/>
        <v>22820</v>
      </c>
      <c r="F13" s="32">
        <f t="shared" si="3"/>
        <v>19397</v>
      </c>
      <c r="G13" s="32">
        <f t="shared" si="3"/>
        <v>22820</v>
      </c>
      <c r="H13" s="32">
        <f t="shared" si="3"/>
        <v>25102</v>
      </c>
      <c r="I13" s="32">
        <f t="shared" si="3"/>
        <v>18256</v>
      </c>
      <c r="J13" s="32">
        <f t="shared" si="3"/>
        <v>20538</v>
      </c>
      <c r="K13" s="32">
        <f t="shared" si="3"/>
        <v>17115</v>
      </c>
      <c r="L13" s="32">
        <f t="shared" si="3"/>
        <v>19397</v>
      </c>
      <c r="M13" s="32">
        <f t="shared" si="3"/>
        <v>11410</v>
      </c>
      <c r="N13" s="32">
        <f t="shared" si="3"/>
        <v>14833</v>
      </c>
    </row>
    <row r="14" spans="1:14" s="27" customFormat="1" x14ac:dyDescent="0.25">
      <c r="A14" s="42" t="str">
        <f>'Uoc luong san pham ban ra'!$A$6</f>
        <v>Ổ cứng</v>
      </c>
      <c r="B14" s="26" t="s">
        <v>79</v>
      </c>
      <c r="C14" s="31">
        <f>'Uoc luong san pham ban ra'!B6</f>
        <v>1</v>
      </c>
      <c r="D14" s="31">
        <f>'Uoc luong san pham ban ra'!C6</f>
        <v>10</v>
      </c>
      <c r="E14" s="31">
        <f>'Uoc luong san pham ban ra'!D6</f>
        <v>10</v>
      </c>
      <c r="F14" s="31">
        <f>'Uoc luong san pham ban ra'!E6</f>
        <v>10</v>
      </c>
      <c r="G14" s="31">
        <f>'Uoc luong san pham ban ra'!F6</f>
        <v>7</v>
      </c>
      <c r="H14" s="31">
        <f>'Uoc luong san pham ban ra'!G6</f>
        <v>9</v>
      </c>
      <c r="I14" s="31">
        <f>'Uoc luong san pham ban ra'!H6</f>
        <v>1</v>
      </c>
      <c r="J14" s="31">
        <f>'Uoc luong san pham ban ra'!I6</f>
        <v>10</v>
      </c>
      <c r="K14" s="31">
        <f>'Uoc luong san pham ban ra'!J6</f>
        <v>10</v>
      </c>
      <c r="L14" s="31">
        <f>'Uoc luong san pham ban ra'!K6</f>
        <v>10</v>
      </c>
      <c r="M14" s="31">
        <f>'Uoc luong san pham ban ra'!L6</f>
        <v>7</v>
      </c>
      <c r="N14" s="31">
        <f>'Uoc luong san pham ban ra'!M6</f>
        <v>9</v>
      </c>
    </row>
    <row r="15" spans="1:14" s="28" customFormat="1" x14ac:dyDescent="0.25">
      <c r="A15" s="43"/>
      <c r="B15" s="11" t="s">
        <v>80</v>
      </c>
      <c r="C15" s="18">
        <f>'Chi phi &amp; Gia thanh'!$N$7</f>
        <v>3017</v>
      </c>
      <c r="D15" s="18">
        <f>'Chi phi &amp; Gia thanh'!$N$7</f>
        <v>3017</v>
      </c>
      <c r="E15" s="18">
        <f>'Chi phi &amp; Gia thanh'!$N$7</f>
        <v>3017</v>
      </c>
      <c r="F15" s="18">
        <f>'Chi phi &amp; Gia thanh'!$N$7</f>
        <v>3017</v>
      </c>
      <c r="G15" s="18">
        <f>'Chi phi &amp; Gia thanh'!$N$7</f>
        <v>3017</v>
      </c>
      <c r="H15" s="18">
        <f>'Chi phi &amp; Gia thanh'!$N$7</f>
        <v>3017</v>
      </c>
      <c r="I15" s="18">
        <f>'Chi phi &amp; Gia thanh'!$N$7</f>
        <v>3017</v>
      </c>
      <c r="J15" s="18">
        <f>'Chi phi &amp; Gia thanh'!$N$7</f>
        <v>3017</v>
      </c>
      <c r="K15" s="18">
        <f>'Chi phi &amp; Gia thanh'!$N$7</f>
        <v>3017</v>
      </c>
      <c r="L15" s="18">
        <f>'Chi phi &amp; Gia thanh'!$N$7</f>
        <v>3017</v>
      </c>
      <c r="M15" s="18">
        <f>'Chi phi &amp; Gia thanh'!$N$7</f>
        <v>3017</v>
      </c>
      <c r="N15" s="18">
        <f>'Chi phi &amp; Gia thanh'!$N$7</f>
        <v>3017</v>
      </c>
    </row>
    <row r="16" spans="1:14" s="30" customFormat="1" ht="15.75" thickBot="1" x14ac:dyDescent="0.3">
      <c r="A16" s="44"/>
      <c r="B16" s="29" t="s">
        <v>81</v>
      </c>
      <c r="C16" s="32">
        <f>C14*C15</f>
        <v>3017</v>
      </c>
      <c r="D16" s="32">
        <f t="shared" ref="D16:N16" si="4">D14*D15</f>
        <v>30170</v>
      </c>
      <c r="E16" s="32">
        <f t="shared" si="4"/>
        <v>30170</v>
      </c>
      <c r="F16" s="32">
        <f t="shared" si="4"/>
        <v>30170</v>
      </c>
      <c r="G16" s="32">
        <f t="shared" si="4"/>
        <v>21119</v>
      </c>
      <c r="H16" s="32">
        <f t="shared" si="4"/>
        <v>27153</v>
      </c>
      <c r="I16" s="32">
        <f t="shared" si="4"/>
        <v>3017</v>
      </c>
      <c r="J16" s="32">
        <f t="shared" si="4"/>
        <v>30170</v>
      </c>
      <c r="K16" s="32">
        <f t="shared" si="4"/>
        <v>30170</v>
      </c>
      <c r="L16" s="32">
        <f t="shared" si="4"/>
        <v>30170</v>
      </c>
      <c r="M16" s="32">
        <f t="shared" si="4"/>
        <v>21119</v>
      </c>
      <c r="N16" s="32">
        <f t="shared" si="4"/>
        <v>27153</v>
      </c>
    </row>
    <row r="17" spans="1:14" s="27" customFormat="1" x14ac:dyDescent="0.25">
      <c r="A17" s="42" t="str">
        <f>'Uoc luong san pham ban ra'!$A$7</f>
        <v>bàn phím/chuột</v>
      </c>
      <c r="B17" s="26" t="s">
        <v>79</v>
      </c>
      <c r="C17" s="31">
        <f>'Uoc luong san pham ban ra'!B7</f>
        <v>10</v>
      </c>
      <c r="D17" s="31">
        <f>'Uoc luong san pham ban ra'!C7</f>
        <v>30</v>
      </c>
      <c r="E17" s="31">
        <f>'Uoc luong san pham ban ra'!D7</f>
        <v>50</v>
      </c>
      <c r="F17" s="31">
        <f>'Uoc luong san pham ban ra'!E7</f>
        <v>45</v>
      </c>
      <c r="G17" s="31">
        <f>'Uoc luong san pham ban ra'!F7</f>
        <v>50</v>
      </c>
      <c r="H17" s="31">
        <f>'Uoc luong san pham ban ra'!G7</f>
        <v>56</v>
      </c>
      <c r="I17" s="31">
        <f>'Uoc luong san pham ban ra'!H7</f>
        <v>55</v>
      </c>
      <c r="J17" s="31">
        <f>'Uoc luong san pham ban ra'!I7</f>
        <v>56</v>
      </c>
      <c r="K17" s="31">
        <f>'Uoc luong san pham ban ra'!J7</f>
        <v>44</v>
      </c>
      <c r="L17" s="31">
        <f>'Uoc luong san pham ban ra'!K7</f>
        <v>45</v>
      </c>
      <c r="M17" s="31">
        <f>'Uoc luong san pham ban ra'!L7</f>
        <v>50</v>
      </c>
      <c r="N17" s="31">
        <f>'Uoc luong san pham ban ra'!M7</f>
        <v>42</v>
      </c>
    </row>
    <row r="18" spans="1:14" s="28" customFormat="1" x14ac:dyDescent="0.25">
      <c r="A18" s="43"/>
      <c r="B18" s="11" t="s">
        <v>80</v>
      </c>
      <c r="C18" s="18">
        <f>'Chi phi &amp; Gia thanh'!$N$8</f>
        <v>413</v>
      </c>
      <c r="D18" s="18">
        <f>'Chi phi &amp; Gia thanh'!$N$8</f>
        <v>413</v>
      </c>
      <c r="E18" s="18">
        <f>'Chi phi &amp; Gia thanh'!$N$8</f>
        <v>413</v>
      </c>
      <c r="F18" s="18">
        <f>'Chi phi &amp; Gia thanh'!$N$8</f>
        <v>413</v>
      </c>
      <c r="G18" s="18">
        <f>'Chi phi &amp; Gia thanh'!$N$8</f>
        <v>413</v>
      </c>
      <c r="H18" s="18">
        <f>'Chi phi &amp; Gia thanh'!$N$8</f>
        <v>413</v>
      </c>
      <c r="I18" s="18">
        <f>'Chi phi &amp; Gia thanh'!$N$8</f>
        <v>413</v>
      </c>
      <c r="J18" s="18">
        <f>'Chi phi &amp; Gia thanh'!$N$8</f>
        <v>413</v>
      </c>
      <c r="K18" s="18">
        <f>'Chi phi &amp; Gia thanh'!$N$8</f>
        <v>413</v>
      </c>
      <c r="L18" s="18">
        <f>'Chi phi &amp; Gia thanh'!$N$8</f>
        <v>413</v>
      </c>
      <c r="M18" s="18">
        <f>'Chi phi &amp; Gia thanh'!$N$8</f>
        <v>413</v>
      </c>
      <c r="N18" s="18">
        <f>'Chi phi &amp; Gia thanh'!$N$8</f>
        <v>413</v>
      </c>
    </row>
    <row r="19" spans="1:14" s="30" customFormat="1" ht="15.75" thickBot="1" x14ac:dyDescent="0.3">
      <c r="A19" s="44"/>
      <c r="B19" s="29" t="s">
        <v>81</v>
      </c>
      <c r="C19" s="32">
        <f>C17*C18</f>
        <v>4130</v>
      </c>
      <c r="D19" s="32">
        <f t="shared" ref="D19:N19" si="5">D17*D18</f>
        <v>12390</v>
      </c>
      <c r="E19" s="32">
        <f t="shared" si="5"/>
        <v>20650</v>
      </c>
      <c r="F19" s="32">
        <f t="shared" si="5"/>
        <v>18585</v>
      </c>
      <c r="G19" s="32">
        <f t="shared" si="5"/>
        <v>20650</v>
      </c>
      <c r="H19" s="32">
        <f t="shared" si="5"/>
        <v>23128</v>
      </c>
      <c r="I19" s="32">
        <f t="shared" si="5"/>
        <v>22715</v>
      </c>
      <c r="J19" s="32">
        <f t="shared" si="5"/>
        <v>23128</v>
      </c>
      <c r="K19" s="32">
        <f t="shared" si="5"/>
        <v>18172</v>
      </c>
      <c r="L19" s="32">
        <f t="shared" si="5"/>
        <v>18585</v>
      </c>
      <c r="M19" s="32">
        <f t="shared" si="5"/>
        <v>20650</v>
      </c>
      <c r="N19" s="32">
        <f t="shared" si="5"/>
        <v>17346</v>
      </c>
    </row>
    <row r="20" spans="1:14" s="27" customFormat="1" x14ac:dyDescent="0.25">
      <c r="A20" s="42" t="str">
        <f>'Uoc luong san pham ban ra'!$A$8</f>
        <v>Màn hình</v>
      </c>
      <c r="B20" s="26" t="s">
        <v>79</v>
      </c>
      <c r="C20" s="31">
        <f>'Uoc luong san pham ban ra'!B8</f>
        <v>2</v>
      </c>
      <c r="D20" s="31">
        <f>'Uoc luong san pham ban ra'!C8</f>
        <v>6</v>
      </c>
      <c r="E20" s="31">
        <f>'Uoc luong san pham ban ra'!D8</f>
        <v>10</v>
      </c>
      <c r="F20" s="31">
        <f>'Uoc luong san pham ban ra'!E8</f>
        <v>9</v>
      </c>
      <c r="G20" s="31">
        <f>'Uoc luong san pham ban ra'!F8</f>
        <v>11</v>
      </c>
      <c r="H20" s="31">
        <f>'Uoc luong san pham ban ra'!G8</f>
        <v>12</v>
      </c>
      <c r="I20" s="31">
        <f>'Uoc luong san pham ban ra'!H8</f>
        <v>8</v>
      </c>
      <c r="J20" s="31">
        <f>'Uoc luong san pham ban ra'!I8</f>
        <v>10</v>
      </c>
      <c r="K20" s="31">
        <f>'Uoc luong san pham ban ra'!J8</f>
        <v>11</v>
      </c>
      <c r="L20" s="31">
        <f>'Uoc luong san pham ban ra'!K8</f>
        <v>9</v>
      </c>
      <c r="M20" s="31">
        <f>'Uoc luong san pham ban ra'!L8</f>
        <v>7</v>
      </c>
      <c r="N20" s="31">
        <f>'Uoc luong san pham ban ra'!M8</f>
        <v>5</v>
      </c>
    </row>
    <row r="21" spans="1:14" s="28" customFormat="1" x14ac:dyDescent="0.25">
      <c r="A21" s="43"/>
      <c r="B21" s="11" t="s">
        <v>80</v>
      </c>
      <c r="C21" s="18">
        <f>'Chi phi &amp; Gia thanh'!$N$9</f>
        <v>3518</v>
      </c>
      <c r="D21" s="18">
        <f>'Chi phi &amp; Gia thanh'!$N$9</f>
        <v>3518</v>
      </c>
      <c r="E21" s="18">
        <f>'Chi phi &amp; Gia thanh'!$N$9</f>
        <v>3518</v>
      </c>
      <c r="F21" s="18">
        <f>'Chi phi &amp; Gia thanh'!$N$9</f>
        <v>3518</v>
      </c>
      <c r="G21" s="18">
        <f>'Chi phi &amp; Gia thanh'!$N$9</f>
        <v>3518</v>
      </c>
      <c r="H21" s="18">
        <f>'Chi phi &amp; Gia thanh'!$N$9</f>
        <v>3518</v>
      </c>
      <c r="I21" s="18">
        <f>'Chi phi &amp; Gia thanh'!$N$9</f>
        <v>3518</v>
      </c>
      <c r="J21" s="18">
        <f>'Chi phi &amp; Gia thanh'!$N$9</f>
        <v>3518</v>
      </c>
      <c r="K21" s="18">
        <f>'Chi phi &amp; Gia thanh'!$N$9</f>
        <v>3518</v>
      </c>
      <c r="L21" s="18">
        <f>'Chi phi &amp; Gia thanh'!$N$9</f>
        <v>3518</v>
      </c>
      <c r="M21" s="18">
        <f>'Chi phi &amp; Gia thanh'!$N$9</f>
        <v>3518</v>
      </c>
      <c r="N21" s="18">
        <f>'Chi phi &amp; Gia thanh'!$N$9</f>
        <v>3518</v>
      </c>
    </row>
    <row r="22" spans="1:14" s="30" customFormat="1" ht="15.75" thickBot="1" x14ac:dyDescent="0.3">
      <c r="A22" s="44"/>
      <c r="B22" s="29" t="s">
        <v>81</v>
      </c>
      <c r="C22" s="32">
        <f>C20*C21</f>
        <v>7036</v>
      </c>
      <c r="D22" s="32">
        <f t="shared" ref="D22:N22" si="6">D20*D21</f>
        <v>21108</v>
      </c>
      <c r="E22" s="32">
        <f t="shared" si="6"/>
        <v>35180</v>
      </c>
      <c r="F22" s="32">
        <f t="shared" si="6"/>
        <v>31662</v>
      </c>
      <c r="G22" s="32">
        <f t="shared" si="6"/>
        <v>38698</v>
      </c>
      <c r="H22" s="32">
        <f t="shared" si="6"/>
        <v>42216</v>
      </c>
      <c r="I22" s="32">
        <f t="shared" si="6"/>
        <v>28144</v>
      </c>
      <c r="J22" s="32">
        <f t="shared" si="6"/>
        <v>35180</v>
      </c>
      <c r="K22" s="32">
        <f t="shared" si="6"/>
        <v>38698</v>
      </c>
      <c r="L22" s="32">
        <f t="shared" si="6"/>
        <v>31662</v>
      </c>
      <c r="M22" s="32">
        <f t="shared" si="6"/>
        <v>24626</v>
      </c>
      <c r="N22" s="32">
        <f t="shared" si="6"/>
        <v>17590</v>
      </c>
    </row>
    <row r="23" spans="1:14" s="27" customFormat="1" x14ac:dyDescent="0.25">
      <c r="A23" s="42" t="str">
        <f>'Uoc luong san pham ban ra'!$A$9</f>
        <v>USB</v>
      </c>
      <c r="B23" s="26" t="s">
        <v>79</v>
      </c>
      <c r="C23" s="6">
        <v>7</v>
      </c>
      <c r="D23" s="6">
        <v>22</v>
      </c>
      <c r="E23" s="6">
        <v>30</v>
      </c>
      <c r="F23" s="6">
        <v>24</v>
      </c>
      <c r="G23" s="6">
        <v>31</v>
      </c>
      <c r="H23" s="6">
        <v>35</v>
      </c>
      <c r="I23" s="6">
        <v>7</v>
      </c>
      <c r="J23" s="6">
        <v>22</v>
      </c>
      <c r="K23" s="6">
        <v>30</v>
      </c>
      <c r="L23" s="6">
        <v>24</v>
      </c>
      <c r="M23" s="6">
        <v>31</v>
      </c>
      <c r="N23" s="6">
        <v>35</v>
      </c>
    </row>
    <row r="24" spans="1:14" s="28" customFormat="1" x14ac:dyDescent="0.25">
      <c r="A24" s="43"/>
      <c r="B24" s="11" t="s">
        <v>80</v>
      </c>
      <c r="C24" s="18">
        <f>'Chi phi &amp; Gia thanh'!$N$10</f>
        <v>276</v>
      </c>
      <c r="D24" s="18">
        <f>'Chi phi &amp; Gia thanh'!$N$10</f>
        <v>276</v>
      </c>
      <c r="E24" s="18">
        <f>'Chi phi &amp; Gia thanh'!$N$10</f>
        <v>276</v>
      </c>
      <c r="F24" s="18">
        <f>'Chi phi &amp; Gia thanh'!$N$10</f>
        <v>276</v>
      </c>
      <c r="G24" s="18">
        <f>'Chi phi &amp; Gia thanh'!$N$10</f>
        <v>276</v>
      </c>
      <c r="H24" s="18">
        <f>'Chi phi &amp; Gia thanh'!$N$10</f>
        <v>276</v>
      </c>
      <c r="I24" s="18">
        <f>'Chi phi &amp; Gia thanh'!$N$10</f>
        <v>276</v>
      </c>
      <c r="J24" s="18">
        <f>'Chi phi &amp; Gia thanh'!$N$10</f>
        <v>276</v>
      </c>
      <c r="K24" s="18">
        <f>'Chi phi &amp; Gia thanh'!$N$10</f>
        <v>276</v>
      </c>
      <c r="L24" s="18">
        <f>'Chi phi &amp; Gia thanh'!$N$10</f>
        <v>276</v>
      </c>
      <c r="M24" s="18">
        <f>'Chi phi &amp; Gia thanh'!$N$10</f>
        <v>276</v>
      </c>
      <c r="N24" s="18">
        <f>'Chi phi &amp; Gia thanh'!$N$10</f>
        <v>276</v>
      </c>
    </row>
    <row r="25" spans="1:14" s="30" customFormat="1" ht="15.75" thickBot="1" x14ac:dyDescent="0.3">
      <c r="A25" s="44"/>
      <c r="B25" s="29" t="s">
        <v>81</v>
      </c>
      <c r="C25" s="32">
        <f>C23*C24</f>
        <v>1932</v>
      </c>
      <c r="D25" s="32">
        <f t="shared" ref="D25:N25" si="7">D23*D24</f>
        <v>6072</v>
      </c>
      <c r="E25" s="32">
        <f t="shared" si="7"/>
        <v>8280</v>
      </c>
      <c r="F25" s="32">
        <f t="shared" si="7"/>
        <v>6624</v>
      </c>
      <c r="G25" s="32">
        <f t="shared" si="7"/>
        <v>8556</v>
      </c>
      <c r="H25" s="32">
        <f t="shared" si="7"/>
        <v>9660</v>
      </c>
      <c r="I25" s="32">
        <f t="shared" si="7"/>
        <v>1932</v>
      </c>
      <c r="J25" s="32">
        <f t="shared" si="7"/>
        <v>6072</v>
      </c>
      <c r="K25" s="32">
        <f t="shared" si="7"/>
        <v>8280</v>
      </c>
      <c r="L25" s="32">
        <f t="shared" si="7"/>
        <v>6624</v>
      </c>
      <c r="M25" s="32">
        <f t="shared" si="7"/>
        <v>8556</v>
      </c>
      <c r="N25" s="32">
        <f t="shared" si="7"/>
        <v>9660</v>
      </c>
    </row>
    <row r="26" spans="1:14" s="27" customFormat="1" x14ac:dyDescent="0.25">
      <c r="A26" s="42" t="str">
        <f>'Uoc luong san pham ban ra'!$A$10</f>
        <v>Mainboard</v>
      </c>
      <c r="B26" s="26" t="s">
        <v>79</v>
      </c>
      <c r="C26" s="31">
        <f>'Uoc luong san pham ban ra'!B10</f>
        <v>1</v>
      </c>
      <c r="D26" s="31">
        <f>'Uoc luong san pham ban ra'!C10</f>
        <v>5</v>
      </c>
      <c r="E26" s="31">
        <f>'Uoc luong san pham ban ra'!D10</f>
        <v>5</v>
      </c>
      <c r="F26" s="31">
        <f>'Uoc luong san pham ban ra'!E10</f>
        <v>5</v>
      </c>
      <c r="G26" s="31">
        <f>'Uoc luong san pham ban ra'!F10</f>
        <v>6</v>
      </c>
      <c r="H26" s="31">
        <f>'Uoc luong san pham ban ra'!G10</f>
        <v>9</v>
      </c>
      <c r="I26" s="31">
        <f>'Uoc luong san pham ban ra'!H10</f>
        <v>6</v>
      </c>
      <c r="J26" s="31">
        <f>'Uoc luong san pham ban ra'!I10</f>
        <v>8</v>
      </c>
      <c r="K26" s="31">
        <f>'Uoc luong san pham ban ra'!J10</f>
        <v>8</v>
      </c>
      <c r="L26" s="31">
        <f>'Uoc luong san pham ban ra'!K10</f>
        <v>7</v>
      </c>
      <c r="M26" s="31">
        <f>'Uoc luong san pham ban ra'!L10</f>
        <v>6</v>
      </c>
      <c r="N26" s="31">
        <f>'Uoc luong san pham ban ra'!M10</f>
        <v>4</v>
      </c>
    </row>
    <row r="27" spans="1:14" s="28" customFormat="1" x14ac:dyDescent="0.25">
      <c r="A27" s="43"/>
      <c r="B27" s="11" t="s">
        <v>80</v>
      </c>
      <c r="C27" s="18">
        <f>'Chi phi &amp; Gia thanh'!$N$11</f>
        <v>3214</v>
      </c>
      <c r="D27" s="18">
        <f>'Chi phi &amp; Gia thanh'!$N$11</f>
        <v>3214</v>
      </c>
      <c r="E27" s="18">
        <f>'Chi phi &amp; Gia thanh'!$N$11</f>
        <v>3214</v>
      </c>
      <c r="F27" s="18">
        <f>'Chi phi &amp; Gia thanh'!$N$11</f>
        <v>3214</v>
      </c>
      <c r="G27" s="18">
        <f>'Chi phi &amp; Gia thanh'!$N$11</f>
        <v>3214</v>
      </c>
      <c r="H27" s="18">
        <f>'Chi phi &amp; Gia thanh'!$N$11</f>
        <v>3214</v>
      </c>
      <c r="I27" s="18">
        <f>'Chi phi &amp; Gia thanh'!$N$11</f>
        <v>3214</v>
      </c>
      <c r="J27" s="18">
        <f>'Chi phi &amp; Gia thanh'!$N$11</f>
        <v>3214</v>
      </c>
      <c r="K27" s="18">
        <f>'Chi phi &amp; Gia thanh'!$N$11</f>
        <v>3214</v>
      </c>
      <c r="L27" s="18">
        <f>'Chi phi &amp; Gia thanh'!$N$11</f>
        <v>3214</v>
      </c>
      <c r="M27" s="18">
        <f>'Chi phi &amp; Gia thanh'!$N$11</f>
        <v>3214</v>
      </c>
      <c r="N27" s="18">
        <f>'Chi phi &amp; Gia thanh'!$N$11</f>
        <v>3214</v>
      </c>
    </row>
    <row r="28" spans="1:14" s="30" customFormat="1" ht="15.75" thickBot="1" x14ac:dyDescent="0.3">
      <c r="A28" s="44"/>
      <c r="B28" s="29" t="s">
        <v>81</v>
      </c>
      <c r="C28" s="32">
        <f>C26*C27</f>
        <v>3214</v>
      </c>
      <c r="D28" s="32">
        <f t="shared" ref="D28:N28" si="8">D26*D27</f>
        <v>16070</v>
      </c>
      <c r="E28" s="32">
        <f t="shared" si="8"/>
        <v>16070</v>
      </c>
      <c r="F28" s="32">
        <f t="shared" si="8"/>
        <v>16070</v>
      </c>
      <c r="G28" s="32">
        <f t="shared" si="8"/>
        <v>19284</v>
      </c>
      <c r="H28" s="32">
        <f t="shared" si="8"/>
        <v>28926</v>
      </c>
      <c r="I28" s="32">
        <f t="shared" si="8"/>
        <v>19284</v>
      </c>
      <c r="J28" s="32">
        <f t="shared" si="8"/>
        <v>25712</v>
      </c>
      <c r="K28" s="32">
        <f t="shared" si="8"/>
        <v>25712</v>
      </c>
      <c r="L28" s="32">
        <f t="shared" si="8"/>
        <v>22498</v>
      </c>
      <c r="M28" s="32">
        <f t="shared" si="8"/>
        <v>19284</v>
      </c>
      <c r="N28" s="32">
        <f t="shared" si="8"/>
        <v>12856</v>
      </c>
    </row>
    <row r="29" spans="1:14" s="27" customFormat="1" x14ac:dyDescent="0.25">
      <c r="A29" s="42" t="str">
        <f>'Uoc luong san pham ban ra'!$A$11</f>
        <v>Linh kiện khác (Nguồn, quạt tản nhiệt, GPU,….vv)</v>
      </c>
      <c r="B29" s="26" t="s">
        <v>79</v>
      </c>
      <c r="C29" s="31">
        <f>'Uoc luong san pham ban ra'!B11</f>
        <v>10</v>
      </c>
      <c r="D29" s="31">
        <f>'Uoc luong san pham ban ra'!C11</f>
        <v>19</v>
      </c>
      <c r="E29" s="31">
        <f>'Uoc luong san pham ban ra'!D11</f>
        <v>20</v>
      </c>
      <c r="F29" s="31">
        <f>'Uoc luong san pham ban ra'!E11</f>
        <v>17</v>
      </c>
      <c r="G29" s="31">
        <f>'Uoc luong san pham ban ra'!F11</f>
        <v>18</v>
      </c>
      <c r="H29" s="31">
        <f>'Uoc luong san pham ban ra'!G11</f>
        <v>19</v>
      </c>
      <c r="I29" s="31">
        <f>'Uoc luong san pham ban ra'!H11</f>
        <v>17</v>
      </c>
      <c r="J29" s="31">
        <f>'Uoc luong san pham ban ra'!I11</f>
        <v>19</v>
      </c>
      <c r="K29" s="31">
        <f>'Uoc luong san pham ban ra'!J11</f>
        <v>16</v>
      </c>
      <c r="L29" s="31">
        <f>'Uoc luong san pham ban ra'!K11</f>
        <v>20</v>
      </c>
      <c r="M29" s="31">
        <f>'Uoc luong san pham ban ra'!L11</f>
        <v>18</v>
      </c>
      <c r="N29" s="31">
        <f>'Uoc luong san pham ban ra'!M11</f>
        <v>14</v>
      </c>
    </row>
    <row r="30" spans="1:14" s="28" customFormat="1" x14ac:dyDescent="0.25">
      <c r="A30" s="43"/>
      <c r="B30" s="11" t="s">
        <v>80</v>
      </c>
      <c r="C30" s="18">
        <f>'Chi phi &amp; Gia thanh'!$N$12</f>
        <v>2884</v>
      </c>
      <c r="D30" s="18">
        <f>'Chi phi &amp; Gia thanh'!$N$12</f>
        <v>2884</v>
      </c>
      <c r="E30" s="18">
        <f>'Chi phi &amp; Gia thanh'!$N$12</f>
        <v>2884</v>
      </c>
      <c r="F30" s="18">
        <f>'Chi phi &amp; Gia thanh'!$N$12</f>
        <v>2884</v>
      </c>
      <c r="G30" s="18">
        <f>'Chi phi &amp; Gia thanh'!$N$12</f>
        <v>2884</v>
      </c>
      <c r="H30" s="18">
        <f>'Chi phi &amp; Gia thanh'!$N$12</f>
        <v>2884</v>
      </c>
      <c r="I30" s="18">
        <f>'Chi phi &amp; Gia thanh'!$N$12</f>
        <v>2884</v>
      </c>
      <c r="J30" s="18">
        <f>'Chi phi &amp; Gia thanh'!$N$12</f>
        <v>2884</v>
      </c>
      <c r="K30" s="18">
        <f>'Chi phi &amp; Gia thanh'!$N$12</f>
        <v>2884</v>
      </c>
      <c r="L30" s="18">
        <f>'Chi phi &amp; Gia thanh'!$N$12</f>
        <v>2884</v>
      </c>
      <c r="M30" s="18">
        <f>'Chi phi &amp; Gia thanh'!$N$12</f>
        <v>2884</v>
      </c>
      <c r="N30" s="18">
        <f>'Chi phi &amp; Gia thanh'!$N$12</f>
        <v>2884</v>
      </c>
    </row>
    <row r="31" spans="1:14" s="30" customFormat="1" ht="15.75" thickBot="1" x14ac:dyDescent="0.3">
      <c r="A31" s="44"/>
      <c r="B31" s="29" t="s">
        <v>81</v>
      </c>
      <c r="C31" s="32">
        <f>C29*C30</f>
        <v>28840</v>
      </c>
      <c r="D31" s="32">
        <f t="shared" ref="D31:N31" si="9">D29*D30</f>
        <v>54796</v>
      </c>
      <c r="E31" s="32">
        <f t="shared" si="9"/>
        <v>57680</v>
      </c>
      <c r="F31" s="32">
        <f t="shared" si="9"/>
        <v>49028</v>
      </c>
      <c r="G31" s="32">
        <f t="shared" si="9"/>
        <v>51912</v>
      </c>
      <c r="H31" s="32">
        <f t="shared" si="9"/>
        <v>54796</v>
      </c>
      <c r="I31" s="32">
        <f t="shared" si="9"/>
        <v>49028</v>
      </c>
      <c r="J31" s="32">
        <f t="shared" si="9"/>
        <v>54796</v>
      </c>
      <c r="K31" s="32">
        <f t="shared" si="9"/>
        <v>46144</v>
      </c>
      <c r="L31" s="32">
        <f t="shared" si="9"/>
        <v>57680</v>
      </c>
      <c r="M31" s="32">
        <f t="shared" si="9"/>
        <v>51912</v>
      </c>
      <c r="N31" s="32">
        <f t="shared" si="9"/>
        <v>40376</v>
      </c>
    </row>
    <row r="32" spans="1:14" s="13" customFormat="1" x14ac:dyDescent="0.25">
      <c r="B32" s="36" t="s">
        <v>101</v>
      </c>
      <c r="C32" s="37">
        <f>SUM(C4,C7,C10,C13,C16,C19,C22,C25,C28,C31)</f>
        <v>74283</v>
      </c>
      <c r="D32" s="37">
        <f t="shared" ref="D32:N32" si="10">SUM(D4,D7,D10,D13,D16,D19,D22,D25,D28,D31)</f>
        <v>233669</v>
      </c>
      <c r="E32" s="37">
        <f t="shared" si="10"/>
        <v>264816</v>
      </c>
      <c r="F32" s="37">
        <f t="shared" si="10"/>
        <v>271913</v>
      </c>
      <c r="G32" s="37">
        <f t="shared" si="10"/>
        <v>281401</v>
      </c>
      <c r="H32" s="37">
        <f t="shared" si="10"/>
        <v>301078</v>
      </c>
      <c r="I32" s="37">
        <f t="shared" si="10"/>
        <v>196383</v>
      </c>
      <c r="J32" s="37">
        <f t="shared" si="10"/>
        <v>303629</v>
      </c>
      <c r="K32" s="37">
        <f t="shared" si="10"/>
        <v>301759</v>
      </c>
      <c r="L32" s="37">
        <f t="shared" si="10"/>
        <v>330503</v>
      </c>
      <c r="M32" s="37">
        <f t="shared" si="10"/>
        <v>229966</v>
      </c>
      <c r="N32" s="37">
        <f t="shared" si="10"/>
        <v>222604</v>
      </c>
    </row>
  </sheetData>
  <mergeCells count="10">
    <mergeCell ref="A2:A4"/>
    <mergeCell ref="A26:A28"/>
    <mergeCell ref="A29:A31"/>
    <mergeCell ref="A5:A7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Von ban dau</vt:lpstr>
      <vt:lpstr>Uoc luong san pham ban ra</vt:lpstr>
      <vt:lpstr>Von dau tu &amp; von luu dong</vt:lpstr>
      <vt:lpstr>Chi phi &amp; Gia thanh</vt:lpstr>
      <vt:lpstr>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2017-08-22T15:42:56Z</dcterms:modified>
</cp:coreProperties>
</file>