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 activeTab="1"/>
  </bookViews>
  <sheets>
    <sheet name="Von ban dau" sheetId="1" r:id="rId1"/>
    <sheet name="Uoc luong san pham ban ra" sheetId="2" r:id="rId2"/>
    <sheet name="Von dau tu &amp; von luu dong" sheetId="3" r:id="rId3"/>
    <sheet name="Chi phi &amp; Gia thanh" sheetId="4" r:id="rId4"/>
  </sheets>
  <calcPr calcId="162913"/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17" i="1" s="1"/>
  <c r="C8" i="1"/>
  <c r="C7" i="1"/>
  <c r="C4" i="1"/>
  <c r="C5" i="1" s="1"/>
  <c r="C18" i="1" s="1"/>
  <c r="C3" i="1"/>
  <c r="K2" i="4" l="1"/>
  <c r="J2" i="4"/>
  <c r="J3" i="4"/>
  <c r="J4" i="4"/>
  <c r="J5" i="4"/>
  <c r="J6" i="4"/>
  <c r="J7" i="4"/>
  <c r="J8" i="4"/>
  <c r="J9" i="4"/>
  <c r="J10" i="4"/>
  <c r="J11" i="4"/>
  <c r="J12" i="4"/>
  <c r="I4" i="4"/>
  <c r="I5" i="4"/>
  <c r="I6" i="4"/>
  <c r="I7" i="4"/>
  <c r="I8" i="4"/>
  <c r="I9" i="4"/>
  <c r="I10" i="4"/>
  <c r="I11" i="4"/>
  <c r="I12" i="4"/>
  <c r="I3" i="4"/>
  <c r="H2" i="4"/>
  <c r="H3" i="4"/>
  <c r="H4" i="4"/>
  <c r="H5" i="4"/>
  <c r="H6" i="4"/>
  <c r="H7" i="4"/>
  <c r="H8" i="4"/>
  <c r="H9" i="4"/>
  <c r="H10" i="4"/>
  <c r="H11" i="4"/>
  <c r="H12" i="4"/>
  <c r="F13" i="4"/>
  <c r="E2" i="4"/>
  <c r="E3" i="4"/>
  <c r="E4" i="4"/>
  <c r="E5" i="4"/>
  <c r="E6" i="4"/>
  <c r="E7" i="4"/>
  <c r="E8" i="4"/>
  <c r="E9" i="4"/>
  <c r="E10" i="4"/>
  <c r="E11" i="4"/>
  <c r="E12" i="4"/>
  <c r="B12" i="4"/>
  <c r="B11" i="4"/>
  <c r="A11" i="4"/>
  <c r="A5" i="4"/>
  <c r="B5" i="4"/>
  <c r="A6" i="4"/>
  <c r="B6" i="4"/>
  <c r="A7" i="4"/>
  <c r="B7" i="4"/>
  <c r="A8" i="4"/>
  <c r="B8" i="4"/>
  <c r="A9" i="4"/>
  <c r="B9" i="4"/>
  <c r="A10" i="4"/>
  <c r="B10" i="4"/>
  <c r="B4" i="4"/>
  <c r="A4" i="4"/>
  <c r="B3" i="4"/>
  <c r="A3" i="4"/>
  <c r="I5" i="3"/>
  <c r="F4" i="3" l="1"/>
  <c r="B8" i="3"/>
  <c r="B6" i="3"/>
  <c r="C14" i="3"/>
  <c r="G4" i="3" s="1"/>
  <c r="I4" i="3" s="1"/>
  <c r="C13" i="3"/>
  <c r="C12" i="3"/>
  <c r="B10" i="3"/>
  <c r="B9" i="3"/>
  <c r="C11" i="3"/>
  <c r="B7" i="3"/>
  <c r="B5" i="3"/>
  <c r="B4" i="3"/>
  <c r="B3" i="3"/>
  <c r="B2" i="3"/>
  <c r="C15" i="3" l="1"/>
  <c r="B15" i="3"/>
  <c r="H11" i="2" l="1"/>
  <c r="H3" i="2"/>
  <c r="I3" i="2" s="1"/>
  <c r="H4" i="2"/>
  <c r="I4" i="2" s="1"/>
  <c r="H5" i="2"/>
  <c r="H6" i="2"/>
  <c r="H7" i="2"/>
  <c r="H8" i="2"/>
  <c r="H9" i="2"/>
  <c r="H10" i="2"/>
  <c r="H2" i="2"/>
  <c r="K6" i="4" l="1"/>
  <c r="L6" i="4" s="1"/>
  <c r="M6" i="4" s="1"/>
  <c r="N6" i="4" s="1"/>
  <c r="K9" i="4"/>
  <c r="L9" i="4" s="1"/>
  <c r="M9" i="4" s="1"/>
  <c r="N9" i="4" s="1"/>
  <c r="K5" i="4"/>
  <c r="L5" i="4" s="1"/>
  <c r="M5" i="4" s="1"/>
  <c r="N5" i="4" s="1"/>
  <c r="K4" i="2"/>
  <c r="K10" i="4"/>
  <c r="L10" i="4" s="1"/>
  <c r="N10" i="4" s="1"/>
  <c r="K3" i="4"/>
  <c r="L3" i="4" s="1"/>
  <c r="N3" i="4" s="1"/>
  <c r="K8" i="4"/>
  <c r="L8" i="4" s="1"/>
  <c r="N8" i="4" s="1"/>
  <c r="K4" i="4"/>
  <c r="L4" i="4" s="1"/>
  <c r="N4" i="4" s="1"/>
  <c r="K3" i="2"/>
  <c r="K11" i="4"/>
  <c r="L11" i="4" s="1"/>
  <c r="M11" i="4" s="1"/>
  <c r="N11" i="4" s="1"/>
  <c r="K7" i="4"/>
  <c r="L7" i="4" s="1"/>
  <c r="M7" i="4" s="1"/>
  <c r="N7" i="4" s="1"/>
  <c r="K12" i="4"/>
  <c r="L12" i="4" s="1"/>
  <c r="M12" i="4" s="1"/>
  <c r="N12" i="4" s="1"/>
  <c r="I5" i="2"/>
  <c r="K5" i="2" s="1"/>
  <c r="I8" i="2"/>
  <c r="K8" i="2" s="1"/>
  <c r="I7" i="2"/>
  <c r="K7" i="2" s="1"/>
  <c r="I10" i="2"/>
  <c r="K10" i="2" s="1"/>
  <c r="I6" i="2"/>
  <c r="K6" i="2" s="1"/>
  <c r="I11" i="2"/>
  <c r="K11" i="2" s="1"/>
  <c r="I9" i="2"/>
  <c r="K9" i="2" s="1"/>
  <c r="I2" i="2"/>
  <c r="K2" i="2" s="1"/>
  <c r="K12" i="2" l="1"/>
</calcChain>
</file>

<file path=xl/sharedStrings.xml><?xml version="1.0" encoding="utf-8"?>
<sst xmlns="http://schemas.openxmlformats.org/spreadsheetml/2006/main" count="81" uniqueCount="80">
  <si>
    <t>Tháng 1</t>
  </si>
  <si>
    <t>Tháng 2</t>
  </si>
  <si>
    <t>Tháng 3</t>
  </si>
  <si>
    <t>Tháng 4</t>
  </si>
  <si>
    <t>Tháng 5</t>
  </si>
  <si>
    <t>Tháng 6</t>
  </si>
  <si>
    <t>Ram</t>
  </si>
  <si>
    <t>Ổ cứng</t>
  </si>
  <si>
    <t>bàn phím/chuột</t>
  </si>
  <si>
    <t>Màn hình</t>
  </si>
  <si>
    <t>USB</t>
  </si>
  <si>
    <t>Mainboard</t>
  </si>
  <si>
    <t>Sản phẩm</t>
  </si>
  <si>
    <t>Linh kiện khác(Nguồn, quạt tản nhiệt, GPU,….vv)</t>
  </si>
  <si>
    <t>Danh  mục</t>
  </si>
  <si>
    <t>Vốn lưu động (một tháng)</t>
  </si>
  <si>
    <t>Bảo hiểm</t>
  </si>
  <si>
    <t>Tiền điện</t>
  </si>
  <si>
    <t>Tiền nước</t>
  </si>
  <si>
    <t>Tiền trọ</t>
  </si>
  <si>
    <t>Lương thành viên</t>
  </si>
  <si>
    <t>Tiền điện thoại</t>
  </si>
  <si>
    <t>Giấy phép kinh doanh</t>
  </si>
  <si>
    <t>Thuế</t>
  </si>
  <si>
    <t>Tiền mạng</t>
  </si>
  <si>
    <t>Tiền linh kiện thay thế</t>
  </si>
  <si>
    <t>Tiền trang thiết bị sửa chữa</t>
  </si>
  <si>
    <t>Tiền thùng hàng</t>
  </si>
  <si>
    <t>Tiền cơ sở vật chất</t>
  </si>
  <si>
    <t>Giá nhập hàng một tháng</t>
  </si>
  <si>
    <t>Tổng tiền nhập hàng(1 tháng)</t>
  </si>
  <si>
    <t>Ghi chú</t>
  </si>
  <si>
    <t>2 bộ đồ nghề</t>
  </si>
  <si>
    <t>Bàn ghế, máy móc</t>
  </si>
  <si>
    <t>4 thành viên</t>
  </si>
  <si>
    <t>Vốn đầu tư</t>
  </si>
  <si>
    <t>Tiền khấu hao</t>
  </si>
  <si>
    <t>Giá</t>
  </si>
  <si>
    <t>Thời gian sử dụng dự tính</t>
  </si>
  <si>
    <t>Tiền khấu hao hàng tháng</t>
  </si>
  <si>
    <t>Danh mục</t>
  </si>
  <si>
    <t>Chi phí hàng tháng (không tính nhập hàng)</t>
  </si>
  <si>
    <t xml:space="preserve">Số tiền </t>
  </si>
  <si>
    <t>ghi chú</t>
  </si>
  <si>
    <t>Tổng tiền khấu hao hàng tháng</t>
  </si>
  <si>
    <t>Tổng chi phí</t>
  </si>
  <si>
    <t>Tỉ lệ chi phí của từng sản phẩm trên tổng chi phí</t>
  </si>
  <si>
    <t>tỉ lệ (%)</t>
  </si>
  <si>
    <t>Dịch vụ Sửa PC</t>
  </si>
  <si>
    <t>Dịch vụ Sửa Laptop</t>
  </si>
  <si>
    <t>PC (bán)</t>
  </si>
  <si>
    <t>Tổng</t>
  </si>
  <si>
    <t>Giá thành sản phẩm</t>
  </si>
  <si>
    <t>Chi phí hàng tháng</t>
  </si>
  <si>
    <t>Giá nhập sản phẩm</t>
  </si>
  <si>
    <t>Bình quân bán được(1 tháng)</t>
  </si>
  <si>
    <t>Bình  quân bán được(1 năm)</t>
  </si>
  <si>
    <t>Giá thành sản xuất</t>
  </si>
  <si>
    <t>Tiền lời mong muốn</t>
  </si>
  <si>
    <t>Giá Thành bán ra</t>
  </si>
  <si>
    <t>STT</t>
  </si>
  <si>
    <t>Hạng mục</t>
  </si>
  <si>
    <t>Số tiền(1000)</t>
  </si>
  <si>
    <t>Tiền hiện có</t>
  </si>
  <si>
    <t>Tiền lương*2</t>
  </si>
  <si>
    <t>Tổng thu trong 2 tháng</t>
  </si>
  <si>
    <t>Tiền thuê trọ</t>
  </si>
  <si>
    <t>Tiền sinh hoạt phí</t>
  </si>
  <si>
    <t>Bộ Vít JAKEMY JM 8150(x2)</t>
  </si>
  <si>
    <t>Mạng+điện+nước</t>
  </si>
  <si>
    <t>Ghế cho khách(x10)</t>
  </si>
  <si>
    <t>Bàn(x3), ghế(x4)</t>
  </si>
  <si>
    <t xml:space="preserve">Thuê server </t>
  </si>
  <si>
    <t>Thuê văn phòng</t>
  </si>
  <si>
    <t>Thùng hàng xe máy</t>
  </si>
  <si>
    <t>Linh kiện máy tính</t>
  </si>
  <si>
    <t>Tổng phí</t>
  </si>
  <si>
    <t>Tiền có bắt đầu để kinh doanh</t>
  </si>
  <si>
    <t>Thu (2 tháng đầu)</t>
  </si>
  <si>
    <t>Chi(2 tháng đầu)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</si>
</sst>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30">
    <xf numFmtId="0" fontId="0" fillId="0" borderId="0" xfId="0"/>
    <xf numFmtId="0" fontId="2" fillId="4" borderId="3" xfId="1" applyFill="1" applyBorder="1"/>
    <xf numFmtId="0" fontId="4" fillId="4" borderId="3" xfId="1" applyFont="1" applyFill="1" applyBorder="1"/>
    <xf numFmtId="1" fontId="4" fillId="4" borderId="3" xfId="1" applyNumberFormat="1" applyFont="1" applyFill="1" applyBorder="1"/>
    <xf numFmtId="0" fontId="2" fillId="4" borderId="3" xfId="1" applyFont="1" applyFill="1" applyBorder="1"/>
    <xf numFmtId="3" fontId="2" fillId="4" borderId="3" xfId="1" applyNumberFormat="1" applyFont="1" applyFill="1" applyBorder="1"/>
    <xf numFmtId="3" fontId="4" fillId="4" borderId="3" xfId="1" applyNumberFormat="1" applyFont="1" applyFill="1" applyBorder="1"/>
    <xf numFmtId="3" fontId="0" fillId="0" borderId="0" xfId="0" applyNumberFormat="1"/>
    <xf numFmtId="3" fontId="2" fillId="4" borderId="3" xfId="1" applyNumberFormat="1" applyFont="1" applyFill="1" applyBorder="1" applyAlignment="1">
      <alignment wrapText="1"/>
    </xf>
    <xf numFmtId="0" fontId="3" fillId="4" borderId="3" xfId="2" applyFont="1" applyFill="1" applyBorder="1"/>
    <xf numFmtId="0" fontId="0" fillId="4" borderId="3" xfId="2" applyFont="1" applyFill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0" fillId="0" borderId="0" xfId="0" applyAlignment="1">
      <alignment horizontal="center"/>
    </xf>
    <xf numFmtId="3" fontId="3" fillId="4" borderId="3" xfId="2" applyNumberFormat="1" applyFont="1" applyFill="1" applyBorder="1"/>
    <xf numFmtId="3" fontId="0" fillId="4" borderId="3" xfId="2" applyNumberFormat="1" applyFont="1" applyFill="1" applyBorder="1"/>
    <xf numFmtId="3" fontId="3" fillId="0" borderId="3" xfId="0" applyNumberFormat="1" applyFont="1" applyBorder="1"/>
    <xf numFmtId="3" fontId="0" fillId="0" borderId="3" xfId="0" applyNumberFormat="1" applyBorder="1"/>
    <xf numFmtId="0" fontId="3" fillId="5" borderId="3" xfId="0" applyFont="1" applyFill="1" applyBorder="1"/>
    <xf numFmtId="3" fontId="0" fillId="5" borderId="3" xfId="0" applyNumberFormat="1" applyFill="1" applyBorder="1"/>
    <xf numFmtId="0" fontId="0" fillId="5" borderId="3" xfId="0" applyFill="1" applyBorder="1"/>
    <xf numFmtId="0" fontId="2" fillId="2" borderId="1" xfId="1"/>
    <xf numFmtId="0" fontId="2" fillId="2" borderId="1" xfId="1" applyAlignment="1">
      <alignment horizontal="center"/>
    </xf>
    <xf numFmtId="0" fontId="4" fillId="2" borderId="1" xfId="1" applyFont="1"/>
    <xf numFmtId="0" fontId="2" fillId="5" borderId="1" xfId="1" applyFill="1"/>
    <xf numFmtId="0" fontId="2" fillId="5" borderId="1" xfId="1" applyFill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te" xfId="2" builtinId="10"/>
    <cellStyle name="Output" xfId="1" builtinId="21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12" sqref="G12"/>
    </sheetView>
  </sheetViews>
  <sheetFormatPr defaultRowHeight="15" x14ac:dyDescent="0.25"/>
  <cols>
    <col min="1" max="1" width="4" bestFit="1" customWidth="1"/>
    <col min="2" max="2" width="25.140625" bestFit="1" customWidth="1"/>
    <col min="3" max="3" width="12.5703125" bestFit="1" customWidth="1"/>
  </cols>
  <sheetData>
    <row r="1" spans="1:3" x14ac:dyDescent="0.25">
      <c r="A1" s="22" t="s">
        <v>60</v>
      </c>
      <c r="B1" s="22" t="s">
        <v>61</v>
      </c>
      <c r="C1" s="22" t="s">
        <v>62</v>
      </c>
    </row>
    <row r="2" spans="1:3" x14ac:dyDescent="0.25">
      <c r="A2" s="26" t="s">
        <v>78</v>
      </c>
      <c r="B2" s="26"/>
      <c r="C2" s="26"/>
    </row>
    <row r="3" spans="1:3" x14ac:dyDescent="0.25">
      <c r="A3" s="23">
        <v>1</v>
      </c>
      <c r="B3" s="22" t="s">
        <v>63</v>
      </c>
      <c r="C3" s="24">
        <f>75000*4</f>
        <v>300000</v>
      </c>
    </row>
    <row r="4" spans="1:3" x14ac:dyDescent="0.25">
      <c r="A4" s="23">
        <v>2</v>
      </c>
      <c r="B4" s="22" t="s">
        <v>64</v>
      </c>
      <c r="C4" s="24">
        <f>2700*1*2</f>
        <v>5400</v>
      </c>
    </row>
    <row r="5" spans="1:3" x14ac:dyDescent="0.25">
      <c r="A5" s="22"/>
      <c r="B5" s="22" t="s">
        <v>65</v>
      </c>
      <c r="C5" s="24">
        <f>C3+C4</f>
        <v>305400</v>
      </c>
    </row>
    <row r="6" spans="1:3" x14ac:dyDescent="0.25">
      <c r="A6" s="26" t="s">
        <v>79</v>
      </c>
      <c r="B6" s="26"/>
      <c r="C6" s="26"/>
    </row>
    <row r="7" spans="1:3" x14ac:dyDescent="0.25">
      <c r="A7" s="23">
        <v>1</v>
      </c>
      <c r="B7" s="22" t="s">
        <v>66</v>
      </c>
      <c r="C7" s="24">
        <f>1500*2</f>
        <v>3000</v>
      </c>
    </row>
    <row r="8" spans="1:3" x14ac:dyDescent="0.25">
      <c r="A8" s="23">
        <v>2</v>
      </c>
      <c r="B8" s="22" t="s">
        <v>67</v>
      </c>
      <c r="C8" s="24">
        <f>2000*4*2</f>
        <v>16000</v>
      </c>
    </row>
    <row r="9" spans="1:3" x14ac:dyDescent="0.25">
      <c r="A9" s="23">
        <v>3</v>
      </c>
      <c r="B9" s="22" t="s">
        <v>68</v>
      </c>
      <c r="C9" s="24">
        <f>210*2</f>
        <v>420</v>
      </c>
    </row>
    <row r="10" spans="1:3" x14ac:dyDescent="0.25">
      <c r="A10" s="23">
        <v>4</v>
      </c>
      <c r="B10" s="22" t="s">
        <v>69</v>
      </c>
      <c r="C10" s="24">
        <f>700*2</f>
        <v>1400</v>
      </c>
    </row>
    <row r="11" spans="1:3" x14ac:dyDescent="0.25">
      <c r="A11" s="23">
        <v>5</v>
      </c>
      <c r="B11" s="22" t="s">
        <v>70</v>
      </c>
      <c r="C11" s="24">
        <f>50*10</f>
        <v>500</v>
      </c>
    </row>
    <row r="12" spans="1:3" x14ac:dyDescent="0.25">
      <c r="A12" s="23">
        <v>6</v>
      </c>
      <c r="B12" s="22" t="s">
        <v>71</v>
      </c>
      <c r="C12" s="24">
        <f>1054 * 3</f>
        <v>3162</v>
      </c>
    </row>
    <row r="13" spans="1:3" x14ac:dyDescent="0.25">
      <c r="A13" s="23">
        <v>7</v>
      </c>
      <c r="B13" s="22" t="s">
        <v>72</v>
      </c>
      <c r="C13" s="24">
        <f>250*1</f>
        <v>250</v>
      </c>
    </row>
    <row r="14" spans="1:3" x14ac:dyDescent="0.25">
      <c r="A14" s="23">
        <v>8</v>
      </c>
      <c r="B14" s="22" t="s">
        <v>73</v>
      </c>
      <c r="C14" s="24">
        <f>3000</f>
        <v>3000</v>
      </c>
    </row>
    <row r="15" spans="1:3" x14ac:dyDescent="0.25">
      <c r="A15" s="23">
        <v>9</v>
      </c>
      <c r="B15" s="22" t="s">
        <v>74</v>
      </c>
      <c r="C15" s="24">
        <f>150</f>
        <v>150</v>
      </c>
    </row>
    <row r="16" spans="1:3" x14ac:dyDescent="0.25">
      <c r="A16" s="23">
        <v>10</v>
      </c>
      <c r="B16" s="22" t="s">
        <v>75</v>
      </c>
      <c r="C16" s="24">
        <f>100000</f>
        <v>100000</v>
      </c>
    </row>
    <row r="17" spans="1:3" x14ac:dyDescent="0.25">
      <c r="A17" s="22"/>
      <c r="B17" s="22" t="s">
        <v>76</v>
      </c>
      <c r="C17" s="24">
        <f>SUM(C7:C16)</f>
        <v>127882</v>
      </c>
    </row>
    <row r="18" spans="1:3" x14ac:dyDescent="0.25">
      <c r="A18" s="26" t="s">
        <v>77</v>
      </c>
      <c r="B18" s="26"/>
      <c r="C18" s="25">
        <f>C5-C17</f>
        <v>177518</v>
      </c>
    </row>
  </sheetData>
  <mergeCells count="3">
    <mergeCell ref="A2:C2"/>
    <mergeCell ref="A6:C6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2" sqref="E12"/>
    </sheetView>
  </sheetViews>
  <sheetFormatPr defaultRowHeight="15" x14ac:dyDescent="0.25"/>
  <cols>
    <col min="1" max="1" width="45" bestFit="1" customWidth="1"/>
    <col min="2" max="7" width="7.7109375" bestFit="1" customWidth="1"/>
    <col min="8" max="8" width="27.42578125" bestFit="1" customWidth="1"/>
    <col min="9" max="9" width="26.7109375" bestFit="1" customWidth="1"/>
    <col min="10" max="10" width="35.42578125" style="7" bestFit="1" customWidth="1"/>
    <col min="11" max="11" width="23.42578125" style="7" bestFit="1" customWidth="1"/>
  </cols>
  <sheetData>
    <row r="1" spans="1:11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55</v>
      </c>
      <c r="I1" s="1" t="s">
        <v>56</v>
      </c>
      <c r="J1" s="8" t="s">
        <v>54</v>
      </c>
      <c r="K1" s="5" t="s">
        <v>29</v>
      </c>
    </row>
    <row r="2" spans="1:11" x14ac:dyDescent="0.25">
      <c r="A2" s="1" t="s">
        <v>48</v>
      </c>
      <c r="B2" s="2">
        <v>8</v>
      </c>
      <c r="C2" s="2">
        <v>20</v>
      </c>
      <c r="D2" s="2">
        <v>40</v>
      </c>
      <c r="E2" s="2">
        <v>41</v>
      </c>
      <c r="F2" s="2">
        <v>45</v>
      </c>
      <c r="G2" s="2">
        <v>50</v>
      </c>
      <c r="H2" s="3">
        <f t="shared" ref="H2:H11" si="0">_xlfn.FLOOR.MATH(AVERAGE(B2:G2))</f>
        <v>34</v>
      </c>
      <c r="I2" s="2">
        <f>H2*12</f>
        <v>408</v>
      </c>
      <c r="J2" s="6">
        <v>0</v>
      </c>
      <c r="K2" s="6">
        <f>H2*I2</f>
        <v>13872</v>
      </c>
    </row>
    <row r="3" spans="1:11" x14ac:dyDescent="0.25">
      <c r="A3" s="1" t="s">
        <v>49</v>
      </c>
      <c r="B3" s="2">
        <v>13</v>
      </c>
      <c r="C3" s="2">
        <v>16</v>
      </c>
      <c r="D3" s="2">
        <v>55</v>
      </c>
      <c r="E3" s="2">
        <v>50</v>
      </c>
      <c r="F3" s="2">
        <v>37</v>
      </c>
      <c r="G3" s="2">
        <v>40</v>
      </c>
      <c r="H3" s="3">
        <f t="shared" si="0"/>
        <v>35</v>
      </c>
      <c r="I3" s="2">
        <f t="shared" ref="I3:I11" si="1">H3*12</f>
        <v>420</v>
      </c>
      <c r="J3" s="6">
        <v>0</v>
      </c>
      <c r="K3" s="6">
        <f t="shared" ref="K3:K11" si="2">H3*I3</f>
        <v>14700</v>
      </c>
    </row>
    <row r="4" spans="1:11" x14ac:dyDescent="0.25">
      <c r="A4" s="1" t="s">
        <v>50</v>
      </c>
      <c r="B4" s="2">
        <v>2</v>
      </c>
      <c r="C4" s="2">
        <v>8</v>
      </c>
      <c r="D4" s="2">
        <v>7</v>
      </c>
      <c r="E4" s="2">
        <v>10</v>
      </c>
      <c r="F4" s="2">
        <v>12</v>
      </c>
      <c r="G4" s="2">
        <v>15</v>
      </c>
      <c r="H4" s="3">
        <f t="shared" si="0"/>
        <v>9</v>
      </c>
      <c r="I4" s="2">
        <f t="shared" si="1"/>
        <v>108</v>
      </c>
      <c r="J4" s="6">
        <v>8000</v>
      </c>
      <c r="K4" s="6">
        <f t="shared" si="2"/>
        <v>972</v>
      </c>
    </row>
    <row r="5" spans="1:11" x14ac:dyDescent="0.25">
      <c r="A5" s="1" t="s">
        <v>6</v>
      </c>
      <c r="B5" s="2">
        <v>5</v>
      </c>
      <c r="C5" s="2">
        <v>15</v>
      </c>
      <c r="D5" s="2">
        <v>20</v>
      </c>
      <c r="E5" s="2">
        <v>17</v>
      </c>
      <c r="F5" s="2">
        <v>20</v>
      </c>
      <c r="G5" s="2">
        <v>25</v>
      </c>
      <c r="H5" s="3">
        <f t="shared" si="0"/>
        <v>17</v>
      </c>
      <c r="I5" s="2">
        <f t="shared" si="1"/>
        <v>204</v>
      </c>
      <c r="J5" s="6">
        <v>900</v>
      </c>
      <c r="K5" s="6">
        <f t="shared" si="2"/>
        <v>3468</v>
      </c>
    </row>
    <row r="6" spans="1:11" x14ac:dyDescent="0.25">
      <c r="A6" s="1" t="s">
        <v>7</v>
      </c>
      <c r="B6" s="2">
        <v>1</v>
      </c>
      <c r="C6" s="2">
        <v>10</v>
      </c>
      <c r="D6" s="2">
        <v>10</v>
      </c>
      <c r="E6" s="2">
        <v>10</v>
      </c>
      <c r="F6" s="2">
        <v>7</v>
      </c>
      <c r="G6" s="2">
        <v>9</v>
      </c>
      <c r="H6" s="3">
        <f t="shared" si="0"/>
        <v>7</v>
      </c>
      <c r="I6" s="2">
        <f t="shared" si="1"/>
        <v>84</v>
      </c>
      <c r="J6" s="6">
        <v>2500</v>
      </c>
      <c r="K6" s="6">
        <f t="shared" si="2"/>
        <v>588</v>
      </c>
    </row>
    <row r="7" spans="1:11" x14ac:dyDescent="0.25">
      <c r="A7" s="1" t="s">
        <v>8</v>
      </c>
      <c r="B7" s="2">
        <v>10</v>
      </c>
      <c r="C7" s="2">
        <v>30</v>
      </c>
      <c r="D7" s="2">
        <v>50</v>
      </c>
      <c r="E7" s="2">
        <v>45</v>
      </c>
      <c r="F7" s="2">
        <v>50</v>
      </c>
      <c r="G7" s="2">
        <v>56</v>
      </c>
      <c r="H7" s="3">
        <f t="shared" si="0"/>
        <v>40</v>
      </c>
      <c r="I7" s="2">
        <f t="shared" si="1"/>
        <v>480</v>
      </c>
      <c r="J7" s="6">
        <v>300</v>
      </c>
      <c r="K7" s="6">
        <f t="shared" si="2"/>
        <v>19200</v>
      </c>
    </row>
    <row r="8" spans="1:11" x14ac:dyDescent="0.25">
      <c r="A8" s="1" t="s">
        <v>9</v>
      </c>
      <c r="B8" s="2">
        <v>2</v>
      </c>
      <c r="C8" s="2">
        <v>10</v>
      </c>
      <c r="D8" s="2">
        <v>10</v>
      </c>
      <c r="E8" s="2">
        <v>9</v>
      </c>
      <c r="F8" s="2">
        <v>11</v>
      </c>
      <c r="G8" s="2">
        <v>12</v>
      </c>
      <c r="H8" s="3">
        <f t="shared" si="0"/>
        <v>9</v>
      </c>
      <c r="I8" s="2">
        <f t="shared" si="1"/>
        <v>108</v>
      </c>
      <c r="J8" s="6">
        <v>3000</v>
      </c>
      <c r="K8" s="6">
        <f t="shared" si="2"/>
        <v>972</v>
      </c>
    </row>
    <row r="9" spans="1:11" x14ac:dyDescent="0.25">
      <c r="A9" s="1" t="s">
        <v>10</v>
      </c>
      <c r="B9" s="2">
        <v>7</v>
      </c>
      <c r="C9" s="2">
        <v>22</v>
      </c>
      <c r="D9" s="2">
        <v>30</v>
      </c>
      <c r="E9" s="2">
        <v>24</v>
      </c>
      <c r="F9" s="2">
        <v>31</v>
      </c>
      <c r="G9" s="2">
        <v>35</v>
      </c>
      <c r="H9" s="3">
        <f t="shared" si="0"/>
        <v>24</v>
      </c>
      <c r="I9" s="2">
        <f t="shared" si="1"/>
        <v>288</v>
      </c>
      <c r="J9" s="6">
        <v>200</v>
      </c>
      <c r="K9" s="6">
        <f t="shared" si="2"/>
        <v>6912</v>
      </c>
    </row>
    <row r="10" spans="1:11" x14ac:dyDescent="0.25">
      <c r="A10" s="1" t="s">
        <v>11</v>
      </c>
      <c r="B10" s="2">
        <v>1</v>
      </c>
      <c r="C10" s="2">
        <v>5</v>
      </c>
      <c r="D10" s="2">
        <v>5</v>
      </c>
      <c r="E10" s="2">
        <v>5</v>
      </c>
      <c r="F10" s="2">
        <v>6</v>
      </c>
      <c r="G10" s="2">
        <v>9</v>
      </c>
      <c r="H10" s="3">
        <f t="shared" si="0"/>
        <v>5</v>
      </c>
      <c r="I10" s="2">
        <f t="shared" si="1"/>
        <v>60</v>
      </c>
      <c r="J10" s="6">
        <v>2500</v>
      </c>
      <c r="K10" s="6">
        <f t="shared" si="2"/>
        <v>300</v>
      </c>
    </row>
    <row r="11" spans="1:11" x14ac:dyDescent="0.25">
      <c r="A11" s="1" t="s">
        <v>13</v>
      </c>
      <c r="B11" s="2">
        <v>10</v>
      </c>
      <c r="C11" s="2">
        <v>19</v>
      </c>
      <c r="D11" s="2">
        <v>20</v>
      </c>
      <c r="E11" s="2">
        <v>17</v>
      </c>
      <c r="F11" s="2">
        <v>18</v>
      </c>
      <c r="G11" s="2">
        <v>19</v>
      </c>
      <c r="H11" s="2">
        <f t="shared" si="0"/>
        <v>17</v>
      </c>
      <c r="I11" s="2">
        <f t="shared" si="1"/>
        <v>204</v>
      </c>
      <c r="J11" s="6">
        <v>2500</v>
      </c>
      <c r="K11" s="6">
        <f t="shared" si="2"/>
        <v>3468</v>
      </c>
    </row>
    <row r="12" spans="1:11" x14ac:dyDescent="0.25">
      <c r="J12" s="4" t="s">
        <v>30</v>
      </c>
      <c r="K12" s="5">
        <f>SUM(K2:K11)</f>
        <v>64452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4" workbookViewId="0">
      <selection activeCell="B24" sqref="B24"/>
    </sheetView>
  </sheetViews>
  <sheetFormatPr defaultRowHeight="15" x14ac:dyDescent="0.25"/>
  <cols>
    <col min="1" max="1" width="25.5703125" bestFit="1" customWidth="1"/>
    <col min="2" max="2" width="24.42578125" style="7" bestFit="1" customWidth="1"/>
    <col min="3" max="3" width="22.28515625" style="7" bestFit="1" customWidth="1"/>
    <col min="4" max="4" width="17" bestFit="1" customWidth="1"/>
    <col min="6" max="6" width="17.5703125" bestFit="1" customWidth="1"/>
    <col min="8" max="8" width="29" bestFit="1" customWidth="1"/>
    <col min="9" max="9" width="23.85546875" bestFit="1" customWidth="1"/>
  </cols>
  <sheetData>
    <row r="1" spans="1:9" x14ac:dyDescent="0.25">
      <c r="A1" s="9" t="s">
        <v>14</v>
      </c>
      <c r="B1" s="15" t="s">
        <v>15</v>
      </c>
      <c r="C1" s="15" t="s">
        <v>35</v>
      </c>
      <c r="D1" s="9" t="s">
        <v>31</v>
      </c>
      <c r="F1" s="9" t="s">
        <v>36</v>
      </c>
    </row>
    <row r="2" spans="1:9" x14ac:dyDescent="0.25">
      <c r="A2" s="9" t="s">
        <v>16</v>
      </c>
      <c r="B2" s="16">
        <f>1500/12</f>
        <v>125</v>
      </c>
      <c r="C2" s="16"/>
      <c r="D2" s="10"/>
    </row>
    <row r="3" spans="1:9" x14ac:dyDescent="0.25">
      <c r="A3" s="9" t="s">
        <v>17</v>
      </c>
      <c r="B3" s="16">
        <f>300</f>
        <v>300</v>
      </c>
      <c r="C3" s="16"/>
      <c r="D3" s="10"/>
      <c r="F3" s="12" t="s">
        <v>40</v>
      </c>
      <c r="G3" s="9" t="s">
        <v>37</v>
      </c>
      <c r="H3" s="9" t="s">
        <v>38</v>
      </c>
      <c r="I3" s="9" t="s">
        <v>39</v>
      </c>
    </row>
    <row r="4" spans="1:9" x14ac:dyDescent="0.25">
      <c r="A4" s="9" t="s">
        <v>18</v>
      </c>
      <c r="B4" s="16">
        <f>30</f>
        <v>30</v>
      </c>
      <c r="C4" s="16"/>
      <c r="D4" s="10"/>
      <c r="F4" s="17" t="str">
        <f>$A$14</f>
        <v>Tiền cơ sở vật chất</v>
      </c>
      <c r="G4" s="18">
        <f>$C$14</f>
        <v>10000</v>
      </c>
      <c r="H4" s="18">
        <v>4</v>
      </c>
      <c r="I4" s="18">
        <f>G4/(H4*12)</f>
        <v>208.33333333333334</v>
      </c>
    </row>
    <row r="5" spans="1:9" x14ac:dyDescent="0.25">
      <c r="A5" s="9" t="s">
        <v>19</v>
      </c>
      <c r="B5" s="16">
        <f>3000</f>
        <v>3000</v>
      </c>
      <c r="C5" s="16"/>
      <c r="D5" s="10"/>
      <c r="F5" s="7"/>
      <c r="G5" s="7"/>
      <c r="H5" s="17" t="s">
        <v>44</v>
      </c>
      <c r="I5" s="18">
        <f>SUM(I4)</f>
        <v>208.33333333333334</v>
      </c>
    </row>
    <row r="6" spans="1:9" x14ac:dyDescent="0.25">
      <c r="A6" s="9" t="s">
        <v>20</v>
      </c>
      <c r="B6" s="16">
        <f>6000*4</f>
        <v>24000</v>
      </c>
      <c r="C6" s="16"/>
      <c r="D6" s="10" t="s">
        <v>34</v>
      </c>
    </row>
    <row r="7" spans="1:9" x14ac:dyDescent="0.25">
      <c r="A7" s="9" t="s">
        <v>21</v>
      </c>
      <c r="B7" s="16">
        <f>100</f>
        <v>100</v>
      </c>
      <c r="C7" s="16"/>
      <c r="D7" s="10"/>
    </row>
    <row r="8" spans="1:9" x14ac:dyDescent="0.25">
      <c r="A8" s="9" t="s">
        <v>23</v>
      </c>
      <c r="B8" s="16">
        <f>1000/12</f>
        <v>83.333333333333329</v>
      </c>
      <c r="C8" s="16"/>
      <c r="D8" s="10"/>
    </row>
    <row r="9" spans="1:9" x14ac:dyDescent="0.25">
      <c r="A9" s="9" t="s">
        <v>24</v>
      </c>
      <c r="B9" s="16">
        <f>250</f>
        <v>250</v>
      </c>
      <c r="C9" s="16"/>
      <c r="D9" s="10"/>
    </row>
    <row r="10" spans="1:9" x14ac:dyDescent="0.25">
      <c r="A10" s="9" t="s">
        <v>25</v>
      </c>
      <c r="B10" s="16">
        <f>20000</f>
        <v>20000</v>
      </c>
      <c r="C10" s="16"/>
      <c r="D10" s="10"/>
    </row>
    <row r="11" spans="1:9" x14ac:dyDescent="0.25">
      <c r="A11" s="9" t="s">
        <v>22</v>
      </c>
      <c r="B11" s="16"/>
      <c r="C11" s="16">
        <f>1000</f>
        <v>1000</v>
      </c>
      <c r="D11" s="10"/>
    </row>
    <row r="12" spans="1:9" x14ac:dyDescent="0.25">
      <c r="A12" s="9" t="s">
        <v>26</v>
      </c>
      <c r="B12" s="16"/>
      <c r="C12" s="16">
        <f>500*2</f>
        <v>1000</v>
      </c>
      <c r="D12" s="10" t="s">
        <v>32</v>
      </c>
    </row>
    <row r="13" spans="1:9" x14ac:dyDescent="0.25">
      <c r="A13" s="9" t="s">
        <v>27</v>
      </c>
      <c r="B13" s="16"/>
      <c r="C13" s="16">
        <f>150*2</f>
        <v>300</v>
      </c>
      <c r="D13" s="10"/>
    </row>
    <row r="14" spans="1:9" x14ac:dyDescent="0.25">
      <c r="A14" s="9" t="s">
        <v>28</v>
      </c>
      <c r="B14" s="16"/>
      <c r="C14" s="16">
        <f>10000</f>
        <v>10000</v>
      </c>
      <c r="D14" s="10" t="s">
        <v>33</v>
      </c>
    </row>
    <row r="15" spans="1:9" x14ac:dyDescent="0.25">
      <c r="B15" s="16">
        <f>SUM(B2:B10)</f>
        <v>47888.333333333328</v>
      </c>
      <c r="C15" s="16">
        <f>SUM(C12:C14)</f>
        <v>11300</v>
      </c>
      <c r="D15" s="10"/>
    </row>
    <row r="17" spans="13:13" x14ac:dyDescent="0.25">
      <c r="M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F1" workbookViewId="0">
      <selection activeCell="K10" sqref="K10"/>
    </sheetView>
  </sheetViews>
  <sheetFormatPr defaultRowHeight="15" x14ac:dyDescent="0.25"/>
  <cols>
    <col min="1" max="1" width="29" bestFit="1" customWidth="1"/>
    <col min="2" max="2" width="12" style="7" bestFit="1" customWidth="1"/>
    <col min="3" max="3" width="18.42578125" customWidth="1"/>
    <col min="5" max="5" width="44.5703125" bestFit="1" customWidth="1"/>
    <col min="6" max="6" width="7.85546875" bestFit="1" customWidth="1"/>
    <col min="8" max="8" width="44.5703125" bestFit="1" customWidth="1"/>
    <col min="9" max="9" width="17.42578125" style="7" bestFit="1" customWidth="1"/>
    <col min="10" max="10" width="18" bestFit="1" customWidth="1"/>
    <col min="11" max="11" width="27.42578125" bestFit="1" customWidth="1"/>
    <col min="12" max="12" width="20" style="7" bestFit="1" customWidth="1"/>
    <col min="13" max="13" width="19.140625" style="7" bestFit="1" customWidth="1"/>
    <col min="14" max="14" width="15.85546875" style="7" bestFit="1" customWidth="1"/>
  </cols>
  <sheetData>
    <row r="1" spans="1:14" x14ac:dyDescent="0.25">
      <c r="A1" s="27" t="s">
        <v>41</v>
      </c>
      <c r="B1" s="27"/>
      <c r="C1" s="27"/>
      <c r="D1" s="14"/>
      <c r="E1" s="28" t="s">
        <v>46</v>
      </c>
      <c r="F1" s="29"/>
      <c r="H1" s="27" t="s">
        <v>52</v>
      </c>
      <c r="I1" s="27"/>
      <c r="J1" s="27"/>
      <c r="K1" s="27"/>
      <c r="L1" s="27"/>
      <c r="M1" s="27"/>
      <c r="N1" s="27"/>
    </row>
    <row r="2" spans="1:14" s="13" customFormat="1" x14ac:dyDescent="0.25">
      <c r="A2" s="9" t="s">
        <v>14</v>
      </c>
      <c r="B2" s="17" t="s">
        <v>42</v>
      </c>
      <c r="C2" s="12" t="s">
        <v>43</v>
      </c>
      <c r="E2" s="12" t="str">
        <f>'Uoc luong san pham ban ra'!A1</f>
        <v>Sản phẩm</v>
      </c>
      <c r="F2" s="12" t="s">
        <v>47</v>
      </c>
      <c r="H2" s="12" t="str">
        <f>'Uoc luong san pham ban ra'!A1</f>
        <v>Sản phẩm</v>
      </c>
      <c r="I2" s="17" t="s">
        <v>53</v>
      </c>
      <c r="J2" s="17" t="str">
        <f>'Uoc luong san pham ban ra'!J1</f>
        <v>Giá nhập sản phẩm</v>
      </c>
      <c r="K2" s="12" t="str">
        <f>'Uoc luong san pham ban ra'!H1</f>
        <v>Bình quân bán được(1 tháng)</v>
      </c>
      <c r="L2" s="17" t="s">
        <v>57</v>
      </c>
      <c r="M2" s="17" t="s">
        <v>58</v>
      </c>
      <c r="N2" s="17" t="s">
        <v>59</v>
      </c>
    </row>
    <row r="3" spans="1:14" x14ac:dyDescent="0.25">
      <c r="A3" s="11" t="str">
        <f>'Von dau tu &amp; von luu dong'!$A$2</f>
        <v>Bảo hiểm</v>
      </c>
      <c r="B3" s="18">
        <f>'Von dau tu &amp; von luu dong'!$B$2</f>
        <v>125</v>
      </c>
      <c r="C3" s="11"/>
      <c r="E3" s="11" t="str">
        <f>'Uoc luong san pham ban ra'!A2</f>
        <v>Dịch vụ Sửa PC</v>
      </c>
      <c r="F3" s="11">
        <v>5</v>
      </c>
      <c r="H3" s="11" t="str">
        <f>'Uoc luong san pham ban ra'!A2</f>
        <v>Dịch vụ Sửa PC</v>
      </c>
      <c r="I3" s="18">
        <f>_xlfn.FLOOR.MATH(B$12 * F3 / 100)</f>
        <v>1404</v>
      </c>
      <c r="J3" s="18">
        <f>'Uoc luong san pham ban ra'!J2</f>
        <v>0</v>
      </c>
      <c r="K3" s="11">
        <f>'Uoc luong san pham ban ra'!H2</f>
        <v>34</v>
      </c>
      <c r="L3" s="18">
        <f>_xlfn.FLOOR.MATH(J3+I3/K3)</f>
        <v>41</v>
      </c>
      <c r="M3" s="18">
        <v>80</v>
      </c>
      <c r="N3" s="18">
        <f>SUM(M3+L3)</f>
        <v>121</v>
      </c>
    </row>
    <row r="4" spans="1:14" x14ac:dyDescent="0.25">
      <c r="A4" s="11" t="str">
        <f>'Von dau tu &amp; von luu dong'!$A$3</f>
        <v>Tiền điện</v>
      </c>
      <c r="B4" s="18">
        <f>'Von dau tu &amp; von luu dong'!$B$3</f>
        <v>300</v>
      </c>
      <c r="C4" s="11"/>
      <c r="E4" s="11" t="str">
        <f>'Uoc luong san pham ban ra'!A3</f>
        <v>Dịch vụ Sửa Laptop</v>
      </c>
      <c r="F4" s="11">
        <v>5</v>
      </c>
      <c r="H4" s="11" t="str">
        <f>'Uoc luong san pham ban ra'!A3</f>
        <v>Dịch vụ Sửa Laptop</v>
      </c>
      <c r="I4" s="18">
        <f t="shared" ref="I4:I12" si="0">_xlfn.FLOOR.MATH(B$12 * F4 / 100)</f>
        <v>1404</v>
      </c>
      <c r="J4" s="18">
        <f>'Uoc luong san pham ban ra'!J3</f>
        <v>0</v>
      </c>
      <c r="K4" s="11">
        <f>'Uoc luong san pham ban ra'!H3</f>
        <v>35</v>
      </c>
      <c r="L4" s="18">
        <f t="shared" ref="L4:L12" si="1">_xlfn.FLOOR.MATH(J4+I4/K4)</f>
        <v>40</v>
      </c>
      <c r="M4" s="18">
        <v>80</v>
      </c>
      <c r="N4" s="18">
        <f t="shared" ref="N4:N12" si="2">SUM(M4+L4)</f>
        <v>120</v>
      </c>
    </row>
    <row r="5" spans="1:14" x14ac:dyDescent="0.25">
      <c r="A5" s="11" t="str">
        <f>'Von dau tu &amp; von luu dong'!A4</f>
        <v>Tiền nước</v>
      </c>
      <c r="B5" s="18">
        <f>'Von dau tu &amp; von luu dong'!B4</f>
        <v>30</v>
      </c>
      <c r="C5" s="11"/>
      <c r="E5" s="11" t="str">
        <f>'Uoc luong san pham ban ra'!A4</f>
        <v>PC (bán)</v>
      </c>
      <c r="F5" s="11">
        <v>20</v>
      </c>
      <c r="H5" s="11" t="str">
        <f>'Uoc luong san pham ban ra'!A4</f>
        <v>PC (bán)</v>
      </c>
      <c r="I5" s="18">
        <f t="shared" si="0"/>
        <v>5619</v>
      </c>
      <c r="J5" s="18">
        <f>'Uoc luong san pham ban ra'!J4</f>
        <v>8000</v>
      </c>
      <c r="K5" s="11">
        <f>'Uoc luong san pham ban ra'!H4</f>
        <v>9</v>
      </c>
      <c r="L5" s="18">
        <f>_xlfn.FLOOR.MATH(J5+I5/K5)</f>
        <v>8624</v>
      </c>
      <c r="M5" s="18">
        <f>_xlfn.FLOOR.MATH(L5*3%)</f>
        <v>258</v>
      </c>
      <c r="N5" s="18">
        <f t="shared" si="2"/>
        <v>8882</v>
      </c>
    </row>
    <row r="6" spans="1:14" x14ac:dyDescent="0.25">
      <c r="A6" s="11" t="str">
        <f>'Von dau tu &amp; von luu dong'!A5</f>
        <v>Tiền trọ</v>
      </c>
      <c r="B6" s="18">
        <f>'Von dau tu &amp; von luu dong'!B5</f>
        <v>3000</v>
      </c>
      <c r="C6" s="11"/>
      <c r="E6" s="11" t="str">
        <f>'Uoc luong san pham ban ra'!A5</f>
        <v>Ram</v>
      </c>
      <c r="F6" s="11">
        <v>10</v>
      </c>
      <c r="H6" s="11" t="str">
        <f>'Uoc luong san pham ban ra'!A5</f>
        <v>Ram</v>
      </c>
      <c r="I6" s="18">
        <f t="shared" si="0"/>
        <v>2809</v>
      </c>
      <c r="J6" s="18">
        <f>'Uoc luong san pham ban ra'!J5</f>
        <v>900</v>
      </c>
      <c r="K6" s="11">
        <f>'Uoc luong san pham ban ra'!H5</f>
        <v>17</v>
      </c>
      <c r="L6" s="18">
        <f t="shared" si="1"/>
        <v>1065</v>
      </c>
      <c r="M6" s="18">
        <f>_xlfn.FLOOR.MATH(L6*5%)</f>
        <v>53</v>
      </c>
      <c r="N6" s="18">
        <f t="shared" si="2"/>
        <v>1118</v>
      </c>
    </row>
    <row r="7" spans="1:14" x14ac:dyDescent="0.25">
      <c r="A7" s="11" t="str">
        <f>'Von dau tu &amp; von luu dong'!A6</f>
        <v>Lương thành viên</v>
      </c>
      <c r="B7" s="18">
        <f>'Von dau tu &amp; von luu dong'!B6</f>
        <v>24000</v>
      </c>
      <c r="C7" s="11"/>
      <c r="E7" s="11" t="str">
        <f>'Uoc luong san pham ban ra'!A6</f>
        <v>Ổ cứng</v>
      </c>
      <c r="F7" s="11">
        <v>10</v>
      </c>
      <c r="H7" s="11" t="str">
        <f>'Uoc luong san pham ban ra'!A6</f>
        <v>Ổ cứng</v>
      </c>
      <c r="I7" s="18">
        <f t="shared" si="0"/>
        <v>2809</v>
      </c>
      <c r="J7" s="18">
        <f>'Uoc luong san pham ban ra'!J6</f>
        <v>2500</v>
      </c>
      <c r="K7" s="11">
        <f>'Uoc luong san pham ban ra'!H6</f>
        <v>7</v>
      </c>
      <c r="L7" s="18">
        <f t="shared" si="1"/>
        <v>2901</v>
      </c>
      <c r="M7" s="18">
        <f>_xlfn.FLOOR.MATH(L7*4%)</f>
        <v>116</v>
      </c>
      <c r="N7" s="18">
        <f t="shared" si="2"/>
        <v>3017</v>
      </c>
    </row>
    <row r="8" spans="1:14" x14ac:dyDescent="0.25">
      <c r="A8" s="11" t="str">
        <f>'Von dau tu &amp; von luu dong'!A7</f>
        <v>Tiền điện thoại</v>
      </c>
      <c r="B8" s="18">
        <f>'Von dau tu &amp; von luu dong'!B7</f>
        <v>100</v>
      </c>
      <c r="C8" s="11"/>
      <c r="E8" s="11" t="str">
        <f>'Uoc luong san pham ban ra'!A7</f>
        <v>bàn phím/chuột</v>
      </c>
      <c r="F8" s="11">
        <v>10</v>
      </c>
      <c r="H8" s="11" t="str">
        <f>'Uoc luong san pham ban ra'!A7</f>
        <v>bàn phím/chuột</v>
      </c>
      <c r="I8" s="18">
        <f t="shared" si="0"/>
        <v>2809</v>
      </c>
      <c r="J8" s="18">
        <f>'Uoc luong san pham ban ra'!J7</f>
        <v>300</v>
      </c>
      <c r="K8" s="11">
        <f>'Uoc luong san pham ban ra'!H7</f>
        <v>40</v>
      </c>
      <c r="L8" s="18">
        <f t="shared" si="1"/>
        <v>370</v>
      </c>
      <c r="M8" s="18">
        <v>50</v>
      </c>
      <c r="N8" s="18">
        <f t="shared" si="2"/>
        <v>420</v>
      </c>
    </row>
    <row r="9" spans="1:14" x14ac:dyDescent="0.25">
      <c r="A9" s="11" t="str">
        <f>'Von dau tu &amp; von luu dong'!A8</f>
        <v>Thuế</v>
      </c>
      <c r="B9" s="18">
        <f>'Von dau tu &amp; von luu dong'!B8</f>
        <v>83.333333333333329</v>
      </c>
      <c r="C9" s="11"/>
      <c r="E9" s="11" t="str">
        <f>'Uoc luong san pham ban ra'!A8</f>
        <v>Màn hình</v>
      </c>
      <c r="F9" s="11">
        <v>10</v>
      </c>
      <c r="H9" s="11" t="str">
        <f>'Uoc luong san pham ban ra'!A8</f>
        <v>Màn hình</v>
      </c>
      <c r="I9" s="18">
        <f t="shared" si="0"/>
        <v>2809</v>
      </c>
      <c r="J9" s="18">
        <f>'Uoc luong san pham ban ra'!J8</f>
        <v>3000</v>
      </c>
      <c r="K9" s="11">
        <f>'Uoc luong san pham ban ra'!H8</f>
        <v>9</v>
      </c>
      <c r="L9" s="18">
        <f t="shared" si="1"/>
        <v>3312</v>
      </c>
      <c r="M9" s="18">
        <f>_xlfn.FLOOR.MATH(L9*5%)</f>
        <v>165</v>
      </c>
      <c r="N9" s="18">
        <f t="shared" si="2"/>
        <v>3477</v>
      </c>
    </row>
    <row r="10" spans="1:14" x14ac:dyDescent="0.25">
      <c r="A10" s="11" t="str">
        <f>'Von dau tu &amp; von luu dong'!A9</f>
        <v>Tiền mạng</v>
      </c>
      <c r="B10" s="18">
        <f>'Von dau tu &amp; von luu dong'!B9</f>
        <v>250</v>
      </c>
      <c r="C10" s="11"/>
      <c r="E10" s="11" t="str">
        <f>'Uoc luong san pham ban ra'!A9</f>
        <v>USB</v>
      </c>
      <c r="F10" s="11">
        <v>5</v>
      </c>
      <c r="H10" s="11" t="str">
        <f>'Uoc luong san pham ban ra'!A9</f>
        <v>USB</v>
      </c>
      <c r="I10" s="18">
        <f t="shared" si="0"/>
        <v>1404</v>
      </c>
      <c r="J10" s="18">
        <f>'Uoc luong san pham ban ra'!J9</f>
        <v>200</v>
      </c>
      <c r="K10" s="11">
        <f>'Uoc luong san pham ban ra'!H9</f>
        <v>24</v>
      </c>
      <c r="L10" s="18">
        <f t="shared" si="1"/>
        <v>258</v>
      </c>
      <c r="M10" s="18">
        <v>20</v>
      </c>
      <c r="N10" s="18">
        <f t="shared" si="2"/>
        <v>278</v>
      </c>
    </row>
    <row r="11" spans="1:14" x14ac:dyDescent="0.25">
      <c r="A11" s="11" t="str">
        <f>'Von dau tu &amp; von luu dong'!$H$5</f>
        <v>Tổng tiền khấu hao hàng tháng</v>
      </c>
      <c r="B11" s="18">
        <f>'Von dau tu &amp; von luu dong'!$I$5</f>
        <v>208.33333333333334</v>
      </c>
      <c r="C11" s="11"/>
      <c r="E11" s="11" t="str">
        <f>'Uoc luong san pham ban ra'!A10</f>
        <v>Mainboard</v>
      </c>
      <c r="F11" s="11">
        <v>10</v>
      </c>
      <c r="H11" s="11" t="str">
        <f>'Uoc luong san pham ban ra'!A10</f>
        <v>Mainboard</v>
      </c>
      <c r="I11" s="18">
        <f t="shared" si="0"/>
        <v>2809</v>
      </c>
      <c r="J11" s="18">
        <f>'Uoc luong san pham ban ra'!J10</f>
        <v>2500</v>
      </c>
      <c r="K11" s="11">
        <f>'Uoc luong san pham ban ra'!H10</f>
        <v>5</v>
      </c>
      <c r="L11" s="18">
        <f t="shared" si="1"/>
        <v>3061</v>
      </c>
      <c r="M11" s="18">
        <f>_xlfn.FLOOR.MATH(L11*5%)</f>
        <v>153</v>
      </c>
      <c r="N11" s="18">
        <f t="shared" si="2"/>
        <v>3214</v>
      </c>
    </row>
    <row r="12" spans="1:14" x14ac:dyDescent="0.25">
      <c r="A12" s="19" t="s">
        <v>45</v>
      </c>
      <c r="B12" s="20">
        <f>SUM(B3:B11)</f>
        <v>28096.666666666664</v>
      </c>
      <c r="C12" s="21"/>
      <c r="E12" s="11" t="str">
        <f>'Uoc luong san pham ban ra'!A11</f>
        <v>Linh kiện khác(Nguồn, quạt tản nhiệt, GPU,….vv)</v>
      </c>
      <c r="F12" s="11">
        <v>15</v>
      </c>
      <c r="H12" s="11" t="str">
        <f>'Uoc luong san pham ban ra'!A11</f>
        <v>Linh kiện khác(Nguồn, quạt tản nhiệt, GPU,….vv)</v>
      </c>
      <c r="I12" s="18">
        <f t="shared" si="0"/>
        <v>4214</v>
      </c>
      <c r="J12" s="18">
        <f>'Uoc luong san pham ban ra'!J11</f>
        <v>2500</v>
      </c>
      <c r="K12" s="11">
        <f>'Uoc luong san pham ban ra'!H11</f>
        <v>17</v>
      </c>
      <c r="L12" s="18">
        <f t="shared" si="1"/>
        <v>2747</v>
      </c>
      <c r="M12" s="18">
        <f>_xlfn.FLOOR.MATH(L12*5%)</f>
        <v>137</v>
      </c>
      <c r="N12" s="18">
        <f t="shared" si="2"/>
        <v>2884</v>
      </c>
    </row>
    <row r="13" spans="1:14" x14ac:dyDescent="0.25">
      <c r="E13" s="19" t="s">
        <v>51</v>
      </c>
      <c r="F13" s="19">
        <f>SUM(F3:F12)</f>
        <v>100</v>
      </c>
    </row>
  </sheetData>
  <mergeCells count="3">
    <mergeCell ref="A1:C1"/>
    <mergeCell ref="E1:F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Von ban dau</vt:lpstr>
      <vt:lpstr>Uoc luong san pham ban ra</vt:lpstr>
      <vt:lpstr>Von dau tu &amp; von luu dong</vt:lpstr>
      <vt:lpstr>Chi phi &amp; Gia thanh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2017-08-22T09:33:28Z</dcterms:modified>
</cp:coreProperties>
</file>